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DE TENERIFE/2022/"/>
    </mc:Choice>
  </mc:AlternateContent>
  <xr:revisionPtr revIDLastSave="0" documentId="8_{B086040E-7DBF-49FA-8C12-5377FF9EFC7E}" xr6:coauthVersionLast="47" xr6:coauthVersionMax="47" xr10:uidLastSave="{00000000-0000-0000-0000-000000000000}"/>
  <bookViews>
    <workbookView xWindow="-120" yWindow="-120" windowWidth="29040" windowHeight="15720" xr2:uid="{967AF3D9-39F0-462A-A9A6-EA22AC03477E}"/>
  </bookViews>
  <sheets>
    <sheet name="marzo 2022" sheetId="1" r:id="rId1"/>
  </sheets>
  <externalReferences>
    <externalReference r:id="rId2"/>
  </externalReferences>
  <definedNames>
    <definedName name="_xlnm.Print_Area" localSheetId="0">'marzo 2022'!$C$1:$M$324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'marzo 2022'!$C$1:$M$326</definedName>
    <definedName name="Z_B161D6A3_44F3_469D_B50D_76D907B3525C_.wvu.Cols" localSheetId="0" hidden="1">'marzo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7" i="1" l="1"/>
  <c r="I62" i="1"/>
  <c r="C64" i="1"/>
  <c r="E64" i="1"/>
  <c r="F64" i="1"/>
  <c r="G64" i="1"/>
  <c r="I64" i="1"/>
  <c r="J64" i="1"/>
  <c r="K64" i="1"/>
  <c r="L64" i="1"/>
  <c r="M64" i="1"/>
  <c r="E117" i="1"/>
  <c r="E184" i="1"/>
  <c r="C187" i="1"/>
  <c r="D190" i="1"/>
  <c r="E190" i="1"/>
  <c r="F190" i="1"/>
  <c r="H190" i="1"/>
  <c r="I190" i="1"/>
  <c r="J190" i="1"/>
  <c r="K190" i="1"/>
  <c r="L190" i="1"/>
  <c r="M190" i="1"/>
  <c r="N190" i="1"/>
  <c r="O190" i="1"/>
  <c r="P190" i="1"/>
  <c r="Q190" i="1"/>
  <c r="D191" i="1"/>
  <c r="E191" i="1"/>
  <c r="F191" i="1"/>
  <c r="H191" i="1"/>
  <c r="I191" i="1"/>
  <c r="J191" i="1"/>
  <c r="K191" i="1"/>
  <c r="L191" i="1"/>
  <c r="M191" i="1"/>
  <c r="N191" i="1"/>
  <c r="O191" i="1"/>
  <c r="P191" i="1"/>
  <c r="Q191" i="1"/>
  <c r="D192" i="1"/>
  <c r="E192" i="1"/>
  <c r="F192" i="1"/>
  <c r="H192" i="1"/>
  <c r="I192" i="1"/>
  <c r="J192" i="1"/>
  <c r="K192" i="1"/>
  <c r="L192" i="1"/>
  <c r="M192" i="1"/>
  <c r="N192" i="1"/>
  <c r="O192" i="1"/>
  <c r="P192" i="1"/>
  <c r="Q192" i="1"/>
  <c r="D193" i="1"/>
  <c r="E193" i="1"/>
  <c r="F193" i="1"/>
  <c r="H193" i="1"/>
  <c r="I193" i="1"/>
  <c r="J193" i="1"/>
  <c r="K193" i="1"/>
  <c r="L193" i="1"/>
  <c r="M193" i="1"/>
  <c r="N193" i="1"/>
  <c r="O193" i="1"/>
  <c r="P193" i="1"/>
  <c r="Q193" i="1"/>
  <c r="D194" i="1"/>
  <c r="E194" i="1"/>
  <c r="F194" i="1"/>
  <c r="H194" i="1"/>
  <c r="I194" i="1"/>
  <c r="J194" i="1"/>
  <c r="K194" i="1"/>
  <c r="L194" i="1"/>
  <c r="M194" i="1"/>
  <c r="N194" i="1"/>
  <c r="O194" i="1"/>
  <c r="P194" i="1"/>
  <c r="Q194" i="1"/>
  <c r="D195" i="1"/>
  <c r="E195" i="1"/>
  <c r="F195" i="1"/>
  <c r="H195" i="1"/>
  <c r="I195" i="1"/>
  <c r="J195" i="1"/>
  <c r="K195" i="1"/>
  <c r="L195" i="1"/>
  <c r="M195" i="1"/>
  <c r="N195" i="1"/>
  <c r="O195" i="1"/>
  <c r="P195" i="1"/>
  <c r="Q195" i="1"/>
  <c r="D196" i="1"/>
  <c r="E196" i="1"/>
  <c r="F196" i="1"/>
  <c r="H196" i="1"/>
  <c r="I196" i="1"/>
  <c r="J196" i="1"/>
  <c r="K196" i="1"/>
  <c r="L196" i="1"/>
  <c r="M196" i="1"/>
  <c r="N196" i="1"/>
  <c r="O196" i="1"/>
  <c r="P196" i="1"/>
  <c r="Q196" i="1"/>
  <c r="D197" i="1"/>
  <c r="E197" i="1"/>
  <c r="F197" i="1"/>
  <c r="H197" i="1"/>
  <c r="I197" i="1"/>
  <c r="J197" i="1"/>
  <c r="K197" i="1"/>
  <c r="L197" i="1"/>
  <c r="M197" i="1"/>
  <c r="N197" i="1"/>
  <c r="O197" i="1"/>
  <c r="P197" i="1"/>
  <c r="Q197" i="1"/>
  <c r="D198" i="1"/>
  <c r="E198" i="1"/>
  <c r="F198" i="1"/>
  <c r="H198" i="1"/>
  <c r="I198" i="1"/>
  <c r="J198" i="1"/>
  <c r="K198" i="1"/>
  <c r="L198" i="1"/>
  <c r="M198" i="1"/>
  <c r="N198" i="1"/>
  <c r="O198" i="1"/>
  <c r="P198" i="1"/>
  <c r="Q198" i="1"/>
  <c r="D199" i="1"/>
  <c r="E199" i="1"/>
  <c r="F199" i="1"/>
  <c r="H199" i="1"/>
  <c r="I199" i="1"/>
  <c r="J199" i="1"/>
  <c r="K199" i="1"/>
  <c r="L199" i="1"/>
  <c r="M199" i="1"/>
  <c r="N199" i="1"/>
  <c r="O199" i="1"/>
  <c r="P199" i="1"/>
  <c r="Q199" i="1"/>
  <c r="D200" i="1"/>
  <c r="E200" i="1"/>
  <c r="F200" i="1"/>
  <c r="H200" i="1"/>
  <c r="I200" i="1"/>
  <c r="J200" i="1"/>
  <c r="K200" i="1"/>
  <c r="L200" i="1"/>
  <c r="M200" i="1"/>
  <c r="N200" i="1"/>
  <c r="O200" i="1"/>
  <c r="P200" i="1"/>
  <c r="Q200" i="1"/>
  <c r="D201" i="1"/>
  <c r="E201" i="1"/>
  <c r="F201" i="1"/>
  <c r="H201" i="1"/>
  <c r="I201" i="1"/>
  <c r="J201" i="1"/>
  <c r="K201" i="1"/>
  <c r="L201" i="1"/>
  <c r="M201" i="1"/>
  <c r="N201" i="1"/>
  <c r="O201" i="1"/>
  <c r="P201" i="1"/>
  <c r="Q201" i="1"/>
  <c r="E202" i="1"/>
  <c r="F202" i="1"/>
  <c r="H202" i="1"/>
  <c r="I202" i="1"/>
  <c r="J202" i="1"/>
  <c r="K202" i="1"/>
  <c r="M202" i="1"/>
  <c r="N202" i="1"/>
  <c r="O202" i="1"/>
  <c r="P202" i="1"/>
  <c r="Q202" i="1"/>
  <c r="D203" i="1"/>
  <c r="E203" i="1"/>
  <c r="F203" i="1"/>
  <c r="H203" i="1"/>
  <c r="I203" i="1"/>
  <c r="J203" i="1"/>
  <c r="K203" i="1"/>
  <c r="L203" i="1"/>
  <c r="M203" i="1"/>
  <c r="N203" i="1"/>
  <c r="O203" i="1"/>
  <c r="P203" i="1"/>
  <c r="Q203" i="1"/>
  <c r="D204" i="1"/>
  <c r="E204" i="1"/>
  <c r="F204" i="1"/>
  <c r="H204" i="1"/>
  <c r="I204" i="1"/>
  <c r="J204" i="1"/>
  <c r="K204" i="1"/>
  <c r="L204" i="1"/>
  <c r="M204" i="1"/>
  <c r="N204" i="1"/>
  <c r="O204" i="1"/>
  <c r="P204" i="1"/>
  <c r="Q204" i="1"/>
  <c r="D205" i="1"/>
  <c r="E205" i="1"/>
  <c r="F205" i="1"/>
  <c r="H205" i="1"/>
  <c r="I205" i="1"/>
  <c r="J205" i="1"/>
  <c r="K205" i="1"/>
  <c r="L205" i="1"/>
  <c r="M205" i="1"/>
  <c r="N205" i="1"/>
  <c r="O205" i="1"/>
  <c r="P205" i="1"/>
  <c r="Q205" i="1"/>
  <c r="D206" i="1"/>
  <c r="E206" i="1"/>
  <c r="F206" i="1"/>
  <c r="H206" i="1"/>
  <c r="I206" i="1"/>
  <c r="J206" i="1"/>
  <c r="K206" i="1"/>
  <c r="L206" i="1"/>
  <c r="M206" i="1"/>
  <c r="N206" i="1"/>
  <c r="O206" i="1"/>
  <c r="P206" i="1"/>
  <c r="Q206" i="1"/>
  <c r="D207" i="1"/>
  <c r="E207" i="1"/>
  <c r="F207" i="1"/>
  <c r="H207" i="1"/>
  <c r="I207" i="1"/>
  <c r="J207" i="1"/>
  <c r="K207" i="1"/>
  <c r="L207" i="1"/>
  <c r="M207" i="1"/>
  <c r="N207" i="1"/>
  <c r="O207" i="1"/>
  <c r="P207" i="1"/>
  <c r="Q207" i="1"/>
  <c r="D208" i="1"/>
  <c r="E208" i="1"/>
  <c r="F208" i="1"/>
  <c r="H208" i="1"/>
  <c r="I208" i="1"/>
  <c r="J208" i="1"/>
  <c r="K208" i="1"/>
  <c r="L208" i="1"/>
  <c r="M208" i="1"/>
  <c r="N208" i="1"/>
  <c r="O208" i="1"/>
  <c r="P208" i="1"/>
  <c r="Q208" i="1"/>
  <c r="D209" i="1"/>
  <c r="E209" i="1"/>
  <c r="F209" i="1"/>
  <c r="H209" i="1"/>
  <c r="I209" i="1"/>
  <c r="J209" i="1"/>
  <c r="K209" i="1"/>
  <c r="L209" i="1"/>
  <c r="M209" i="1"/>
  <c r="N209" i="1"/>
  <c r="O209" i="1"/>
  <c r="P209" i="1"/>
  <c r="Q209" i="1"/>
  <c r="D210" i="1"/>
  <c r="E210" i="1"/>
  <c r="F210" i="1"/>
  <c r="H210" i="1"/>
  <c r="I210" i="1"/>
  <c r="J210" i="1"/>
  <c r="K210" i="1"/>
  <c r="L210" i="1"/>
  <c r="M210" i="1"/>
  <c r="N210" i="1"/>
  <c r="O210" i="1"/>
  <c r="P210" i="1"/>
  <c r="Q210" i="1"/>
  <c r="D211" i="1"/>
  <c r="E211" i="1"/>
  <c r="F211" i="1"/>
  <c r="H211" i="1"/>
  <c r="I211" i="1"/>
  <c r="J211" i="1"/>
  <c r="K211" i="1"/>
  <c r="L211" i="1"/>
  <c r="M211" i="1"/>
  <c r="N211" i="1"/>
  <c r="O211" i="1"/>
  <c r="P211" i="1"/>
  <c r="Q211" i="1"/>
  <c r="D212" i="1"/>
  <c r="E212" i="1"/>
  <c r="F212" i="1"/>
  <c r="H212" i="1"/>
  <c r="I212" i="1"/>
  <c r="J212" i="1"/>
  <c r="K212" i="1"/>
  <c r="L212" i="1"/>
  <c r="M212" i="1"/>
  <c r="N212" i="1"/>
  <c r="O212" i="1"/>
  <c r="P212" i="1"/>
  <c r="Q212" i="1"/>
  <c r="C215" i="1"/>
  <c r="D218" i="1"/>
  <c r="E218" i="1"/>
  <c r="F218" i="1"/>
  <c r="H218" i="1"/>
  <c r="I218" i="1"/>
  <c r="J218" i="1"/>
  <c r="K218" i="1"/>
  <c r="L218" i="1"/>
  <c r="M218" i="1"/>
  <c r="N218" i="1"/>
  <c r="O218" i="1"/>
  <c r="P218" i="1"/>
  <c r="Q218" i="1"/>
  <c r="D219" i="1"/>
  <c r="E219" i="1"/>
  <c r="F219" i="1"/>
  <c r="H219" i="1"/>
  <c r="I219" i="1"/>
  <c r="J219" i="1"/>
  <c r="K219" i="1"/>
  <c r="L219" i="1"/>
  <c r="M219" i="1"/>
  <c r="N219" i="1"/>
  <c r="O219" i="1"/>
  <c r="P219" i="1"/>
  <c r="Q219" i="1"/>
  <c r="D220" i="1"/>
  <c r="E220" i="1"/>
  <c r="F220" i="1"/>
  <c r="H220" i="1"/>
  <c r="I220" i="1"/>
  <c r="J220" i="1"/>
  <c r="K220" i="1"/>
  <c r="L220" i="1"/>
  <c r="M220" i="1"/>
  <c r="N220" i="1"/>
  <c r="O220" i="1"/>
  <c r="P220" i="1"/>
  <c r="Q220" i="1"/>
  <c r="D221" i="1"/>
  <c r="E221" i="1"/>
  <c r="F221" i="1"/>
  <c r="H221" i="1"/>
  <c r="I221" i="1"/>
  <c r="J221" i="1"/>
  <c r="K221" i="1"/>
  <c r="L221" i="1"/>
  <c r="M221" i="1"/>
  <c r="N221" i="1"/>
  <c r="O221" i="1"/>
  <c r="P221" i="1"/>
  <c r="Q221" i="1"/>
  <c r="D222" i="1"/>
  <c r="E222" i="1"/>
  <c r="F222" i="1"/>
  <c r="H222" i="1"/>
  <c r="I222" i="1"/>
  <c r="J222" i="1"/>
  <c r="K222" i="1"/>
  <c r="L222" i="1"/>
  <c r="M222" i="1"/>
  <c r="N222" i="1"/>
  <c r="O222" i="1"/>
  <c r="P222" i="1"/>
  <c r="Q222" i="1"/>
  <c r="D223" i="1"/>
  <c r="E223" i="1"/>
  <c r="F223" i="1"/>
  <c r="H223" i="1"/>
  <c r="I223" i="1"/>
  <c r="J223" i="1"/>
  <c r="K223" i="1"/>
  <c r="L223" i="1"/>
  <c r="M223" i="1"/>
  <c r="N223" i="1"/>
  <c r="O223" i="1"/>
  <c r="P223" i="1"/>
  <c r="Q223" i="1"/>
  <c r="D224" i="1"/>
  <c r="E224" i="1"/>
  <c r="F224" i="1"/>
  <c r="H224" i="1"/>
  <c r="I224" i="1"/>
  <c r="J224" i="1"/>
  <c r="K224" i="1"/>
  <c r="L224" i="1"/>
  <c r="M224" i="1"/>
  <c r="N224" i="1"/>
  <c r="O224" i="1"/>
  <c r="P224" i="1"/>
  <c r="Q224" i="1"/>
  <c r="D225" i="1"/>
  <c r="E225" i="1"/>
  <c r="F225" i="1"/>
  <c r="H225" i="1"/>
  <c r="I225" i="1"/>
  <c r="J225" i="1"/>
  <c r="K225" i="1"/>
  <c r="L225" i="1"/>
  <c r="M225" i="1"/>
  <c r="N225" i="1"/>
  <c r="O225" i="1"/>
  <c r="P225" i="1"/>
  <c r="Q225" i="1"/>
  <c r="D226" i="1"/>
  <c r="E226" i="1"/>
  <c r="F226" i="1"/>
  <c r="H226" i="1"/>
  <c r="I226" i="1"/>
  <c r="J226" i="1"/>
  <c r="K226" i="1"/>
  <c r="L226" i="1"/>
  <c r="M226" i="1"/>
  <c r="N226" i="1"/>
  <c r="O226" i="1"/>
  <c r="P226" i="1"/>
  <c r="Q226" i="1"/>
  <c r="D227" i="1"/>
  <c r="E227" i="1"/>
  <c r="F227" i="1"/>
  <c r="H227" i="1"/>
  <c r="I227" i="1"/>
  <c r="J227" i="1"/>
  <c r="K227" i="1"/>
  <c r="L227" i="1"/>
  <c r="M227" i="1"/>
  <c r="N227" i="1"/>
  <c r="O227" i="1"/>
  <c r="P227" i="1"/>
  <c r="Q227" i="1"/>
  <c r="D228" i="1"/>
  <c r="E228" i="1"/>
  <c r="F228" i="1"/>
  <c r="H228" i="1"/>
  <c r="I228" i="1"/>
  <c r="J228" i="1"/>
  <c r="K228" i="1"/>
  <c r="L228" i="1"/>
  <c r="M228" i="1"/>
  <c r="N228" i="1"/>
  <c r="O228" i="1"/>
  <c r="P228" i="1"/>
  <c r="Q228" i="1"/>
  <c r="D229" i="1"/>
  <c r="E229" i="1"/>
  <c r="F229" i="1"/>
  <c r="H229" i="1"/>
  <c r="I229" i="1"/>
  <c r="J229" i="1"/>
  <c r="K229" i="1"/>
  <c r="L229" i="1"/>
  <c r="M229" i="1"/>
  <c r="N229" i="1"/>
  <c r="O229" i="1"/>
  <c r="P229" i="1"/>
  <c r="Q229" i="1"/>
  <c r="E230" i="1"/>
  <c r="F230" i="1"/>
  <c r="H230" i="1"/>
  <c r="I230" i="1"/>
  <c r="J230" i="1"/>
  <c r="K230" i="1"/>
  <c r="M230" i="1"/>
  <c r="N230" i="1"/>
  <c r="O230" i="1"/>
  <c r="P230" i="1"/>
  <c r="Q230" i="1"/>
  <c r="D231" i="1"/>
  <c r="E231" i="1"/>
  <c r="F231" i="1"/>
  <c r="H231" i="1"/>
  <c r="I231" i="1"/>
  <c r="J231" i="1"/>
  <c r="K231" i="1"/>
  <c r="L231" i="1"/>
  <c r="M231" i="1"/>
  <c r="N231" i="1"/>
  <c r="O231" i="1"/>
  <c r="P231" i="1"/>
  <c r="Q231" i="1"/>
  <c r="D232" i="1"/>
  <c r="E232" i="1"/>
  <c r="F232" i="1"/>
  <c r="H232" i="1"/>
  <c r="I232" i="1"/>
  <c r="J232" i="1"/>
  <c r="K232" i="1"/>
  <c r="L232" i="1"/>
  <c r="M232" i="1"/>
  <c r="N232" i="1"/>
  <c r="O232" i="1"/>
  <c r="P232" i="1"/>
  <c r="Q232" i="1"/>
  <c r="D233" i="1"/>
  <c r="E233" i="1"/>
  <c r="F233" i="1"/>
  <c r="H233" i="1"/>
  <c r="I233" i="1"/>
  <c r="J233" i="1"/>
  <c r="K233" i="1"/>
  <c r="L233" i="1"/>
  <c r="M233" i="1"/>
  <c r="N233" i="1"/>
  <c r="O233" i="1"/>
  <c r="P233" i="1"/>
  <c r="Q233" i="1"/>
  <c r="D234" i="1"/>
  <c r="E234" i="1"/>
  <c r="F234" i="1"/>
  <c r="H234" i="1"/>
  <c r="I234" i="1"/>
  <c r="J234" i="1"/>
  <c r="K234" i="1"/>
  <c r="L234" i="1"/>
  <c r="M234" i="1"/>
  <c r="N234" i="1"/>
  <c r="O234" i="1"/>
  <c r="P234" i="1"/>
  <c r="Q234" i="1"/>
  <c r="D235" i="1"/>
  <c r="E235" i="1"/>
  <c r="F235" i="1"/>
  <c r="H235" i="1"/>
  <c r="I235" i="1"/>
  <c r="J235" i="1"/>
  <c r="K235" i="1"/>
  <c r="L235" i="1"/>
  <c r="M235" i="1"/>
  <c r="N235" i="1"/>
  <c r="O235" i="1"/>
  <c r="P235" i="1"/>
  <c r="Q235" i="1"/>
  <c r="D236" i="1"/>
  <c r="E236" i="1"/>
  <c r="F236" i="1"/>
  <c r="H236" i="1"/>
  <c r="I236" i="1"/>
  <c r="J236" i="1"/>
  <c r="K236" i="1"/>
  <c r="L236" i="1"/>
  <c r="M236" i="1"/>
  <c r="N236" i="1"/>
  <c r="O236" i="1"/>
  <c r="P236" i="1"/>
  <c r="Q236" i="1"/>
  <c r="D237" i="1"/>
  <c r="E237" i="1"/>
  <c r="F237" i="1"/>
  <c r="H237" i="1"/>
  <c r="I237" i="1"/>
  <c r="J237" i="1"/>
  <c r="K237" i="1"/>
  <c r="L237" i="1"/>
  <c r="M237" i="1"/>
  <c r="N237" i="1"/>
  <c r="O237" i="1"/>
  <c r="P237" i="1"/>
  <c r="Q237" i="1"/>
  <c r="D238" i="1"/>
  <c r="E238" i="1"/>
  <c r="F238" i="1"/>
  <c r="H238" i="1"/>
  <c r="I238" i="1"/>
  <c r="J238" i="1"/>
  <c r="K238" i="1"/>
  <c r="L238" i="1"/>
  <c r="M238" i="1"/>
  <c r="N238" i="1"/>
  <c r="O238" i="1"/>
  <c r="P238" i="1"/>
  <c r="Q238" i="1"/>
  <c r="D239" i="1"/>
  <c r="E239" i="1"/>
  <c r="F239" i="1"/>
  <c r="H239" i="1"/>
  <c r="I239" i="1"/>
  <c r="J239" i="1"/>
  <c r="K239" i="1"/>
  <c r="L239" i="1"/>
  <c r="M239" i="1"/>
  <c r="N239" i="1"/>
  <c r="O239" i="1"/>
  <c r="P239" i="1"/>
  <c r="Q239" i="1"/>
  <c r="D240" i="1"/>
  <c r="E240" i="1"/>
  <c r="F240" i="1"/>
  <c r="H240" i="1"/>
  <c r="I240" i="1"/>
  <c r="J240" i="1"/>
  <c r="K240" i="1"/>
  <c r="L240" i="1"/>
  <c r="M240" i="1"/>
  <c r="N240" i="1"/>
  <c r="O240" i="1"/>
  <c r="P240" i="1"/>
  <c r="Q240" i="1"/>
  <c r="E242" i="1"/>
  <c r="E299" i="1"/>
  <c r="I304" i="1"/>
  <c r="I306" i="1" l="1"/>
  <c r="I307" i="1"/>
  <c r="I309" i="1"/>
  <c r="I312" i="1"/>
  <c r="I313" i="1"/>
  <c r="I314" i="1"/>
  <c r="I315" i="1"/>
</calcChain>
</file>

<file path=xl/sharedStrings.xml><?xml version="1.0" encoding="utf-8"?>
<sst xmlns="http://schemas.openxmlformats.org/spreadsheetml/2006/main" count="580" uniqueCount="114">
  <si>
    <t>Turismo de Tenerife - Investigación Turística</t>
  </si>
  <si>
    <t>Nº Buques Cruceros</t>
  </si>
  <si>
    <t>Pasajeros Cruceros</t>
  </si>
  <si>
    <t>PUERTO DE SANTA CRUZ DE TENERIFE</t>
  </si>
  <si>
    <t>PASAJEROS DE CRUCEROS - PUERTO DE SANTA CRUZ DE TENERIFE</t>
  </si>
  <si>
    <t>Extrahoteleras</t>
  </si>
  <si>
    <t>Hoteleras</t>
  </si>
  <si>
    <t>Total</t>
  </si>
  <si>
    <t>ZONA 4
Sur</t>
  </si>
  <si>
    <t>ZONA 3
Norte</t>
  </si>
  <si>
    <t>ZONA 2
La Laguna-Bajamar-La Punta</t>
  </si>
  <si>
    <t>ZONA 1
Santa Cruz</t>
  </si>
  <si>
    <t>Desarrollo Económico - Cabildo de Tenerife</t>
  </si>
  <si>
    <t>TENERIFE</t>
  </si>
  <si>
    <t>PLAZAS ALOJATIVAS ESTIMADAS (no deben ser tomadas como cifra de plazas autorizadas)</t>
  </si>
  <si>
    <t>,</t>
  </si>
  <si>
    <t>Casas Rurales</t>
  </si>
  <si>
    <t>Hoteles Rurales</t>
  </si>
  <si>
    <t>Vivienda vacacional</t>
  </si>
  <si>
    <t>Apartamentos</t>
  </si>
  <si>
    <t>Hotelera</t>
  </si>
  <si>
    <t>PLAZAS ALOJATIVAS AUTORIZADAS A FECHA DEL PERÍODO ANALIZADO</t>
  </si>
  <si>
    <t>otros gastos</t>
  </si>
  <si>
    <t>Gasto en Alimentación</t>
  </si>
  <si>
    <t>Gasto en alojamiento</t>
  </si>
  <si>
    <t>Gasto Transporte Nacional o Internacional</t>
  </si>
  <si>
    <t>total</t>
  </si>
  <si>
    <t>Gasto por turista y día</t>
  </si>
  <si>
    <t xml:space="preserve"> </t>
  </si>
  <si>
    <t>I trimestre 2022
Encuesta sobre el gasto turístico ISTAC</t>
  </si>
  <si>
    <t>Gasto por turista</t>
  </si>
  <si>
    <t xml:space="preserve">GASTO TURÍSTICO </t>
  </si>
  <si>
    <t>Total Extranjero</t>
  </si>
  <si>
    <t>Resto del Mundo</t>
  </si>
  <si>
    <t>Resto de América</t>
  </si>
  <si>
    <t>Usa</t>
  </si>
  <si>
    <t>Resto de Europa</t>
  </si>
  <si>
    <t>Países del Este</t>
  </si>
  <si>
    <t>Rusia</t>
  </si>
  <si>
    <t>Austria</t>
  </si>
  <si>
    <t>Suiza</t>
  </si>
  <si>
    <t>Finlandia</t>
  </si>
  <si>
    <t>Dinamarca</t>
  </si>
  <si>
    <t>Noruega</t>
  </si>
  <si>
    <t>Suecia</t>
  </si>
  <si>
    <t>Países Nórdicos</t>
  </si>
  <si>
    <t>Italia</t>
  </si>
  <si>
    <t>Irlanda</t>
  </si>
  <si>
    <t>Reino Unido</t>
  </si>
  <si>
    <t>Francia</t>
  </si>
  <si>
    <t>Alemania</t>
  </si>
  <si>
    <t>Bélgica</t>
  </si>
  <si>
    <t>Holanda</t>
  </si>
  <si>
    <t>Res. Península</t>
  </si>
  <si>
    <t>Res. Otras Islas canarias</t>
  </si>
  <si>
    <t>Res. 
Tenerife</t>
  </si>
  <si>
    <t>España</t>
  </si>
  <si>
    <t>Cuota periodo acumulado</t>
  </si>
  <si>
    <t>Cuota mes</t>
  </si>
  <si>
    <t>ZONA 4 Sur</t>
  </si>
  <si>
    <t>ZONA 3 Norte</t>
  </si>
  <si>
    <t>ZONA 2 La Laguna-Bajamar-La Punta</t>
  </si>
  <si>
    <t>ZONA 1 Santa Cruz</t>
  </si>
  <si>
    <t>CUOTAS DE NACIONALIDAD TOTAL Y POR ZONAS, PARA EL MES ACTUAL Y ACUMULADO ANUAL</t>
  </si>
  <si>
    <t>-</t>
  </si>
  <si>
    <t>Alojados
periodo acumulado</t>
  </si>
  <si>
    <t>var
periodo acumulado</t>
  </si>
  <si>
    <t>extrahotelero</t>
  </si>
  <si>
    <t>total hotelero</t>
  </si>
  <si>
    <t>5*</t>
  </si>
  <si>
    <t>4*</t>
  </si>
  <si>
    <t>3*</t>
  </si>
  <si>
    <t>2*</t>
  </si>
  <si>
    <t>1*</t>
  </si>
  <si>
    <t>Nº DE TURISTAS ALOJADOS POR  NACIONALIDAD Y VARIACIÓN DE LA AFLUENCIA  
RESPECTO AL AÑO ANTERIOR SEGÚN  ZONAS</t>
  </si>
  <si>
    <t>Alojados
mes</t>
  </si>
  <si>
    <t>var
interanual</t>
  </si>
  <si>
    <t>Res. Tenerife</t>
  </si>
  <si>
    <t>Alojados
acumulado</t>
  </si>
  <si>
    <t>ÍNDICES DE OCUPACIÓN POR CATEGORÍAS ALOJATIVAS</t>
  </si>
  <si>
    <t>ESTANCIAS MEDIAS POR CATEGORÍAS ALOJATIVAS</t>
  </si>
  <si>
    <t>PERNOCTACIONES POR CATEGORÍAS ALOJATIVAS</t>
  </si>
  <si>
    <t>TURISTAS ALOJADOS POR CATEGORÍAS ALOJATIVAS</t>
  </si>
  <si>
    <t>Extrahotelero</t>
  </si>
  <si>
    <t>Hotelero</t>
  </si>
  <si>
    <t>INDICES DE OCUPACIÓN</t>
  </si>
  <si>
    <t>ESTANCIAS MEDIAS</t>
  </si>
  <si>
    <t>PERNOCTACIONES</t>
  </si>
  <si>
    <t>TURISTAS ALOJADOS</t>
  </si>
  <si>
    <t>Fuente</t>
  </si>
  <si>
    <t>Variación respecto al año anterior</t>
  </si>
  <si>
    <t>Valor absoluto
acumulado</t>
  </si>
  <si>
    <t>Variable</t>
  </si>
  <si>
    <t>Ámbito</t>
  </si>
  <si>
    <t>Valor absoluto
mensual</t>
  </si>
  <si>
    <t>Por el Puerto de Santa Cruz de Tenerife han pasado en los primeros tres meses del año 2022, 141.996 cruceristas, un 546,1% más en comparación al mismo período del año 2021</t>
  </si>
  <si>
    <t>El número de buques de crucero en el Puerto de Santa Cruz de Tenerife hasta marzo 2022 ascienden a un total de 123 cruceros, cifra que se incrementa un +80,9% respecto al mismo período del año anterior.</t>
  </si>
  <si>
    <t>Acumulado  
FUENTE: Autoridad Portuaria de S/C de Tenerife</t>
  </si>
  <si>
    <t>Las plazas estimadas por el STDE del Cabildo de Tenerife en marzo de 2022 ascienden a 114.419. Se incremantan un 154,2% respecto al mismo período del año anterior.</t>
  </si>
  <si>
    <t>La oferta extrahotelera estimada por el STDE del Cabildo de Tenerife en marzo de 2022, asciende a 33.978 plazas, incluyendo oferta rural. Supone el 29,7% del total de las plazas turísticas, registrando un incremento del 68,4%.</t>
  </si>
  <si>
    <t>Las plazas estimadas para la zona de La Laguna, Bajamar, La Punta ascienden a 823 en marzo de 2022, registrando un incremento respecto al mismo periodo del año anterior del 39,7%.</t>
  </si>
  <si>
    <t>Las plazas extrahoteleras se estiman en 198, registrándose un incremento del 260,0% respecto al I semestre del año anterior.</t>
  </si>
  <si>
    <t>Las plazas totales estimadas para la zona Norte se sitúan en las 19.276 plazas,  registrándose un incremento del 165,4% con respecto al I semestre del año anterior.</t>
  </si>
  <si>
    <t>Las plazas extrahoteleras estimadas se sitúan en las 28.937 en marzo de  2022, con un incremento del 75,7%  respecto a marzo del año anterior.</t>
  </si>
  <si>
    <t>El número de plazas autorizadas por Policía Turística a fecha de marzo 2022 asciendían a 164.411 plazas, registrando un incremento del 0,8% respecto al cierre del año 2021.</t>
  </si>
  <si>
    <t>Las plazas hoteleras autorizadas ascienden a 87.426 y representan el 53% del total. Con respecto al año 2021, las plazas hoteleras se incrementan un 1,8%.</t>
  </si>
  <si>
    <t>Las plazas extrahoteleras autorizadas, el 29% del total, ascienden a  47.319 (no incluye oferta rural). Disminuye un -0,7% respecto al cierre de 2021.</t>
  </si>
  <si>
    <t>Las plazas de vivienda vacacional autorizadas, el 17% del total, ascienden a  28.047 plazas. Disminuye un 0,0% respecto al cierre de 2021.</t>
  </si>
  <si>
    <t>Las plazas de hoteles rurales autorizadas por Policía Turística ascienden a 543, con un incremento del 0,0% respecto a 2021.</t>
  </si>
  <si>
    <t>Las plazas de casas rurales autorizadas por Policía Turística ascienden a 1.076, registrando un incremento del 2,5% respecto a 2021.</t>
  </si>
  <si>
    <t>marzo 2022 Policía Turística Cabildo de Tenerife</t>
  </si>
  <si>
    <t>INDICADORES TURÍSTICOS DE TENERIFE definitivo</t>
  </si>
  <si>
    <t>marzo 2022</t>
  </si>
  <si>
    <t>acumulado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</si>
</sst>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€&quot;"/>
    <numFmt numFmtId="166" formatCode="#,##0.0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sz val="11"/>
      <color theme="1" tint="0.499984740745262"/>
      <name val="Arial"/>
      <family val="2"/>
    </font>
    <font>
      <b/>
      <sz val="14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0"/>
      <name val="Arial"/>
      <family val="2"/>
    </font>
    <font>
      <sz val="1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8"/>
      <color theme="1" tint="0.499984740745262"/>
      <name val="Arial"/>
      <family val="2"/>
    </font>
    <font>
      <sz val="8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2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sz val="14"/>
      <color theme="0" tint="-0.499984740745262"/>
      <name val="Arial"/>
      <family val="2"/>
    </font>
    <font>
      <b/>
      <sz val="16"/>
      <color theme="9" tint="-0.249977111117893"/>
      <name val="Arial"/>
      <family val="2"/>
    </font>
    <font>
      <b/>
      <sz val="10"/>
      <color theme="1" tint="0.34998626667073579"/>
      <name val="Arial"/>
      <family val="2"/>
    </font>
    <font>
      <b/>
      <sz val="18"/>
      <color theme="1" tint="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6E6E6"/>
        <bgColor indexed="64"/>
      </patternFill>
    </fill>
  </fills>
  <borders count="176">
    <border>
      <left/>
      <right/>
      <top/>
      <bottom/>
      <diagonal/>
    </border>
    <border>
      <left/>
      <right/>
      <top style="thick">
        <color theme="0" tint="-0.1498458815271462"/>
      </top>
      <bottom/>
      <diagonal/>
    </border>
    <border>
      <left/>
      <right style="thick">
        <color theme="0" tint="-0.14990691854609822"/>
      </right>
      <top/>
      <bottom style="thick">
        <color theme="0" tint="-0.149845881527146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0.1498458815271462"/>
      </bottom>
      <diagonal/>
    </border>
    <border>
      <left/>
      <right/>
      <top style="thick">
        <color theme="0" tint="-4.9989318521683403E-2"/>
      </top>
      <bottom style="thick">
        <color theme="0" tint="-0.1498458815271462"/>
      </bottom>
      <diagonal/>
    </border>
    <border>
      <left style="thin">
        <color theme="0" tint="-4.9989318521683403E-2"/>
      </left>
      <right/>
      <top style="thick">
        <color theme="0" tint="-4.9989318521683403E-2"/>
      </top>
      <bottom style="thick">
        <color theme="0" tint="-0.14984588152714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/>
      <right style="thin">
        <color theme="0" tint="-4.9989318521683403E-2"/>
      </right>
      <top style="thick">
        <color theme="0" tint="-4.9989318521683403E-2"/>
      </top>
      <bottom style="thick">
        <color theme="0" tint="-0.149845881527146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/>
      <right style="medium">
        <color theme="0" tint="-4.9989318521683403E-2"/>
      </right>
      <top/>
      <bottom style="thick">
        <color theme="0" tint="-0.1498458815271462"/>
      </bottom>
      <diagonal/>
    </border>
    <border>
      <left style="thick">
        <color theme="0" tint="-0.14990691854609822"/>
      </left>
      <right/>
      <top/>
      <bottom style="thick">
        <color theme="0" tint="-0.1498458815271462"/>
      </bottom>
      <diagonal/>
    </border>
    <border>
      <left/>
      <right style="thick">
        <color theme="0" tint="-0.14990691854609822"/>
      </right>
      <top/>
      <bottom/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0" tint="-4.9989318521683403E-2"/>
      </left>
      <right/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/>
      <top/>
      <bottom/>
      <diagonal/>
    </border>
    <border>
      <left/>
      <right style="medium">
        <color indexed="9"/>
      </right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ck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/>
      <right/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/>
      <top style="thick">
        <color theme="0" tint="-4.9989318521683403E-2"/>
      </top>
      <bottom/>
      <diagonal/>
    </border>
    <border>
      <left/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/>
      <right/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/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/>
      <top/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 style="thin">
        <color theme="0" tint="-4.9989318521683403E-2"/>
      </left>
      <right/>
      <top style="thick">
        <color theme="0" tint="-4.9989318521683403E-2"/>
      </top>
      <bottom/>
      <diagonal/>
    </border>
    <border>
      <left/>
      <right style="thick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indexed="9"/>
      </top>
      <bottom style="medium">
        <color theme="9"/>
      </bottom>
      <diagonal/>
    </border>
    <border>
      <left/>
      <right/>
      <top style="medium">
        <color indexed="9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theme="9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thick">
        <color theme="0" tint="-4.9989318521683403E-2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indexed="9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medium">
        <color indexed="9"/>
      </top>
      <bottom style="medium">
        <color indexed="9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indexed="9"/>
      </bottom>
      <diagonal/>
    </border>
    <border>
      <left style="medium">
        <color theme="0" tint="-0.24994659260841701"/>
      </left>
      <right/>
      <top style="thick">
        <color theme="0" tint="-0.14996795556505021"/>
      </top>
      <bottom style="medium">
        <color theme="0" tint="-0.2499465926084170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thick">
        <color theme="0" tint="-0.14996795556505021"/>
      </left>
      <right/>
      <top style="medium">
        <color rgb="FFECECEC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 style="medium">
        <color rgb="FFECECEC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/>
      <top style="thin">
        <color theme="0" tint="-4.9989318521683403E-2"/>
      </top>
      <bottom style="thick">
        <color theme="0" tint="-0.1499374370555742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6795556505021"/>
      </left>
      <right/>
      <top style="medium">
        <color rgb="FFECECEC"/>
      </top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24994659260841701"/>
      </left>
      <right/>
      <top/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0.24994659260841701"/>
      </left>
      <right/>
      <top style="medium">
        <color theme="0" tint="-4.9989318521683403E-2"/>
      </top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 style="thin">
        <color theme="0" tint="-4.9989318521683403E-2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2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/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164" fontId="5" fillId="4" borderId="6" xfId="1" applyNumberFormat="1" applyFont="1" applyFill="1" applyBorder="1" applyAlignment="1" applyProtection="1">
      <alignment horizontal="center" vertical="center" wrapText="1"/>
      <protection hidden="1"/>
    </xf>
    <xf numFmtId="3" fontId="5" fillId="3" borderId="7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164" fontId="5" fillId="4" borderId="15" xfId="1" applyNumberFormat="1" applyFont="1" applyFill="1" applyBorder="1" applyAlignment="1" applyProtection="1">
      <alignment horizontal="center" vertical="center" wrapText="1"/>
      <protection hidden="1"/>
    </xf>
    <xf numFmtId="3" fontId="5" fillId="0" borderId="16" xfId="0" applyNumberFormat="1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8" fillId="6" borderId="23" xfId="0" applyFont="1" applyFill="1" applyBorder="1" applyAlignment="1" applyProtection="1">
      <alignment horizontal="center" vertical="center" wrapText="1"/>
      <protection hidden="1"/>
    </xf>
    <xf numFmtId="0" fontId="8" fillId="6" borderId="24" xfId="0" applyFont="1" applyFill="1" applyBorder="1" applyAlignment="1" applyProtection="1">
      <alignment horizontal="center" vertical="center" wrapText="1"/>
      <protection hidden="1"/>
    </xf>
    <xf numFmtId="0" fontId="7" fillId="5" borderId="25" xfId="0" applyFont="1" applyFill="1" applyBorder="1" applyAlignment="1" applyProtection="1">
      <alignment horizontal="center" vertical="center" wrapText="1"/>
      <protection hidden="1"/>
    </xf>
    <xf numFmtId="0" fontId="7" fillId="5" borderId="26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3" borderId="29" xfId="0" applyFont="1" applyFill="1" applyBorder="1" applyAlignment="1" applyProtection="1">
      <alignment horizontal="left" vertical="center" wrapText="1"/>
      <protection hidden="1"/>
    </xf>
    <xf numFmtId="164" fontId="5" fillId="4" borderId="30" xfId="1" applyNumberFormat="1" applyFont="1" applyFill="1" applyBorder="1" applyAlignment="1" applyProtection="1">
      <alignment horizontal="center" vertical="center" wrapText="1"/>
      <protection hidden="1"/>
    </xf>
    <xf numFmtId="3" fontId="5" fillId="4" borderId="31" xfId="0" applyNumberFormat="1" applyFont="1" applyFill="1" applyBorder="1" applyAlignment="1" applyProtection="1">
      <alignment horizontal="center" vertical="center" wrapText="1"/>
      <protection hidden="1"/>
    </xf>
    <xf numFmtId="3" fontId="5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 wrapText="1"/>
      <protection hidden="1"/>
    </xf>
    <xf numFmtId="164" fontId="5" fillId="4" borderId="36" xfId="1" applyNumberFormat="1" applyFont="1" applyFill="1" applyBorder="1" applyAlignment="1" applyProtection="1">
      <alignment horizontal="center" vertical="center" wrapText="1"/>
      <protection hidden="1"/>
    </xf>
    <xf numFmtId="3" fontId="5" fillId="4" borderId="37" xfId="0" applyNumberFormat="1" applyFont="1" applyFill="1" applyBorder="1" applyAlignment="1" applyProtection="1">
      <alignment horizontal="center" vertical="center" wrapText="1"/>
      <protection hidden="1"/>
    </xf>
    <xf numFmtId="3" fontId="5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3" borderId="41" xfId="0" applyFont="1" applyFill="1" applyBorder="1" applyAlignment="1" applyProtection="1">
      <alignment horizontal="left" vertical="center" wrapText="1"/>
      <protection hidden="1"/>
    </xf>
    <xf numFmtId="164" fontId="5" fillId="4" borderId="42" xfId="1" applyNumberFormat="1" applyFont="1" applyFill="1" applyBorder="1" applyAlignment="1" applyProtection="1">
      <alignment horizontal="center" vertical="center" wrapText="1"/>
      <protection hidden="1"/>
    </xf>
    <xf numFmtId="3" fontId="5" fillId="4" borderId="43" xfId="0" applyNumberFormat="1" applyFont="1" applyFill="1" applyBorder="1" applyAlignment="1" applyProtection="1">
      <alignment horizontal="center" vertical="center" wrapText="1"/>
      <protection hidden="1"/>
    </xf>
    <xf numFmtId="3" fontId="5" fillId="4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4" xfId="0" applyFont="1" applyFill="1" applyBorder="1" applyAlignment="1" applyProtection="1">
      <alignment horizontal="center" vertical="center" wrapText="1"/>
      <protection hidden="1"/>
    </xf>
    <xf numFmtId="0" fontId="4" fillId="4" borderId="45" xfId="0" applyFont="1" applyFill="1" applyBorder="1" applyAlignment="1" applyProtection="1">
      <alignment horizontal="center" vertical="center" wrapText="1"/>
      <protection hidden="1"/>
    </xf>
    <xf numFmtId="0" fontId="4" fillId="4" borderId="46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  <protection hidden="1"/>
    </xf>
    <xf numFmtId="164" fontId="5" fillId="4" borderId="50" xfId="1" applyNumberFormat="1" applyFont="1" applyFill="1" applyBorder="1" applyAlignment="1" applyProtection="1">
      <alignment horizontal="center" vertical="center" wrapText="1"/>
      <protection hidden="1"/>
    </xf>
    <xf numFmtId="3" fontId="5" fillId="0" borderId="51" xfId="0" applyNumberFormat="1" applyFont="1" applyBorder="1" applyAlignment="1" applyProtection="1">
      <alignment horizontal="center" vertical="center" wrapText="1"/>
      <protection hidden="1"/>
    </xf>
    <xf numFmtId="3" fontId="5" fillId="0" borderId="49" xfId="0" applyNumberFormat="1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3" fontId="5" fillId="0" borderId="37" xfId="0" applyNumberFormat="1" applyFont="1" applyBorder="1" applyAlignment="1" applyProtection="1">
      <alignment horizontal="center" vertical="center" wrapText="1"/>
      <protection hidden="1"/>
    </xf>
    <xf numFmtId="3" fontId="5" fillId="0" borderId="35" xfId="0" applyNumberFormat="1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left" vertical="center" wrapText="1"/>
      <protection hidden="1"/>
    </xf>
    <xf numFmtId="3" fontId="5" fillId="0" borderId="43" xfId="0" applyNumberFormat="1" applyFont="1" applyBorder="1" applyAlignment="1" applyProtection="1">
      <alignment horizontal="center" vertical="center" wrapText="1"/>
      <protection hidden="1"/>
    </xf>
    <xf numFmtId="3" fontId="5" fillId="0" borderId="41" xfId="0" applyNumberFormat="1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2" fillId="3" borderId="49" xfId="0" applyFont="1" applyFill="1" applyBorder="1" applyAlignment="1" applyProtection="1">
      <alignment horizontal="left" vertical="center" wrapText="1"/>
      <protection hidden="1"/>
    </xf>
    <xf numFmtId="3" fontId="5" fillId="3" borderId="51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0" fontId="4" fillId="3" borderId="53" xfId="0" applyFont="1" applyFill="1" applyBorder="1" applyAlignment="1" applyProtection="1">
      <alignment horizontal="center" vertical="center" wrapText="1"/>
      <protection hidden="1"/>
    </xf>
    <xf numFmtId="0" fontId="4" fillId="3" borderId="54" xfId="0" applyFont="1" applyFill="1" applyBorder="1" applyAlignment="1" applyProtection="1">
      <alignment horizontal="center" vertical="center" wrapText="1"/>
      <protection hidden="1"/>
    </xf>
    <xf numFmtId="3" fontId="5" fillId="3" borderId="37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3" fontId="5" fillId="3" borderId="43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2" applyFont="1"/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2" fillId="0" borderId="57" xfId="0" applyFont="1" applyBorder="1" applyAlignment="1" applyProtection="1">
      <alignment horizontal="left" vertical="center" wrapText="1"/>
      <protection hidden="1"/>
    </xf>
    <xf numFmtId="3" fontId="5" fillId="0" borderId="42" xfId="0" applyNumberFormat="1" applyFont="1" applyBorder="1" applyAlignment="1" applyProtection="1">
      <alignment horizontal="center" vertical="center" wrapText="1"/>
      <protection hidden="1"/>
    </xf>
    <xf numFmtId="0" fontId="9" fillId="7" borderId="49" xfId="0" applyFont="1" applyFill="1" applyBorder="1" applyAlignment="1" applyProtection="1">
      <alignment horizontal="left" vertical="center" wrapText="1"/>
      <protection hidden="1"/>
    </xf>
    <xf numFmtId="3" fontId="10" fillId="7" borderId="51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49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52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54" xfId="0" applyFont="1" applyFill="1" applyBorder="1" applyAlignment="1" applyProtection="1">
      <alignment horizontal="center" vertical="center" wrapText="1"/>
      <protection hidden="1"/>
    </xf>
    <xf numFmtId="0" fontId="9" fillId="7" borderId="35" xfId="0" applyFont="1" applyFill="1" applyBorder="1" applyAlignment="1" applyProtection="1">
      <alignment horizontal="left" vertical="center" wrapText="1"/>
      <protection hidden="1"/>
    </xf>
    <xf numFmtId="3" fontId="10" fillId="7" borderId="37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35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38" xfId="0" applyFont="1" applyFill="1" applyBorder="1" applyAlignment="1" applyProtection="1">
      <alignment horizontal="center" vertical="center" wrapText="1"/>
      <protection hidden="1"/>
    </xf>
    <xf numFmtId="0" fontId="11" fillId="7" borderId="18" xfId="0" applyFont="1" applyFill="1" applyBorder="1" applyAlignment="1" applyProtection="1">
      <alignment horizontal="center" vertical="center" wrapText="1"/>
      <protection hidden="1"/>
    </xf>
    <xf numFmtId="0" fontId="11" fillId="7" borderId="19" xfId="0" applyFont="1" applyFill="1" applyBorder="1" applyAlignment="1" applyProtection="1">
      <alignment horizontal="center" vertical="center" wrapText="1"/>
      <protection hidden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9" fillId="7" borderId="60" xfId="0" applyFont="1" applyFill="1" applyBorder="1" applyAlignment="1" applyProtection="1">
      <alignment horizontal="left" vertical="center" wrapText="1"/>
      <protection hidden="1"/>
    </xf>
    <xf numFmtId="164" fontId="5" fillId="4" borderId="61" xfId="1" applyNumberFormat="1" applyFont="1" applyFill="1" applyBorder="1" applyAlignment="1" applyProtection="1">
      <alignment horizontal="center" vertical="center" wrapText="1"/>
      <protection hidden="1"/>
    </xf>
    <xf numFmtId="3" fontId="10" fillId="7" borderId="62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60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63" xfId="0" applyFont="1" applyFill="1" applyBorder="1" applyAlignment="1" applyProtection="1">
      <alignment horizontal="center" vertical="center" wrapText="1"/>
      <protection hidden="1"/>
    </xf>
    <xf numFmtId="0" fontId="12" fillId="6" borderId="64" xfId="0" applyFont="1" applyFill="1" applyBorder="1" applyAlignment="1" applyProtection="1">
      <alignment horizontal="center" vertical="center" wrapText="1"/>
      <protection hidden="1"/>
    </xf>
    <xf numFmtId="0" fontId="12" fillId="6" borderId="65" xfId="0" applyFont="1" applyFill="1" applyBorder="1" applyAlignment="1" applyProtection="1">
      <alignment horizontal="center" vertical="center" wrapText="1"/>
      <protection hidden="1"/>
    </xf>
    <xf numFmtId="0" fontId="12" fillId="6" borderId="66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vertical="center" wrapText="1"/>
      <protection hidden="1"/>
    </xf>
    <xf numFmtId="0" fontId="13" fillId="2" borderId="2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5" borderId="0" xfId="0" applyFont="1" applyFill="1" applyAlignment="1" applyProtection="1">
      <alignment horizontal="center" vertical="center" wrapText="1"/>
      <protection hidden="1"/>
    </xf>
    <xf numFmtId="164" fontId="2" fillId="0" borderId="0" xfId="1" applyNumberFormat="1" applyFont="1"/>
    <xf numFmtId="164" fontId="6" fillId="0" borderId="0" xfId="1" applyNumberFormat="1" applyFont="1" applyAlignment="1" applyProtection="1">
      <alignment vertical="center" wrapText="1"/>
      <protection hidden="1"/>
    </xf>
    <xf numFmtId="0" fontId="2" fillId="0" borderId="67" xfId="0" applyFont="1" applyBorder="1" applyAlignment="1" applyProtection="1">
      <alignment horizontal="left" vertical="center" wrapText="1"/>
      <protection hidden="1"/>
    </xf>
    <xf numFmtId="0" fontId="2" fillId="0" borderId="68" xfId="0" applyFont="1" applyBorder="1" applyAlignment="1" applyProtection="1">
      <alignment horizontal="left" vertical="center" wrapText="1"/>
      <protection hidden="1"/>
    </xf>
    <xf numFmtId="0" fontId="2" fillId="0" borderId="69" xfId="0" applyFont="1" applyBorder="1" applyAlignment="1" applyProtection="1">
      <alignment horizontal="left" vertical="center" wrapText="1"/>
      <protection hidden="1"/>
    </xf>
    <xf numFmtId="3" fontId="5" fillId="0" borderId="70" xfId="0" applyNumberFormat="1" applyFont="1" applyBorder="1" applyAlignment="1" applyProtection="1">
      <alignment horizontal="center" vertical="center" wrapText="1"/>
      <protection hidden="1"/>
    </xf>
    <xf numFmtId="3" fontId="5" fillId="0" borderId="69" xfId="0" applyNumberFormat="1" applyFont="1" applyBorder="1" applyAlignment="1" applyProtection="1">
      <alignment horizontal="center" vertical="center" wrapText="1"/>
      <protection hidden="1"/>
    </xf>
    <xf numFmtId="0" fontId="4" fillId="0" borderId="71" xfId="0" applyFont="1" applyBorder="1" applyAlignment="1" applyProtection="1">
      <alignment horizontal="center" vertical="center" wrapText="1"/>
      <protection hidden="1"/>
    </xf>
    <xf numFmtId="0" fontId="4" fillId="0" borderId="72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2" fillId="3" borderId="69" xfId="0" applyFont="1" applyFill="1" applyBorder="1" applyAlignment="1" applyProtection="1">
      <alignment horizontal="left" vertical="center" wrapText="1"/>
      <protection hidden="1"/>
    </xf>
    <xf numFmtId="3" fontId="5" fillId="3" borderId="70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69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1" xfId="0" applyFont="1" applyFill="1" applyBorder="1" applyAlignment="1" applyProtection="1">
      <alignment horizontal="center" vertical="center" wrapText="1"/>
      <protection hidden="1"/>
    </xf>
    <xf numFmtId="0" fontId="2" fillId="7" borderId="14" xfId="0" applyFont="1" applyFill="1" applyBorder="1" applyAlignment="1" applyProtection="1">
      <alignment horizontal="left" vertical="center" wrapText="1"/>
      <protection hidden="1"/>
    </xf>
    <xf numFmtId="3" fontId="5" fillId="7" borderId="16" xfId="0" applyNumberFormat="1" applyFont="1" applyFill="1" applyBorder="1" applyAlignment="1" applyProtection="1">
      <alignment horizontal="center" vertical="center" wrapText="1"/>
      <protection hidden="1"/>
    </xf>
    <xf numFmtId="3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73" xfId="0" applyFont="1" applyFill="1" applyBorder="1" applyAlignment="1" applyProtection="1">
      <alignment horizontal="center" vertical="center" wrapText="1"/>
      <protection hidden="1"/>
    </xf>
    <xf numFmtId="164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left"/>
    </xf>
    <xf numFmtId="0" fontId="4" fillId="0" borderId="74" xfId="0" applyFont="1" applyBorder="1" applyAlignment="1" applyProtection="1">
      <alignment horizontal="center" vertical="center" wrapText="1"/>
      <protection hidden="1"/>
    </xf>
    <xf numFmtId="164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75" xfId="0" applyNumberFormat="1" applyFont="1" applyBorder="1" applyAlignment="1" applyProtection="1">
      <alignment horizontal="right" vertical="center" wrapText="1" indent="1"/>
      <protection hidden="1"/>
    </xf>
    <xf numFmtId="0" fontId="4" fillId="0" borderId="76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77" xfId="0" applyFont="1" applyBorder="1" applyAlignment="1" applyProtection="1">
      <alignment horizontal="center" vertical="center" wrapText="1"/>
      <protection hidden="1"/>
    </xf>
    <xf numFmtId="0" fontId="4" fillId="0" borderId="78" xfId="0" applyFont="1" applyBorder="1" applyAlignment="1" applyProtection="1">
      <alignment horizontal="center" vertical="center" wrapText="1"/>
      <protection hidden="1"/>
    </xf>
    <xf numFmtId="0" fontId="4" fillId="0" borderId="79" xfId="0" applyFont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0" borderId="81" xfId="0" applyFont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165" fontId="5" fillId="3" borderId="75" xfId="0" applyNumberFormat="1" applyFont="1" applyFill="1" applyBorder="1" applyAlignment="1" applyProtection="1">
      <alignment horizontal="right" vertical="center" wrapText="1" indent="1"/>
      <protection hidden="1"/>
    </xf>
    <xf numFmtId="0" fontId="4" fillId="3" borderId="76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3" borderId="77" xfId="0" applyFont="1" applyFill="1" applyBorder="1" applyAlignment="1" applyProtection="1">
      <alignment horizontal="center" vertical="center" wrapText="1"/>
      <protection hidden="1"/>
    </xf>
    <xf numFmtId="0" fontId="4" fillId="3" borderId="82" xfId="0" applyFont="1" applyFill="1" applyBorder="1" applyAlignment="1" applyProtection="1">
      <alignment horizontal="center" vertical="center" wrapText="1"/>
      <protection hidden="1"/>
    </xf>
    <xf numFmtId="0" fontId="4" fillId="3" borderId="78" xfId="0" applyFont="1" applyFill="1" applyBorder="1" applyAlignment="1" applyProtection="1">
      <alignment horizontal="center" vertical="center" wrapText="1"/>
      <protection hidden="1"/>
    </xf>
    <xf numFmtId="0" fontId="4" fillId="0" borderId="83" xfId="0" applyFont="1" applyBorder="1" applyAlignment="1" applyProtection="1">
      <alignment horizontal="center" vertical="center" wrapText="1"/>
      <protection hidden="1"/>
    </xf>
    <xf numFmtId="164" fontId="14" fillId="0" borderId="0" xfId="0" applyNumberFormat="1" applyFont="1" applyAlignment="1" applyProtection="1">
      <alignment horizontal="center" vertical="center" wrapText="1"/>
      <protection hidden="1"/>
    </xf>
    <xf numFmtId="10" fontId="14" fillId="0" borderId="0" xfId="1" applyNumberFormat="1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1" applyNumberFormat="1" applyFont="1" applyFill="1" applyBorder="1" applyAlignment="1" applyProtection="1">
      <alignment vertical="center" wrapText="1"/>
      <protection hidden="1"/>
    </xf>
    <xf numFmtId="164" fontId="10" fillId="7" borderId="86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89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0" xfId="1" applyNumberFormat="1" applyFont="1" applyFill="1" applyBorder="1" applyAlignment="1" applyProtection="1">
      <alignment vertical="center" wrapText="1"/>
      <protection hidden="1"/>
    </xf>
    <xf numFmtId="164" fontId="5" fillId="3" borderId="91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2" xfId="1" applyNumberFormat="1" applyFont="1" applyFill="1" applyBorder="1" applyAlignment="1" applyProtection="1">
      <alignment horizontal="center" vertical="center" wrapText="1"/>
      <protection hidden="1"/>
    </xf>
    <xf numFmtId="164" fontId="5" fillId="3" borderId="90" xfId="1" applyNumberFormat="1" applyFont="1" applyFill="1" applyBorder="1" applyAlignment="1" applyProtection="1">
      <alignment horizontal="center" vertical="center" wrapText="1"/>
      <protection hidden="1"/>
    </xf>
    <xf numFmtId="3" fontId="7" fillId="3" borderId="93" xfId="0" applyNumberFormat="1" applyFont="1" applyFill="1" applyBorder="1" applyAlignment="1" applyProtection="1">
      <alignment horizontal="left" vertical="center" wrapText="1"/>
      <protection hidden="1"/>
    </xf>
    <xf numFmtId="164" fontId="5" fillId="0" borderId="94" xfId="0" applyNumberFormat="1" applyFont="1" applyBorder="1" applyAlignment="1" applyProtection="1">
      <alignment horizontal="center" vertical="center" wrapText="1"/>
      <protection hidden="1"/>
    </xf>
    <xf numFmtId="164" fontId="5" fillId="0" borderId="95" xfId="1" applyNumberFormat="1" applyFont="1" applyBorder="1" applyAlignment="1" applyProtection="1">
      <alignment vertical="center" wrapText="1"/>
      <protection hidden="1"/>
    </xf>
    <xf numFmtId="164" fontId="5" fillId="0" borderId="96" xfId="0" applyNumberFormat="1" applyFont="1" applyBorder="1" applyAlignment="1" applyProtection="1">
      <alignment horizontal="center" vertical="center" wrapText="1"/>
      <protection hidden="1"/>
    </xf>
    <xf numFmtId="164" fontId="5" fillId="0" borderId="97" xfId="1" applyNumberFormat="1" applyFont="1" applyBorder="1" applyAlignment="1" applyProtection="1">
      <alignment horizontal="center" vertical="center" wrapText="1"/>
      <protection hidden="1"/>
    </xf>
    <xf numFmtId="164" fontId="5" fillId="0" borderId="95" xfId="1" applyNumberFormat="1" applyFont="1" applyBorder="1" applyAlignment="1" applyProtection="1">
      <alignment horizontal="center" vertical="center" wrapText="1"/>
      <protection hidden="1"/>
    </xf>
    <xf numFmtId="164" fontId="2" fillId="0" borderId="98" xfId="0" applyNumberFormat="1" applyFont="1" applyBorder="1" applyAlignment="1" applyProtection="1">
      <alignment horizontal="left" vertical="center" wrapText="1"/>
      <protection hidden="1"/>
    </xf>
    <xf numFmtId="164" fontId="5" fillId="3" borderId="99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100" xfId="1" applyNumberFormat="1" applyFont="1" applyFill="1" applyBorder="1" applyAlignment="1" applyProtection="1">
      <alignment vertical="center" wrapText="1"/>
      <protection hidden="1"/>
    </xf>
    <xf numFmtId="164" fontId="5" fillId="3" borderId="96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7" xfId="1" applyNumberFormat="1" applyFont="1" applyFill="1" applyBorder="1" applyAlignment="1" applyProtection="1">
      <alignment horizontal="center" vertical="center" wrapText="1"/>
      <protection hidden="1"/>
    </xf>
    <xf numFmtId="164" fontId="5" fillId="3" borderId="100" xfId="1" applyNumberFormat="1" applyFont="1" applyFill="1" applyBorder="1" applyAlignment="1" applyProtection="1">
      <alignment horizontal="center" vertical="center" wrapText="1"/>
      <protection hidden="1"/>
    </xf>
    <xf numFmtId="164" fontId="16" fillId="3" borderId="101" xfId="0" applyNumberFormat="1" applyFont="1" applyFill="1" applyBorder="1" applyAlignment="1" applyProtection="1">
      <alignment horizontal="left" vertical="center" wrapText="1"/>
      <protection hidden="1"/>
    </xf>
    <xf numFmtId="164" fontId="5" fillId="0" borderId="99" xfId="0" applyNumberFormat="1" applyFont="1" applyBorder="1" applyAlignment="1" applyProtection="1">
      <alignment horizontal="center" vertical="center" wrapText="1"/>
      <protection hidden="1"/>
    </xf>
    <xf numFmtId="164" fontId="5" fillId="0" borderId="100" xfId="1" applyNumberFormat="1" applyFont="1" applyBorder="1" applyAlignment="1" applyProtection="1">
      <alignment vertical="center" wrapText="1"/>
      <protection hidden="1"/>
    </xf>
    <xf numFmtId="164" fontId="5" fillId="0" borderId="100" xfId="1" applyNumberFormat="1" applyFont="1" applyBorder="1" applyAlignment="1" applyProtection="1">
      <alignment horizontal="center" vertical="center" wrapText="1"/>
      <protection hidden="1"/>
    </xf>
    <xf numFmtId="164" fontId="2" fillId="0" borderId="98" xfId="0" applyNumberFormat="1" applyFont="1" applyBorder="1" applyAlignment="1" applyProtection="1">
      <alignment horizontal="right" vertical="center" wrapText="1"/>
      <protection hidden="1"/>
    </xf>
    <xf numFmtId="164" fontId="16" fillId="3" borderId="10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02" xfId="1" applyNumberFormat="1" applyFont="1" applyBorder="1" applyAlignment="1" applyProtection="1">
      <alignment vertical="center" wrapText="1"/>
      <protection hidden="1"/>
    </xf>
    <xf numFmtId="164" fontId="5" fillId="0" borderId="102" xfId="1" applyNumberFormat="1" applyFont="1" applyBorder="1" applyAlignment="1" applyProtection="1">
      <alignment horizontal="center" vertical="center" wrapText="1"/>
      <protection hidden="1"/>
    </xf>
    <xf numFmtId="164" fontId="5" fillId="0" borderId="89" xfId="0" applyNumberFormat="1" applyFont="1" applyBorder="1" applyAlignment="1" applyProtection="1">
      <alignment horizontal="center" vertical="center" wrapText="1"/>
      <protection hidden="1"/>
    </xf>
    <xf numFmtId="164" fontId="5" fillId="0" borderId="103" xfId="1" applyNumberFormat="1" applyFont="1" applyBorder="1" applyAlignment="1" applyProtection="1">
      <alignment vertical="center" wrapText="1"/>
      <protection hidden="1"/>
    </xf>
    <xf numFmtId="164" fontId="5" fillId="0" borderId="91" xfId="0" applyNumberFormat="1" applyFont="1" applyBorder="1" applyAlignment="1" applyProtection="1">
      <alignment horizontal="center" vertical="center" wrapText="1"/>
      <protection hidden="1"/>
    </xf>
    <xf numFmtId="164" fontId="5" fillId="0" borderId="92" xfId="1" applyNumberFormat="1" applyFont="1" applyBorder="1" applyAlignment="1" applyProtection="1">
      <alignment horizontal="center" vertical="center" wrapText="1"/>
      <protection hidden="1"/>
    </xf>
    <xf numFmtId="164" fontId="5" fillId="0" borderId="103" xfId="1" applyNumberFormat="1" applyFont="1" applyBorder="1" applyAlignment="1" applyProtection="1">
      <alignment horizontal="center" vertical="center" wrapText="1"/>
      <protection hidden="1"/>
    </xf>
    <xf numFmtId="0" fontId="7" fillId="0" borderId="93" xfId="0" applyFont="1" applyBorder="1" applyAlignment="1" applyProtection="1">
      <alignment horizontal="left" vertical="center" wrapText="1"/>
      <protection hidden="1"/>
    </xf>
    <xf numFmtId="0" fontId="17" fillId="5" borderId="104" xfId="0" applyFont="1" applyFill="1" applyBorder="1" applyAlignment="1" applyProtection="1">
      <alignment horizontal="center" vertical="center" wrapText="1"/>
      <protection hidden="1"/>
    </xf>
    <xf numFmtId="0" fontId="17" fillId="5" borderId="105" xfId="0" applyFont="1" applyFill="1" applyBorder="1" applyAlignment="1" applyProtection="1">
      <alignment horizontal="center" vertical="center" wrapText="1"/>
      <protection hidden="1"/>
    </xf>
    <xf numFmtId="0" fontId="17" fillId="5" borderId="106" xfId="0" applyFont="1" applyFill="1" applyBorder="1" applyAlignment="1" applyProtection="1">
      <alignment horizontal="center" vertical="center" wrapText="1"/>
      <protection hidden="1"/>
    </xf>
    <xf numFmtId="0" fontId="17" fillId="5" borderId="107" xfId="0" applyFont="1" applyFill="1" applyBorder="1" applyAlignment="1" applyProtection="1">
      <alignment horizontal="center" vertical="center" wrapText="1"/>
      <protection hidden="1"/>
    </xf>
    <xf numFmtId="0" fontId="2" fillId="5" borderId="108" xfId="0" applyFont="1" applyFill="1" applyBorder="1" applyAlignment="1" applyProtection="1">
      <alignment vertical="center" wrapText="1"/>
      <protection hidden="1"/>
    </xf>
    <xf numFmtId="0" fontId="7" fillId="5" borderId="109" xfId="0" applyFont="1" applyFill="1" applyBorder="1" applyAlignment="1" applyProtection="1">
      <alignment horizontal="center" vertical="center" wrapText="1"/>
      <protection hidden="1"/>
    </xf>
    <xf numFmtId="0" fontId="7" fillId="5" borderId="110" xfId="0" applyFont="1" applyFill="1" applyBorder="1" applyAlignment="1" applyProtection="1">
      <alignment horizontal="center" vertical="center" wrapText="1"/>
      <protection hidden="1"/>
    </xf>
    <xf numFmtId="0" fontId="7" fillId="5" borderId="111" xfId="0" applyFont="1" applyFill="1" applyBorder="1" applyAlignment="1" applyProtection="1">
      <alignment horizontal="center" vertical="center" wrapText="1"/>
      <protection hidden="1"/>
    </xf>
    <xf numFmtId="0" fontId="2" fillId="5" borderId="112" xfId="0" applyFont="1" applyFill="1" applyBorder="1" applyAlignment="1" applyProtection="1">
      <alignment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16" fillId="0" borderId="113" xfId="0" applyFont="1" applyBorder="1" applyAlignment="1" applyProtection="1">
      <alignment horizontal="center" vertical="center" wrapText="1"/>
      <protection hidden="1"/>
    </xf>
    <xf numFmtId="3" fontId="7" fillId="8" borderId="114" xfId="0" applyNumberFormat="1" applyFont="1" applyFill="1" applyBorder="1" applyAlignment="1" applyProtection="1">
      <alignment horizontal="center" vertical="center" wrapText="1"/>
      <protection hidden="1"/>
    </xf>
    <xf numFmtId="10" fontId="7" fillId="0" borderId="114" xfId="1" applyNumberFormat="1" applyFont="1" applyBorder="1" applyAlignment="1" applyProtection="1">
      <alignment horizontal="center" vertical="center" wrapText="1"/>
      <protection hidden="1"/>
    </xf>
    <xf numFmtId="0" fontId="6" fillId="8" borderId="114" xfId="0" applyFont="1" applyFill="1" applyBorder="1" applyAlignment="1" applyProtection="1">
      <alignment horizontal="center" vertical="center" wrapText="1"/>
      <protection hidden="1"/>
    </xf>
    <xf numFmtId="0" fontId="18" fillId="8" borderId="114" xfId="0" applyFont="1" applyFill="1" applyBorder="1" applyAlignment="1" applyProtection="1">
      <alignment horizontal="right" vertical="center" wrapText="1"/>
      <protection hidden="1"/>
    </xf>
    <xf numFmtId="0" fontId="15" fillId="9" borderId="115" xfId="0" applyFont="1" applyFill="1" applyBorder="1" applyAlignment="1" applyProtection="1">
      <alignment horizontal="center" vertical="center" wrapText="1"/>
      <protection hidden="1"/>
    </xf>
    <xf numFmtId="0" fontId="2" fillId="8" borderId="116" xfId="0" applyFont="1" applyFill="1" applyBorder="1" applyAlignment="1" applyProtection="1">
      <alignment vertical="center" wrapText="1"/>
      <protection hidden="1"/>
    </xf>
    <xf numFmtId="0" fontId="19" fillId="7" borderId="25" xfId="0" applyFont="1" applyFill="1" applyBorder="1" applyAlignment="1" applyProtection="1">
      <alignment horizontal="center" vertical="center"/>
      <protection hidden="1"/>
    </xf>
    <xf numFmtId="0" fontId="19" fillId="7" borderId="117" xfId="0" applyFont="1" applyFill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3" fontId="7" fillId="9" borderId="0" xfId="0" applyNumberFormat="1" applyFont="1" applyFill="1" applyAlignment="1" applyProtection="1">
      <alignment horizontal="center" vertical="center" wrapText="1"/>
      <protection hidden="1"/>
    </xf>
    <xf numFmtId="3" fontId="7" fillId="9" borderId="11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9" xfId="0" applyFont="1" applyBorder="1" applyAlignment="1" applyProtection="1">
      <alignment horizontal="center" vertical="center" wrapText="1"/>
      <protection hidden="1"/>
    </xf>
    <xf numFmtId="0" fontId="7" fillId="9" borderId="0" xfId="0" applyFont="1" applyFill="1" applyAlignment="1" applyProtection="1">
      <alignment horizontal="center" vertical="center" wrapText="1"/>
      <protection hidden="1"/>
    </xf>
    <xf numFmtId="0" fontId="7" fillId="9" borderId="118" xfId="0" applyFont="1" applyFill="1" applyBorder="1" applyAlignment="1" applyProtection="1">
      <alignment horizontal="center" vertical="center" wrapText="1"/>
      <protection hidden="1"/>
    </xf>
    <xf numFmtId="0" fontId="2" fillId="0" borderId="119" xfId="0" applyFont="1" applyBorder="1" applyAlignment="1" applyProtection="1">
      <alignment vertical="center" wrapText="1"/>
      <protection hidden="1"/>
    </xf>
    <xf numFmtId="0" fontId="2" fillId="0" borderId="120" xfId="0" applyFont="1" applyBorder="1" applyAlignment="1" applyProtection="1">
      <alignment vertical="center" wrapText="1"/>
      <protection hidden="1"/>
    </xf>
    <xf numFmtId="0" fontId="2" fillId="0" borderId="121" xfId="0" applyFont="1" applyBorder="1" applyAlignment="1" applyProtection="1">
      <alignment vertical="center" wrapText="1"/>
      <protection hidden="1"/>
    </xf>
    <xf numFmtId="17" fontId="7" fillId="9" borderId="0" xfId="0" applyNumberFormat="1" applyFont="1" applyFill="1" applyAlignment="1" applyProtection="1">
      <alignment horizontal="center" vertical="center" wrapText="1"/>
      <protection hidden="1"/>
    </xf>
    <xf numFmtId="17" fontId="7" fillId="9" borderId="118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20" xfId="0" applyFont="1" applyBorder="1" applyAlignment="1" applyProtection="1">
      <alignment horizontal="center" vertical="center" wrapText="1"/>
      <protection hidden="1"/>
    </xf>
    <xf numFmtId="0" fontId="7" fillId="9" borderId="122" xfId="0" applyFont="1" applyFill="1" applyBorder="1" applyAlignment="1" applyProtection="1">
      <alignment horizontal="center" vertical="center" wrapText="1"/>
      <protection hidden="1"/>
    </xf>
    <xf numFmtId="0" fontId="7" fillId="9" borderId="123" xfId="0" applyFont="1" applyFill="1" applyBorder="1" applyAlignment="1" applyProtection="1">
      <alignment horizontal="center" vertical="center" wrapText="1"/>
      <protection hidden="1"/>
    </xf>
    <xf numFmtId="0" fontId="7" fillId="9" borderId="124" xfId="0" applyFont="1" applyFill="1" applyBorder="1" applyAlignment="1" applyProtection="1">
      <alignment horizontal="center" vertical="center" wrapText="1"/>
      <protection hidden="1"/>
    </xf>
    <xf numFmtId="0" fontId="2" fillId="0" borderId="122" xfId="0" applyFont="1" applyBorder="1" applyAlignment="1" applyProtection="1">
      <alignment vertical="center" wrapText="1"/>
      <protection hidden="1"/>
    </xf>
    <xf numFmtId="0" fontId="2" fillId="0" borderId="123" xfId="0" applyFont="1" applyBorder="1" applyAlignment="1" applyProtection="1">
      <alignment vertical="center" wrapText="1"/>
      <protection hidden="1"/>
    </xf>
    <xf numFmtId="0" fontId="2" fillId="0" borderId="124" xfId="0" applyFont="1" applyBorder="1" applyAlignment="1" applyProtection="1">
      <alignment vertical="center" wrapText="1"/>
      <protection hidden="1"/>
    </xf>
    <xf numFmtId="164" fontId="5" fillId="4" borderId="125" xfId="1" applyNumberFormat="1" applyFont="1" applyFill="1" applyBorder="1" applyAlignment="1" applyProtection="1">
      <alignment horizontal="center" vertical="center" wrapText="1"/>
      <protection hidden="1"/>
    </xf>
    <xf numFmtId="3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85" xfId="0" applyNumberFormat="1" applyFont="1" applyFill="1" applyBorder="1" applyAlignment="1" applyProtection="1">
      <alignment horizontal="right" vertical="center" wrapText="1" indent="1"/>
      <protection hidden="1"/>
    </xf>
    <xf numFmtId="0" fontId="10" fillId="7" borderId="88" xfId="0" applyFont="1" applyFill="1" applyBorder="1" applyAlignment="1" applyProtection="1">
      <alignment horizontal="left" vertical="center" wrapText="1"/>
      <protection hidden="1"/>
    </xf>
    <xf numFmtId="164" fontId="5" fillId="4" borderId="126" xfId="1" applyNumberFormat="1" applyFont="1" applyFill="1" applyBorder="1" applyAlignment="1" applyProtection="1">
      <alignment horizontal="center" vertical="center" wrapText="1"/>
      <protection hidden="1"/>
    </xf>
    <xf numFmtId="3" fontId="5" fillId="5" borderId="127" xfId="0" applyNumberFormat="1" applyFont="1" applyFill="1" applyBorder="1" applyAlignment="1" applyProtection="1">
      <alignment horizontal="center" vertical="center" wrapText="1"/>
      <protection hidden="1"/>
    </xf>
    <xf numFmtId="3" fontId="5" fillId="5" borderId="128" xfId="0" applyNumberFormat="1" applyFont="1" applyFill="1" applyBorder="1" applyAlignment="1" applyProtection="1">
      <alignment horizontal="right" vertical="center" wrapText="1" indent="1"/>
      <protection hidden="1"/>
    </xf>
    <xf numFmtId="3" fontId="7" fillId="5" borderId="129" xfId="0" applyNumberFormat="1" applyFont="1" applyFill="1" applyBorder="1" applyAlignment="1" applyProtection="1">
      <alignment horizontal="left" vertical="center" wrapText="1"/>
      <protection hidden="1"/>
    </xf>
    <xf numFmtId="164" fontId="5" fillId="4" borderId="130" xfId="1" applyNumberFormat="1" applyFont="1" applyFill="1" applyBorder="1" applyAlignment="1" applyProtection="1">
      <alignment horizontal="center" vertical="center" wrapText="1"/>
      <protection hidden="1"/>
    </xf>
    <xf numFmtId="3" fontId="5" fillId="0" borderId="131" xfId="0" applyNumberFormat="1" applyFont="1" applyBorder="1" applyAlignment="1" applyProtection="1">
      <alignment horizontal="center" vertical="center" wrapText="1"/>
      <protection hidden="1"/>
    </xf>
    <xf numFmtId="3" fontId="5" fillId="0" borderId="132" xfId="0" applyNumberFormat="1" applyFont="1" applyBorder="1" applyAlignment="1" applyProtection="1">
      <alignment horizontal="right" vertical="center" wrapText="1" indent="1"/>
      <protection hidden="1"/>
    </xf>
    <xf numFmtId="0" fontId="2" fillId="0" borderId="98" xfId="0" applyFont="1" applyBorder="1" applyAlignment="1" applyProtection="1">
      <alignment horizontal="left" vertical="center" wrapText="1"/>
      <protection hidden="1"/>
    </xf>
    <xf numFmtId="164" fontId="5" fillId="4" borderId="133" xfId="1" applyNumberFormat="1" applyFont="1" applyFill="1" applyBorder="1" applyAlignment="1" applyProtection="1">
      <alignment horizontal="center" vertical="center" wrapText="1"/>
      <protection hidden="1"/>
    </xf>
    <xf numFmtId="3" fontId="5" fillId="3" borderId="75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75" xfId="0" applyNumberFormat="1" applyFont="1" applyFill="1" applyBorder="1" applyAlignment="1" applyProtection="1">
      <alignment horizontal="right" vertical="center" wrapText="1" indent="1"/>
      <protection hidden="1"/>
    </xf>
    <xf numFmtId="3" fontId="16" fillId="3" borderId="101" xfId="0" applyNumberFormat="1" applyFont="1" applyFill="1" applyBorder="1" applyAlignment="1" applyProtection="1">
      <alignment horizontal="left" vertical="center" wrapText="1"/>
      <protection hidden="1"/>
    </xf>
    <xf numFmtId="3" fontId="5" fillId="0" borderId="75" xfId="0" applyNumberFormat="1" applyFont="1" applyBorder="1" applyAlignment="1" applyProtection="1">
      <alignment horizontal="center" vertical="center" wrapText="1"/>
      <protection hidden="1"/>
    </xf>
    <xf numFmtId="3" fontId="5" fillId="0" borderId="75" xfId="0" applyNumberFormat="1" applyFont="1" applyBorder="1" applyAlignment="1" applyProtection="1">
      <alignment horizontal="right" vertical="center" wrapText="1" indent="1"/>
      <protection hidden="1"/>
    </xf>
    <xf numFmtId="0" fontId="2" fillId="0" borderId="98" xfId="0" applyFont="1" applyBorder="1" applyAlignment="1" applyProtection="1">
      <alignment horizontal="right" vertical="center" wrapText="1"/>
      <protection hidden="1"/>
    </xf>
    <xf numFmtId="3" fontId="16" fillId="3" borderId="101" xfId="0" applyNumberFormat="1" applyFont="1" applyFill="1" applyBorder="1" applyAlignment="1" applyProtection="1">
      <alignment horizontal="right" vertical="center" wrapText="1"/>
      <protection hidden="1"/>
    </xf>
    <xf numFmtId="164" fontId="20" fillId="4" borderId="133" xfId="1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Border="1" applyAlignment="1" applyProtection="1">
      <alignment horizontal="right" vertical="center" wrapText="1" indent="1"/>
      <protection hidden="1"/>
    </xf>
    <xf numFmtId="164" fontId="20" fillId="4" borderId="134" xfId="1" applyNumberFormat="1" applyFont="1" applyFill="1" applyBorder="1" applyAlignment="1" applyProtection="1">
      <alignment horizontal="center" vertical="center" wrapText="1"/>
      <protection hidden="1"/>
    </xf>
    <xf numFmtId="3" fontId="20" fillId="0" borderId="135" xfId="0" applyNumberFormat="1" applyFont="1" applyBorder="1" applyAlignment="1" applyProtection="1">
      <alignment horizontal="center" vertical="center" wrapText="1"/>
      <protection hidden="1"/>
    </xf>
    <xf numFmtId="3" fontId="20" fillId="0" borderId="136" xfId="0" applyNumberFormat="1" applyFont="1" applyBorder="1" applyAlignment="1" applyProtection="1">
      <alignment horizontal="right" vertical="center" wrapText="1" indent="1"/>
      <protection hidden="1"/>
    </xf>
    <xf numFmtId="3" fontId="5" fillId="0" borderId="135" xfId="0" applyNumberFormat="1" applyFont="1" applyBorder="1" applyAlignment="1" applyProtection="1">
      <alignment horizontal="center" vertical="center" wrapText="1"/>
      <protection hidden="1"/>
    </xf>
    <xf numFmtId="164" fontId="5" fillId="4" borderId="134" xfId="1" applyNumberFormat="1" applyFont="1" applyFill="1" applyBorder="1" applyAlignment="1" applyProtection="1">
      <alignment horizontal="center" vertical="center" wrapText="1"/>
      <protection hidden="1"/>
    </xf>
    <xf numFmtId="3" fontId="5" fillId="0" borderId="136" xfId="0" applyNumberFormat="1" applyFont="1" applyBorder="1" applyAlignment="1" applyProtection="1">
      <alignment horizontal="right" vertical="center" wrapText="1" indent="1"/>
      <protection hidden="1"/>
    </xf>
    <xf numFmtId="0" fontId="2" fillId="0" borderId="101" xfId="0" applyFont="1" applyBorder="1" applyAlignment="1" applyProtection="1">
      <alignment horizontal="right" vertical="center" wrapText="1"/>
      <protection hidden="1"/>
    </xf>
    <xf numFmtId="164" fontId="5" fillId="4" borderId="137" xfId="1" applyNumberFormat="1" applyFont="1" applyFill="1" applyBorder="1" applyAlignment="1" applyProtection="1">
      <alignment horizontal="center" vertical="center" wrapText="1"/>
      <protection hidden="1"/>
    </xf>
    <xf numFmtId="3" fontId="5" fillId="0" borderId="90" xfId="0" applyNumberFormat="1" applyFont="1" applyBorder="1" applyAlignment="1" applyProtection="1">
      <alignment horizontal="center" vertical="center" wrapText="1"/>
      <protection hidden="1"/>
    </xf>
    <xf numFmtId="3" fontId="5" fillId="0" borderId="90" xfId="0" applyNumberFormat="1" applyFont="1" applyBorder="1" applyAlignment="1" applyProtection="1">
      <alignment horizontal="right" vertical="center" wrapText="1" indent="1"/>
      <protection hidden="1"/>
    </xf>
    <xf numFmtId="0" fontId="17" fillId="5" borderId="138" xfId="0" applyFont="1" applyFill="1" applyBorder="1" applyAlignment="1" applyProtection="1">
      <alignment horizontal="center" vertical="center" wrapText="1"/>
      <protection hidden="1"/>
    </xf>
    <xf numFmtId="0" fontId="17" fillId="5" borderId="139" xfId="0" applyFont="1" applyFill="1" applyBorder="1" applyAlignment="1" applyProtection="1">
      <alignment horizontal="center" vertical="center" wrapText="1"/>
      <protection hidden="1"/>
    </xf>
    <xf numFmtId="0" fontId="17" fillId="5" borderId="140" xfId="0" applyFont="1" applyFill="1" applyBorder="1" applyAlignment="1" applyProtection="1">
      <alignment horizontal="center" vertical="center" wrapText="1"/>
      <protection hidden="1"/>
    </xf>
    <xf numFmtId="0" fontId="16" fillId="0" borderId="141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6" fillId="0" borderId="118" xfId="0" applyFont="1" applyBorder="1" applyAlignment="1" applyProtection="1">
      <alignment horizontal="center" vertical="center" wrapText="1"/>
      <protection hidden="1"/>
    </xf>
    <xf numFmtId="0" fontId="16" fillId="0" borderId="76" xfId="0" applyFont="1" applyBorder="1" applyAlignment="1" applyProtection="1">
      <alignment horizontal="center" vertical="center" wrapText="1"/>
      <protection hidden="1"/>
    </xf>
    <xf numFmtId="0" fontId="21" fillId="0" borderId="120" xfId="0" applyFont="1" applyBorder="1" applyAlignment="1" applyProtection="1">
      <alignment horizontal="center" vertical="center" wrapText="1"/>
      <protection hidden="1"/>
    </xf>
    <xf numFmtId="0" fontId="16" fillId="0" borderId="142" xfId="0" applyFont="1" applyBorder="1" applyAlignment="1" applyProtection="1">
      <alignment horizontal="center" vertical="center" wrapText="1"/>
      <protection hidden="1"/>
    </xf>
    <xf numFmtId="0" fontId="7" fillId="0" borderId="143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44" xfId="0" applyFont="1" applyBorder="1" applyAlignment="1" applyProtection="1">
      <alignment horizontal="center" vertical="center" wrapText="1"/>
      <protection hidden="1"/>
    </xf>
    <xf numFmtId="0" fontId="2" fillId="0" borderId="141" xfId="0" applyFont="1" applyBorder="1" applyAlignment="1" applyProtection="1">
      <alignment vertical="center" wrapText="1"/>
      <protection hidden="1"/>
    </xf>
    <xf numFmtId="0" fontId="2" fillId="0" borderId="118" xfId="0" applyFont="1" applyBorder="1" applyAlignment="1" applyProtection="1">
      <alignment vertical="center" wrapText="1"/>
      <protection hidden="1"/>
    </xf>
    <xf numFmtId="3" fontId="5" fillId="5" borderId="128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32" xfId="0" applyNumberFormat="1" applyFont="1" applyBorder="1" applyAlignment="1" applyProtection="1">
      <alignment horizontal="center" vertical="center" wrapText="1"/>
      <protection hidden="1"/>
    </xf>
    <xf numFmtId="3" fontId="5" fillId="0" borderId="136" xfId="0" applyNumberFormat="1" applyFont="1" applyBorder="1" applyAlignment="1" applyProtection="1">
      <alignment horizontal="center" vertical="center" wrapText="1"/>
      <protection hidden="1"/>
    </xf>
    <xf numFmtId="0" fontId="17" fillId="5" borderId="139" xfId="0" applyFont="1" applyFill="1" applyBorder="1" applyAlignment="1" applyProtection="1">
      <alignment vertical="center" wrapText="1"/>
      <protection hidden="1"/>
    </xf>
    <xf numFmtId="0" fontId="2" fillId="0" borderId="64" xfId="0" applyFont="1" applyBorder="1" applyAlignment="1" applyProtection="1">
      <alignment vertical="center" wrapText="1"/>
      <protection hidden="1"/>
    </xf>
    <xf numFmtId="0" fontId="2" fillId="0" borderId="65" xfId="0" applyFont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vertical="center" wrapText="1"/>
      <protection hidden="1"/>
    </xf>
    <xf numFmtId="0" fontId="6" fillId="5" borderId="141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Alignment="1" applyProtection="1">
      <alignment horizontal="center" vertical="center" wrapText="1"/>
      <protection hidden="1"/>
    </xf>
    <xf numFmtId="164" fontId="7" fillId="5" borderId="0" xfId="1" applyNumberFormat="1" applyFont="1" applyFill="1" applyAlignment="1" applyProtection="1">
      <alignment horizontal="center" vertical="center" wrapText="1"/>
      <protection hidden="1"/>
    </xf>
    <xf numFmtId="166" fontId="7" fillId="5" borderId="0" xfId="0" applyNumberFormat="1" applyFont="1" applyFill="1" applyAlignment="1" applyProtection="1">
      <alignment horizontal="center" vertical="center" wrapText="1"/>
      <protection hidden="1"/>
    </xf>
    <xf numFmtId="0" fontId="2" fillId="5" borderId="0" xfId="0" applyFont="1" applyFill="1" applyAlignment="1" applyProtection="1">
      <alignment vertical="center" wrapText="1"/>
      <protection hidden="1"/>
    </xf>
    <xf numFmtId="164" fontId="5" fillId="4" borderId="145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46" xfId="1" applyNumberFormat="1" applyFont="1" applyBorder="1" applyAlignment="1" applyProtection="1">
      <alignment horizontal="center" vertical="center" wrapText="1"/>
      <protection hidden="1"/>
    </xf>
    <xf numFmtId="0" fontId="4" fillId="0" borderId="146" xfId="0" applyFont="1" applyBorder="1" applyAlignment="1" applyProtection="1">
      <alignment horizontal="center" vertical="center" wrapText="1"/>
      <protection hidden="1"/>
    </xf>
    <xf numFmtId="0" fontId="4" fillId="0" borderId="147" xfId="0" applyFont="1" applyBorder="1" applyAlignment="1" applyProtection="1">
      <alignment horizontal="center" vertical="center" wrapText="1"/>
      <protection hidden="1"/>
    </xf>
    <xf numFmtId="0" fontId="2" fillId="10" borderId="59" xfId="0" applyFont="1" applyFill="1" applyBorder="1" applyAlignment="1" applyProtection="1">
      <alignment vertical="center" wrapText="1"/>
      <protection hidden="1"/>
    </xf>
    <xf numFmtId="164" fontId="5" fillId="4" borderId="14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9" xfId="0" applyFont="1" applyBorder="1" applyAlignment="1" applyProtection="1">
      <alignment horizontal="center" vertical="center" wrapText="1"/>
      <protection hidden="1"/>
    </xf>
    <xf numFmtId="0" fontId="4" fillId="0" borderId="150" xfId="0" applyFont="1" applyBorder="1" applyAlignment="1" applyProtection="1">
      <alignment horizontal="center" vertical="center" wrapText="1"/>
      <protection hidden="1"/>
    </xf>
    <xf numFmtId="164" fontId="5" fillId="4" borderId="35" xfId="1" applyNumberFormat="1" applyFont="1" applyFill="1" applyBorder="1" applyAlignment="1" applyProtection="1">
      <alignment horizontal="center" vertical="center" wrapText="1"/>
      <protection hidden="1"/>
    </xf>
    <xf numFmtId="164" fontId="5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4" fillId="0" borderId="151" xfId="0" applyFont="1" applyBorder="1" applyAlignment="1" applyProtection="1">
      <alignment horizontal="center" vertical="center" wrapText="1"/>
      <protection hidden="1"/>
    </xf>
    <xf numFmtId="0" fontId="2" fillId="10" borderId="0" xfId="0" applyFont="1" applyFill="1" applyAlignment="1" applyProtection="1">
      <alignment vertical="center" wrapText="1"/>
      <protection hidden="1"/>
    </xf>
    <xf numFmtId="164" fontId="5" fillId="4" borderId="15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3" xfId="0" applyFont="1" applyBorder="1" applyAlignment="1" applyProtection="1">
      <alignment horizontal="center" vertical="center" wrapText="1"/>
      <protection hidden="1"/>
    </xf>
    <xf numFmtId="0" fontId="4" fillId="0" borderId="142" xfId="0" applyFont="1" applyBorder="1" applyAlignment="1" applyProtection="1">
      <alignment horizontal="center" vertical="center" wrapText="1"/>
      <protection hidden="1"/>
    </xf>
    <xf numFmtId="164" fontId="5" fillId="0" borderId="36" xfId="1" applyNumberFormat="1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164" fontId="5" fillId="4" borderId="154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55" xfId="1" applyNumberFormat="1" applyFont="1" applyBorder="1" applyAlignment="1" applyProtection="1">
      <alignment horizontal="center" vertical="center" wrapText="1"/>
      <protection hidden="1"/>
    </xf>
    <xf numFmtId="0" fontId="4" fillId="0" borderId="155" xfId="0" applyFont="1" applyBorder="1" applyAlignment="1" applyProtection="1">
      <alignment horizontal="center" vertical="center" wrapText="1"/>
      <protection hidden="1"/>
    </xf>
    <xf numFmtId="0" fontId="4" fillId="0" borderId="156" xfId="0" applyFont="1" applyBorder="1" applyAlignment="1" applyProtection="1">
      <alignment horizontal="center" vertical="center" wrapText="1"/>
      <protection hidden="1"/>
    </xf>
    <xf numFmtId="0" fontId="2" fillId="10" borderId="157" xfId="0" applyFont="1" applyFill="1" applyBorder="1" applyAlignment="1" applyProtection="1">
      <alignment vertical="center" wrapText="1"/>
      <protection hidden="1"/>
    </xf>
    <xf numFmtId="164" fontId="5" fillId="4" borderId="15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59" xfId="0" applyFont="1" applyBorder="1" applyAlignment="1" applyProtection="1">
      <alignment horizontal="center" vertical="center" wrapText="1"/>
      <protection hidden="1"/>
    </xf>
    <xf numFmtId="0" fontId="4" fillId="0" borderId="160" xfId="0" applyFont="1" applyBorder="1" applyAlignment="1" applyProtection="1">
      <alignment horizontal="center" vertical="center" wrapText="1"/>
      <protection hidden="1"/>
    </xf>
    <xf numFmtId="2" fontId="5" fillId="4" borderId="145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46" xfId="0" applyNumberFormat="1" applyFont="1" applyBorder="1" applyAlignment="1" applyProtection="1">
      <alignment horizontal="center" vertical="center" wrapText="1"/>
      <protection hidden="1"/>
    </xf>
    <xf numFmtId="2" fontId="5" fillId="4" borderId="148" xfId="1" applyNumberFormat="1" applyFont="1" applyFill="1" applyBorder="1" applyAlignment="1" applyProtection="1">
      <alignment horizontal="center" vertical="center" wrapText="1"/>
      <protection hidden="1"/>
    </xf>
    <xf numFmtId="2" fontId="5" fillId="4" borderId="35" xfId="1" applyNumberFormat="1" applyFont="1" applyFill="1" applyBorder="1" applyAlignment="1" applyProtection="1">
      <alignment horizontal="center" vertical="center" wrapText="1"/>
      <protection hidden="1"/>
    </xf>
    <xf numFmtId="4" fontId="5" fillId="3" borderId="36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152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5" fillId="0" borderId="36" xfId="0" applyNumberFormat="1" applyFont="1" applyBorder="1" applyAlignment="1" applyProtection="1">
      <alignment horizontal="center" vertical="center" wrapText="1"/>
      <protection hidden="1"/>
    </xf>
    <xf numFmtId="2" fontId="5" fillId="4" borderId="154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55" xfId="0" applyNumberFormat="1" applyFont="1" applyBorder="1" applyAlignment="1" applyProtection="1">
      <alignment horizontal="center" vertical="center" wrapText="1"/>
      <protection hidden="1"/>
    </xf>
    <xf numFmtId="2" fontId="5" fillId="4" borderId="158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141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7" fillId="5" borderId="118" xfId="0" applyFont="1" applyFill="1" applyBorder="1" applyAlignment="1" applyProtection="1">
      <alignment horizontal="center" vertical="center" wrapText="1"/>
      <protection hidden="1"/>
    </xf>
    <xf numFmtId="3" fontId="5" fillId="0" borderId="146" xfId="0" applyNumberFormat="1" applyFont="1" applyBorder="1" applyAlignment="1" applyProtection="1">
      <alignment horizontal="center" vertical="center" wrapText="1"/>
      <protection hidden="1"/>
    </xf>
    <xf numFmtId="3" fontId="5" fillId="4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3" fontId="5" fillId="0" borderId="36" xfId="0" applyNumberFormat="1" applyFont="1" applyBorder="1" applyAlignment="1" applyProtection="1">
      <alignment horizontal="center" vertical="center" wrapText="1"/>
      <protection hidden="1"/>
    </xf>
    <xf numFmtId="3" fontId="5" fillId="0" borderId="155" xfId="0" applyNumberFormat="1" applyFont="1" applyBorder="1" applyAlignment="1" applyProtection="1">
      <alignment horizontal="center" vertical="center" wrapText="1"/>
      <protection hidden="1"/>
    </xf>
    <xf numFmtId="164" fontId="5" fillId="4" borderId="146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46" xfId="0" applyFont="1" applyFill="1" applyBorder="1" applyAlignment="1" applyProtection="1">
      <alignment horizontal="center" vertical="center" wrapText="1"/>
      <protection hidden="1"/>
    </xf>
    <xf numFmtId="0" fontId="4" fillId="4" borderId="147" xfId="0" applyFont="1" applyFill="1" applyBorder="1" applyAlignment="1" applyProtection="1">
      <alignment horizontal="center" vertical="center" wrapText="1"/>
      <protection hidden="1"/>
    </xf>
    <xf numFmtId="0" fontId="4" fillId="4" borderId="149" xfId="0" applyFont="1" applyFill="1" applyBorder="1" applyAlignment="1" applyProtection="1">
      <alignment horizontal="center" vertical="center" wrapText="1"/>
      <protection hidden="1"/>
    </xf>
    <xf numFmtId="0" fontId="4" fillId="4" borderId="150" xfId="0" applyFont="1" applyFill="1" applyBorder="1" applyAlignment="1" applyProtection="1">
      <alignment horizontal="center" vertical="center" wrapText="1"/>
      <protection hidden="1"/>
    </xf>
    <xf numFmtId="0" fontId="4" fillId="4" borderId="151" xfId="0" applyFont="1" applyFill="1" applyBorder="1" applyAlignment="1" applyProtection="1">
      <alignment horizontal="center" vertical="center" wrapText="1"/>
      <protection hidden="1"/>
    </xf>
    <xf numFmtId="0" fontId="4" fillId="4" borderId="153" xfId="0" applyFont="1" applyFill="1" applyBorder="1" applyAlignment="1" applyProtection="1">
      <alignment horizontal="center" vertical="center" wrapText="1"/>
      <protection hidden="1"/>
    </xf>
    <xf numFmtId="0" fontId="4" fillId="4" borderId="142" xfId="0" applyFont="1" applyFill="1" applyBorder="1" applyAlignment="1" applyProtection="1">
      <alignment horizontal="center" vertical="center" wrapText="1"/>
      <protection hidden="1"/>
    </xf>
    <xf numFmtId="164" fontId="5" fillId="4" borderId="155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55" xfId="0" applyFont="1" applyFill="1" applyBorder="1" applyAlignment="1" applyProtection="1">
      <alignment horizontal="center" vertical="center" wrapText="1"/>
      <protection hidden="1"/>
    </xf>
    <xf numFmtId="0" fontId="4" fillId="4" borderId="156" xfId="0" applyFont="1" applyFill="1" applyBorder="1" applyAlignment="1" applyProtection="1">
      <alignment horizontal="center" vertical="center" wrapText="1"/>
      <protection hidden="1"/>
    </xf>
    <xf numFmtId="0" fontId="4" fillId="4" borderId="159" xfId="0" applyFont="1" applyFill="1" applyBorder="1" applyAlignment="1" applyProtection="1">
      <alignment horizontal="center" vertical="center" wrapText="1"/>
      <protection hidden="1"/>
    </xf>
    <xf numFmtId="0" fontId="4" fillId="4" borderId="160" xfId="0" applyFont="1" applyFill="1" applyBorder="1" applyAlignment="1" applyProtection="1">
      <alignment horizontal="center" vertical="center" wrapText="1"/>
      <protection hidden="1"/>
    </xf>
    <xf numFmtId="164" fontId="5" fillId="3" borderId="14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46" xfId="0" applyFont="1" applyFill="1" applyBorder="1" applyAlignment="1" applyProtection="1">
      <alignment horizontal="center" vertical="center" wrapText="1"/>
      <protection hidden="1"/>
    </xf>
    <xf numFmtId="0" fontId="4" fillId="3" borderId="147" xfId="0" applyFont="1" applyFill="1" applyBorder="1" applyAlignment="1" applyProtection="1">
      <alignment horizontal="center" vertical="center" wrapText="1"/>
      <protection hidden="1"/>
    </xf>
    <xf numFmtId="0" fontId="4" fillId="3" borderId="149" xfId="0" applyFont="1" applyFill="1" applyBorder="1" applyAlignment="1" applyProtection="1">
      <alignment horizontal="center" vertical="center" wrapText="1"/>
      <protection hidden="1"/>
    </xf>
    <xf numFmtId="0" fontId="4" fillId="3" borderId="150" xfId="0" applyFont="1" applyFill="1" applyBorder="1" applyAlignment="1" applyProtection="1">
      <alignment horizontal="center" vertical="center" wrapText="1"/>
      <protection hidden="1"/>
    </xf>
    <xf numFmtId="0" fontId="4" fillId="3" borderId="151" xfId="0" applyFont="1" applyFill="1" applyBorder="1" applyAlignment="1" applyProtection="1">
      <alignment horizontal="center" vertical="center" wrapText="1"/>
      <protection hidden="1"/>
    </xf>
    <xf numFmtId="0" fontId="4" fillId="3" borderId="153" xfId="0" applyFont="1" applyFill="1" applyBorder="1" applyAlignment="1" applyProtection="1">
      <alignment horizontal="center" vertical="center" wrapText="1"/>
      <protection hidden="1"/>
    </xf>
    <xf numFmtId="0" fontId="4" fillId="3" borderId="142" xfId="0" applyFont="1" applyFill="1" applyBorder="1" applyAlignment="1" applyProtection="1">
      <alignment horizontal="center" vertical="center" wrapText="1"/>
      <protection hidden="1"/>
    </xf>
    <xf numFmtId="164" fontId="5" fillId="3" borderId="155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55" xfId="0" applyFont="1" applyFill="1" applyBorder="1" applyAlignment="1" applyProtection="1">
      <alignment horizontal="center" vertical="center" wrapText="1"/>
      <protection hidden="1"/>
    </xf>
    <xf numFmtId="0" fontId="4" fillId="3" borderId="156" xfId="0" applyFont="1" applyFill="1" applyBorder="1" applyAlignment="1" applyProtection="1">
      <alignment horizontal="center" vertical="center" wrapText="1"/>
      <protection hidden="1"/>
    </xf>
    <xf numFmtId="0" fontId="4" fillId="3" borderId="159" xfId="0" applyFont="1" applyFill="1" applyBorder="1" applyAlignment="1" applyProtection="1">
      <alignment horizontal="center" vertical="center" wrapText="1"/>
      <protection hidden="1"/>
    </xf>
    <xf numFmtId="0" fontId="4" fillId="3" borderId="160" xfId="0" applyFont="1" applyFill="1" applyBorder="1" applyAlignment="1" applyProtection="1">
      <alignment horizontal="center" vertical="center" wrapText="1"/>
      <protection hidden="1"/>
    </xf>
    <xf numFmtId="164" fontId="10" fillId="7" borderId="146" xfId="1" applyNumberFormat="1" applyFont="1" applyFill="1" applyBorder="1" applyAlignment="1" applyProtection="1">
      <alignment horizontal="center" vertical="center" wrapText="1"/>
      <protection hidden="1"/>
    </xf>
    <xf numFmtId="0" fontId="11" fillId="7" borderId="146" xfId="0" applyFont="1" applyFill="1" applyBorder="1" applyAlignment="1" applyProtection="1">
      <alignment horizontal="center" vertical="center" wrapText="1"/>
      <protection hidden="1"/>
    </xf>
    <xf numFmtId="0" fontId="11" fillId="7" borderId="147" xfId="0" applyFont="1" applyFill="1" applyBorder="1" applyAlignment="1" applyProtection="1">
      <alignment horizontal="center" vertical="center" wrapText="1"/>
      <protection hidden="1"/>
    </xf>
    <xf numFmtId="0" fontId="22" fillId="10" borderId="0" xfId="0" applyFont="1" applyFill="1" applyAlignment="1" applyProtection="1">
      <alignment vertical="center" wrapText="1"/>
      <protection hidden="1"/>
    </xf>
    <xf numFmtId="0" fontId="11" fillId="7" borderId="149" xfId="0" applyFont="1" applyFill="1" applyBorder="1" applyAlignment="1" applyProtection="1">
      <alignment horizontal="center" vertical="center" wrapText="1"/>
      <protection hidden="1"/>
    </xf>
    <xf numFmtId="0" fontId="11" fillId="7" borderId="150" xfId="0" applyFont="1" applyFill="1" applyBorder="1" applyAlignment="1" applyProtection="1">
      <alignment horizontal="center" vertical="center" wrapText="1"/>
      <protection hidden="1"/>
    </xf>
    <xf numFmtId="16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1" fillId="7" borderId="36" xfId="0" applyFont="1" applyFill="1" applyBorder="1" applyAlignment="1" applyProtection="1">
      <alignment horizontal="center" vertical="center" wrapText="1"/>
      <protection hidden="1"/>
    </xf>
    <xf numFmtId="0" fontId="11" fillId="7" borderId="151" xfId="0" applyFont="1" applyFill="1" applyBorder="1" applyAlignment="1" applyProtection="1">
      <alignment horizontal="center" vertical="center" wrapText="1"/>
      <protection hidden="1"/>
    </xf>
    <xf numFmtId="0" fontId="11" fillId="7" borderId="153" xfId="0" applyFont="1" applyFill="1" applyBorder="1" applyAlignment="1" applyProtection="1">
      <alignment horizontal="center" vertical="center" wrapText="1"/>
      <protection hidden="1"/>
    </xf>
    <xf numFmtId="0" fontId="11" fillId="7" borderId="142" xfId="0" applyFont="1" applyFill="1" applyBorder="1" applyAlignment="1" applyProtection="1">
      <alignment horizontal="center" vertical="center" wrapText="1"/>
      <protection hidden="1"/>
    </xf>
    <xf numFmtId="164" fontId="10" fillId="7" borderId="155" xfId="1" applyNumberFormat="1" applyFont="1" applyFill="1" applyBorder="1" applyAlignment="1" applyProtection="1">
      <alignment horizontal="center" vertical="center" wrapText="1"/>
      <protection hidden="1"/>
    </xf>
    <xf numFmtId="0" fontId="11" fillId="7" borderId="155" xfId="0" applyFont="1" applyFill="1" applyBorder="1" applyAlignment="1" applyProtection="1">
      <alignment horizontal="center" vertical="center" wrapText="1"/>
      <protection hidden="1"/>
    </xf>
    <xf numFmtId="0" fontId="11" fillId="7" borderId="156" xfId="0" applyFont="1" applyFill="1" applyBorder="1" applyAlignment="1" applyProtection="1">
      <alignment horizontal="center" vertical="center" wrapText="1"/>
      <protection hidden="1"/>
    </xf>
    <xf numFmtId="0" fontId="22" fillId="10" borderId="157" xfId="0" applyFont="1" applyFill="1" applyBorder="1" applyAlignment="1" applyProtection="1">
      <alignment vertical="center" wrapText="1"/>
      <protection hidden="1"/>
    </xf>
    <xf numFmtId="0" fontId="11" fillId="7" borderId="159" xfId="0" applyFont="1" applyFill="1" applyBorder="1" applyAlignment="1" applyProtection="1">
      <alignment horizontal="center" vertical="center" wrapText="1"/>
      <protection hidden="1"/>
    </xf>
    <xf numFmtId="0" fontId="11" fillId="7" borderId="160" xfId="0" applyFont="1" applyFill="1" applyBorder="1" applyAlignment="1" applyProtection="1">
      <alignment horizontal="center" vertical="center" wrapText="1"/>
      <protection hidden="1"/>
    </xf>
    <xf numFmtId="0" fontId="7" fillId="5" borderId="161" xfId="0" applyFont="1" applyFill="1" applyBorder="1" applyAlignment="1" applyProtection="1">
      <alignment horizontal="center" vertical="center" wrapText="1"/>
      <protection hidden="1"/>
    </xf>
    <xf numFmtId="0" fontId="7" fillId="5" borderId="116" xfId="0" applyFont="1" applyFill="1" applyBorder="1" applyAlignment="1" applyProtection="1">
      <alignment horizontal="center" vertical="center" wrapText="1"/>
      <protection hidden="1"/>
    </xf>
    <xf numFmtId="0" fontId="2" fillId="10" borderId="80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144" xfId="0" applyFont="1" applyFill="1" applyBorder="1" applyAlignment="1" applyProtection="1">
      <alignment horizontal="center" vertical="center" wrapText="1"/>
      <protection hidden="1"/>
    </xf>
    <xf numFmtId="17" fontId="23" fillId="0" borderId="162" xfId="0" applyNumberFormat="1" applyFont="1" applyBorder="1" applyAlignment="1" applyProtection="1">
      <alignment horizontal="center" vertical="center" wrapText="1"/>
      <protection hidden="1"/>
    </xf>
    <xf numFmtId="0" fontId="17" fillId="10" borderId="162" xfId="0" applyFont="1" applyFill="1" applyBorder="1" applyAlignment="1" applyProtection="1">
      <alignment vertical="center" wrapText="1"/>
      <protection hidden="1"/>
    </xf>
    <xf numFmtId="0" fontId="23" fillId="0" borderId="162" xfId="0" applyFont="1" applyBorder="1" applyAlignment="1" applyProtection="1">
      <alignment horizontal="center" vertical="center" wrapText="1"/>
      <protection hidden="1"/>
    </xf>
    <xf numFmtId="17" fontId="23" fillId="0" borderId="21" xfId="0" applyNumberFormat="1" applyFont="1" applyBorder="1" applyAlignment="1" applyProtection="1">
      <alignment horizontal="center" vertical="center" wrapText="1"/>
      <protection hidden="1"/>
    </xf>
    <xf numFmtId="0" fontId="17" fillId="10" borderId="21" xfId="0" applyFont="1" applyFill="1" applyBorder="1" applyAlignment="1" applyProtection="1">
      <alignment vertical="center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" fillId="2" borderId="162" xfId="0" applyFont="1" applyFill="1" applyBorder="1" applyAlignment="1" applyProtection="1">
      <alignment vertical="center" wrapText="1"/>
      <protection hidden="1"/>
    </xf>
    <xf numFmtId="0" fontId="13" fillId="2" borderId="65" xfId="0" applyFont="1" applyFill="1" applyBorder="1" applyAlignment="1" applyProtection="1">
      <alignment horizontal="center" vertical="center" wrapText="1"/>
      <protection hidden="1"/>
    </xf>
    <xf numFmtId="0" fontId="2" fillId="0" borderId="163" xfId="0" applyFont="1" applyBorder="1" applyAlignment="1" applyProtection="1">
      <alignment horizontal="center" vertical="center" wrapText="1"/>
      <protection hidden="1"/>
    </xf>
    <xf numFmtId="0" fontId="2" fillId="0" borderId="164" xfId="0" applyFont="1" applyBorder="1" applyAlignment="1" applyProtection="1">
      <alignment horizontal="center" vertical="center" wrapText="1"/>
      <protection hidden="1"/>
    </xf>
    <xf numFmtId="0" fontId="2" fillId="0" borderId="165" xfId="0" applyFont="1" applyBorder="1" applyAlignment="1" applyProtection="1">
      <alignment horizontal="center" vertical="center" wrapText="1"/>
      <protection hidden="1"/>
    </xf>
    <xf numFmtId="0" fontId="4" fillId="0" borderId="166" xfId="0" applyFont="1" applyBorder="1" applyAlignment="1" applyProtection="1">
      <alignment horizontal="center" vertical="center" wrapText="1"/>
      <protection hidden="1"/>
    </xf>
    <xf numFmtId="2" fontId="5" fillId="4" borderId="167" xfId="1" applyNumberFormat="1" applyFont="1" applyFill="1" applyBorder="1" applyAlignment="1" applyProtection="1">
      <alignment horizontal="center" vertical="center" wrapText="1"/>
      <protection hidden="1"/>
    </xf>
    <xf numFmtId="2" fontId="5" fillId="4" borderId="16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68" xfId="0" applyFont="1" applyFill="1" applyBorder="1" applyAlignment="1" applyProtection="1">
      <alignment horizontal="center" vertical="center" wrapText="1"/>
      <protection hidden="1"/>
    </xf>
    <xf numFmtId="0" fontId="4" fillId="4" borderId="169" xfId="0" applyFont="1" applyFill="1" applyBorder="1" applyAlignment="1" applyProtection="1">
      <alignment horizontal="center" vertical="center" wrapText="1"/>
      <protection hidden="1"/>
    </xf>
    <xf numFmtId="0" fontId="2" fillId="10" borderId="170" xfId="0" applyFont="1" applyFill="1" applyBorder="1" applyAlignment="1" applyProtection="1">
      <alignment vertical="center" wrapText="1"/>
      <protection hidden="1"/>
    </xf>
    <xf numFmtId="2" fontId="5" fillId="4" borderId="171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72" xfId="0" applyFont="1" applyFill="1" applyBorder="1" applyAlignment="1" applyProtection="1">
      <alignment horizontal="center" vertical="center" wrapText="1"/>
      <protection hidden="1"/>
    </xf>
    <xf numFmtId="0" fontId="4" fillId="4" borderId="173" xfId="0" applyFont="1" applyFill="1" applyBorder="1" applyAlignment="1" applyProtection="1">
      <alignment horizontal="center" vertical="center" wrapText="1"/>
      <protection hidden="1"/>
    </xf>
    <xf numFmtId="2" fontId="5" fillId="4" borderId="36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155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46" xfId="0" applyNumberFormat="1" applyFont="1" applyBorder="1" applyAlignment="1" applyProtection="1">
      <alignment horizontal="center" vertical="center" wrapText="1"/>
      <protection hidden="1"/>
    </xf>
    <xf numFmtId="2" fontId="5" fillId="0" borderId="36" xfId="0" applyNumberFormat="1" applyFont="1" applyBorder="1" applyAlignment="1" applyProtection="1">
      <alignment horizontal="center" vertical="center" wrapText="1"/>
      <protection hidden="1"/>
    </xf>
    <xf numFmtId="2" fontId="5" fillId="0" borderId="155" xfId="0" applyNumberFormat="1" applyFont="1" applyBorder="1" applyAlignment="1" applyProtection="1">
      <alignment horizontal="center" vertical="center" wrapText="1"/>
      <protection hidden="1"/>
    </xf>
    <xf numFmtId="2" fontId="5" fillId="3" borderId="146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6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155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46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6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55" xfId="0" applyNumberFormat="1" applyFont="1" applyFill="1" applyBorder="1" applyAlignment="1" applyProtection="1">
      <alignment horizontal="center" vertical="center" wrapText="1"/>
      <protection hidden="1"/>
    </xf>
    <xf numFmtId="3" fontId="5" fillId="4" borderId="146" xfId="0" applyNumberFormat="1" applyFont="1" applyFill="1" applyBorder="1" applyAlignment="1" applyProtection="1">
      <alignment horizontal="center" vertical="center" wrapText="1"/>
      <protection hidden="1"/>
    </xf>
    <xf numFmtId="3" fontId="5" fillId="4" borderId="155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146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36" xfId="0" applyNumberFormat="1" applyFont="1" applyFill="1" applyBorder="1" applyAlignment="1" applyProtection="1">
      <alignment horizontal="center" vertical="center" wrapText="1"/>
      <protection hidden="1"/>
    </xf>
    <xf numFmtId="3" fontId="5" fillId="3" borderId="155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14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174" xfId="1" applyNumberFormat="1" applyFont="1" applyFill="1" applyBorder="1" applyAlignment="1" applyProtection="1">
      <alignment horizontal="center" vertical="center" wrapText="1"/>
      <protection hidden="1"/>
    </xf>
    <xf numFmtId="3" fontId="10" fillId="7" borderId="61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36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155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30" xfId="0" applyFont="1" applyFill="1" applyBorder="1" applyAlignment="1" applyProtection="1">
      <alignment horizontal="center" vertical="center" wrapText="1"/>
      <protection hidden="1"/>
    </xf>
    <xf numFmtId="0" fontId="11" fillId="7" borderId="61" xfId="0" applyFont="1" applyFill="1" applyBorder="1" applyAlignment="1" applyProtection="1">
      <alignment horizontal="center" vertical="center" wrapText="1"/>
      <protection hidden="1"/>
    </xf>
    <xf numFmtId="0" fontId="7" fillId="5" borderId="175" xfId="0" applyFont="1" applyFill="1" applyBorder="1" applyAlignment="1" applyProtection="1">
      <alignment horizontal="center" vertical="center" wrapText="1"/>
      <protection hidden="1"/>
    </xf>
    <xf numFmtId="0" fontId="7" fillId="5" borderId="141" xfId="0" applyFont="1" applyFill="1" applyBorder="1" applyAlignment="1" applyProtection="1">
      <alignment horizontal="center" vertical="center" wrapText="1"/>
      <protection hidden="1"/>
    </xf>
    <xf numFmtId="0" fontId="7" fillId="5" borderId="142" xfId="0" applyFont="1" applyFill="1" applyBorder="1" applyAlignment="1" applyProtection="1">
      <alignment horizontal="center" vertical="center" wrapText="1"/>
      <protection hidden="1"/>
    </xf>
    <xf numFmtId="0" fontId="2" fillId="0" borderId="161" xfId="0" applyFont="1" applyBorder="1" applyAlignment="1" applyProtection="1">
      <alignment vertical="center" wrapText="1"/>
      <protection hidden="1"/>
    </xf>
    <xf numFmtId="17" fontId="7" fillId="0" borderId="141" xfId="0" applyNumberFormat="1" applyFont="1" applyBorder="1" applyAlignment="1" applyProtection="1">
      <alignment horizontal="center" vertical="center" wrapText="1"/>
      <protection hidden="1"/>
    </xf>
    <xf numFmtId="17" fontId="7" fillId="0" borderId="0" xfId="0" applyNumberFormat="1" applyFont="1" applyAlignment="1" applyProtection="1">
      <alignment horizontal="center" vertical="center" wrapText="1"/>
      <protection hidden="1"/>
    </xf>
    <xf numFmtId="17" fontId="7" fillId="0" borderId="142" xfId="0" applyNumberFormat="1" applyFont="1" applyBorder="1" applyAlignment="1" applyProtection="1">
      <alignment horizontal="center" vertical="center" wrapText="1"/>
      <protection hidden="1"/>
    </xf>
    <xf numFmtId="0" fontId="17" fillId="10" borderId="80" xfId="0" applyFont="1" applyFill="1" applyBorder="1" applyAlignment="1" applyProtection="1">
      <alignment vertical="center" wrapText="1"/>
      <protection hidden="1"/>
    </xf>
    <xf numFmtId="0" fontId="2" fillId="0" borderId="142" xfId="0" applyFont="1" applyBorder="1" applyAlignment="1" applyProtection="1">
      <alignment vertical="center" wrapText="1"/>
      <protection hidden="1"/>
    </xf>
  </cellXfs>
  <cellStyles count="3">
    <cellStyle name="Normal" xfId="0" builtinId="0"/>
    <cellStyle name="Normal 2" xfId="2" xr:uid="{BE833A9D-D1E4-430E-96F6-6480E33C35BD}"/>
    <cellStyle name="Porcentaje" xfId="1" builtinId="5"/>
  </cellStyles>
  <dxfs count="41"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8"/>
      </font>
    </dxf>
    <dxf>
      <font>
        <color theme="6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8"/>
      </font>
    </dxf>
    <dxf>
      <font>
        <color theme="6"/>
      </font>
    </dxf>
    <dxf>
      <font>
        <color theme="6"/>
      </font>
    </dxf>
    <dxf>
      <font>
        <color theme="8"/>
      </font>
    </dxf>
    <dxf>
      <font>
        <b/>
        <i val="0"/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298</xdr:row>
      <xdr:rowOff>0</xdr:rowOff>
    </xdr:from>
    <xdr:ext cx="1200149" cy="654930"/>
    <xdr:pic>
      <xdr:nvPicPr>
        <xdr:cNvPr id="2" name="2298 Imagen">
          <a:extLst>
            <a:ext uri="{FF2B5EF4-FFF2-40B4-BE49-F238E27FC236}">
              <a16:creationId xmlns:a16="http://schemas.microsoft.com/office/drawing/2014/main" id="{B82054B5-E660-43D3-BFEC-7D6BCC974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48253650"/>
          <a:ext cx="1200149" cy="654930"/>
        </a:xfrm>
        <a:prstGeom prst="rect">
          <a:avLst/>
        </a:prstGeom>
      </xdr:spPr>
    </xdr:pic>
    <xdr:clientData/>
  </xdr:oneCellAnchor>
  <xdr:oneCellAnchor>
    <xdr:from>
      <xdr:col>5</xdr:col>
      <xdr:colOff>752475</xdr:colOff>
      <xdr:row>321</xdr:row>
      <xdr:rowOff>9525</xdr:rowOff>
    </xdr:from>
    <xdr:ext cx="3838575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7C2CF4DA-4A52-4384-B6A2-DE86904C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1987450"/>
          <a:ext cx="3838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142875</xdr:colOff>
      <xdr:row>0</xdr:row>
      <xdr:rowOff>47625</xdr:rowOff>
    </xdr:from>
    <xdr:ext cx="1895475" cy="518221"/>
    <xdr:pic>
      <xdr:nvPicPr>
        <xdr:cNvPr id="4" name="Imagen 3">
          <a:extLst>
            <a:ext uri="{FF2B5EF4-FFF2-40B4-BE49-F238E27FC236}">
              <a16:creationId xmlns:a16="http://schemas.microsoft.com/office/drawing/2014/main" id="{D599266A-9394-401C-81BC-08347F608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47625"/>
          <a:ext cx="1895475" cy="518221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60</xdr:row>
      <xdr:rowOff>85725</xdr:rowOff>
    </xdr:from>
    <xdr:ext cx="1895475" cy="518221"/>
    <xdr:pic>
      <xdr:nvPicPr>
        <xdr:cNvPr id="5" name="Imagen 4">
          <a:extLst>
            <a:ext uri="{FF2B5EF4-FFF2-40B4-BE49-F238E27FC236}">
              <a16:creationId xmlns:a16="http://schemas.microsoft.com/office/drawing/2014/main" id="{5AB44107-D574-4E88-904F-7DAC71717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9801225"/>
          <a:ext cx="1895475" cy="518221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116</xdr:row>
      <xdr:rowOff>57150</xdr:rowOff>
    </xdr:from>
    <xdr:ext cx="1895475" cy="518221"/>
    <xdr:pic>
      <xdr:nvPicPr>
        <xdr:cNvPr id="6" name="Imagen 5">
          <a:extLst>
            <a:ext uri="{FF2B5EF4-FFF2-40B4-BE49-F238E27FC236}">
              <a16:creationId xmlns:a16="http://schemas.microsoft.com/office/drawing/2014/main" id="{2A46E2D9-A8F8-4FA7-8064-320AA4C9A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18840450"/>
          <a:ext cx="1895475" cy="518221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241</xdr:row>
      <xdr:rowOff>38100</xdr:rowOff>
    </xdr:from>
    <xdr:ext cx="1895475" cy="518221"/>
    <xdr:pic>
      <xdr:nvPicPr>
        <xdr:cNvPr id="7" name="Imagen 6">
          <a:extLst>
            <a:ext uri="{FF2B5EF4-FFF2-40B4-BE49-F238E27FC236}">
              <a16:creationId xmlns:a16="http://schemas.microsoft.com/office/drawing/2014/main" id="{92BBCC85-2C59-4854-8ECE-60A2CAE69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39062025"/>
          <a:ext cx="1895475" cy="51822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BOLETIN%20ESTAD&#205;STICO%20SPET/INDICADORES%20TURISTICOS%20DE%20TENERIFE/Indicadore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Ind turísticos (vin com 2019)"/>
      <sheetName val="TTDD DATOS"/>
      <sheetName val="Hoja4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BEC5-33BC-412E-AC91-B8E959C6EBFA}">
  <sheetPr published="0" codeName="Hoja16">
    <tabColor theme="5" tint="0.39997558519241921"/>
  </sheetPr>
  <dimension ref="C1:T337"/>
  <sheetViews>
    <sheetView showGridLines="0" tabSelected="1" showRuler="0" zoomScaleNormal="100" workbookViewId="0">
      <selection activeCell="O304" sqref="O304"/>
    </sheetView>
  </sheetViews>
  <sheetFormatPr baseColWidth="10" defaultRowHeight="12.75" x14ac:dyDescent="0.2"/>
  <cols>
    <col min="1" max="2" width="2.85546875" style="1" customWidth="1"/>
    <col min="3" max="3" width="20.7109375" style="1" customWidth="1"/>
    <col min="4" max="4" width="16.42578125" style="1" customWidth="1"/>
    <col min="5" max="5" width="16.140625" style="1" customWidth="1"/>
    <col min="6" max="7" width="16" style="1" customWidth="1"/>
    <col min="8" max="8" width="16.85546875" style="1" customWidth="1"/>
    <col min="9" max="9" width="16.140625" style="1" customWidth="1"/>
    <col min="10" max="10" width="16.7109375" style="1" customWidth="1"/>
    <col min="11" max="11" width="16.140625" style="1" customWidth="1"/>
    <col min="12" max="13" width="15.7109375" style="1" customWidth="1"/>
    <col min="14" max="14" width="12.140625" style="1" bestFit="1" customWidth="1"/>
    <col min="15" max="17" width="8.85546875" style="1" customWidth="1"/>
    <col min="18" max="18" width="23.28515625" style="1" customWidth="1"/>
    <col min="19" max="19" width="2.7109375" style="1" customWidth="1"/>
    <col min="20" max="20" width="23.28515625" style="1" customWidth="1"/>
    <col min="21" max="21" width="2.7109375" style="1" customWidth="1"/>
    <col min="22" max="22" width="23.28515625" style="1" customWidth="1"/>
    <col min="23" max="16384" width="11.42578125" style="1"/>
  </cols>
  <sheetData>
    <row r="1" spans="3:13" ht="50.25" customHeight="1" thickBot="1" x14ac:dyDescent="0.25">
      <c r="C1" s="122"/>
      <c r="D1" s="122"/>
      <c r="E1" s="123" t="s">
        <v>111</v>
      </c>
      <c r="F1" s="123"/>
      <c r="G1" s="123"/>
      <c r="H1" s="123"/>
      <c r="I1" s="123"/>
      <c r="J1" s="123"/>
      <c r="K1" s="123"/>
      <c r="L1" s="122"/>
      <c r="M1" s="122"/>
    </row>
    <row r="2" spans="3:13" ht="15" customHeight="1" x14ac:dyDescent="0.2">
      <c r="C2" s="405" t="s">
        <v>112</v>
      </c>
      <c r="D2" s="405"/>
      <c r="E2" s="405"/>
      <c r="F2" s="405"/>
      <c r="G2" s="405"/>
      <c r="H2" s="404"/>
      <c r="I2" s="403" t="s">
        <v>113</v>
      </c>
      <c r="J2" s="403"/>
      <c r="K2" s="403"/>
      <c r="L2" s="403"/>
      <c r="M2" s="403"/>
    </row>
    <row r="3" spans="3:13" ht="16.5" customHeight="1" thickBot="1" x14ac:dyDescent="0.25">
      <c r="C3" s="402"/>
      <c r="D3" s="402"/>
      <c r="E3" s="402"/>
      <c r="F3" s="402"/>
      <c r="G3" s="402"/>
      <c r="H3" s="401"/>
      <c r="I3" s="400"/>
      <c r="J3" s="400"/>
      <c r="K3" s="400"/>
      <c r="L3" s="400"/>
      <c r="M3" s="400"/>
    </row>
    <row r="4" spans="3:13" ht="5.25" customHeight="1" x14ac:dyDescent="0.2">
      <c r="C4" s="451"/>
      <c r="E4" s="448"/>
      <c r="F4" s="448"/>
      <c r="G4" s="448"/>
      <c r="H4" s="450"/>
      <c r="I4" s="449"/>
      <c r="J4" s="448"/>
      <c r="K4" s="447"/>
      <c r="L4" s="294"/>
      <c r="M4" s="446"/>
    </row>
    <row r="5" spans="3:13" ht="81.75" customHeight="1" x14ac:dyDescent="0.2">
      <c r="C5" s="445" t="s">
        <v>93</v>
      </c>
      <c r="D5" s="444"/>
      <c r="E5" s="396" t="s">
        <v>92</v>
      </c>
      <c r="F5" s="396" t="s">
        <v>94</v>
      </c>
      <c r="G5" s="395" t="s">
        <v>90</v>
      </c>
      <c r="H5" s="397"/>
      <c r="I5" s="443" t="s">
        <v>93</v>
      </c>
      <c r="J5" s="396" t="s">
        <v>92</v>
      </c>
      <c r="K5" s="396" t="s">
        <v>91</v>
      </c>
      <c r="L5" s="395" t="s">
        <v>90</v>
      </c>
      <c r="M5" s="395" t="s">
        <v>89</v>
      </c>
    </row>
    <row r="6" spans="3:13" ht="5.25" customHeight="1" thickBot="1" x14ac:dyDescent="0.25"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3:13" ht="18.75" customHeight="1" thickBot="1" x14ac:dyDescent="0.25">
      <c r="C7" s="30" t="s">
        <v>88</v>
      </c>
      <c r="D7" s="29"/>
      <c r="E7" s="29"/>
      <c r="F7" s="29"/>
      <c r="G7" s="29"/>
      <c r="H7" s="29"/>
      <c r="I7" s="29"/>
      <c r="J7" s="29"/>
      <c r="K7" s="29"/>
      <c r="L7" s="29"/>
      <c r="M7" s="28"/>
    </row>
    <row r="8" spans="3:13" ht="5.25" customHeight="1" thickBot="1" x14ac:dyDescent="0.25"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27"/>
    </row>
    <row r="9" spans="3:13" ht="24.75" customHeight="1" x14ac:dyDescent="0.2">
      <c r="C9" s="388" t="s">
        <v>13</v>
      </c>
      <c r="D9" s="387"/>
      <c r="E9" s="442" t="s">
        <v>7</v>
      </c>
      <c r="F9" s="438">
        <v>354116</v>
      </c>
      <c r="G9" s="437">
        <v>3.4926605853769939</v>
      </c>
      <c r="H9" s="392"/>
      <c r="I9" s="391" t="s">
        <v>13</v>
      </c>
      <c r="J9" s="390" t="s">
        <v>7</v>
      </c>
      <c r="K9" s="440">
        <v>930647</v>
      </c>
      <c r="L9" s="325">
        <v>3.7974709645491709</v>
      </c>
      <c r="M9" s="152" t="s">
        <v>12</v>
      </c>
    </row>
    <row r="10" spans="3:13" ht="24.75" customHeight="1" x14ac:dyDescent="0.2">
      <c r="C10" s="388"/>
      <c r="D10" s="387"/>
      <c r="E10" s="385" t="s">
        <v>84</v>
      </c>
      <c r="F10" s="439">
        <v>278321</v>
      </c>
      <c r="G10" s="320">
        <v>3.6956573086786344</v>
      </c>
      <c r="H10" s="381"/>
      <c r="I10" s="386"/>
      <c r="J10" s="385" t="s">
        <v>84</v>
      </c>
      <c r="K10" s="439">
        <v>729271</v>
      </c>
      <c r="L10" s="315">
        <v>3.9968207637018915</v>
      </c>
      <c r="M10" s="152"/>
    </row>
    <row r="11" spans="3:13" ht="24.75" customHeight="1" thickBot="1" x14ac:dyDescent="0.25">
      <c r="C11" s="383"/>
      <c r="D11" s="382"/>
      <c r="E11" s="441" t="s">
        <v>83</v>
      </c>
      <c r="F11" s="438">
        <v>75795</v>
      </c>
      <c r="G11" s="437">
        <v>2.8771804184357257</v>
      </c>
      <c r="H11" s="381"/>
      <c r="I11" s="380"/>
      <c r="J11" s="379" t="s">
        <v>83</v>
      </c>
      <c r="K11" s="436">
        <v>201376</v>
      </c>
      <c r="L11" s="307">
        <v>3.191840133222315</v>
      </c>
      <c r="M11" s="152"/>
    </row>
    <row r="12" spans="3:13" ht="24.75" hidden="1" customHeight="1" thickBot="1" x14ac:dyDescent="0.2">
      <c r="C12" s="332" t="s">
        <v>11</v>
      </c>
      <c r="D12" s="331"/>
      <c r="E12" s="327" t="s">
        <v>7</v>
      </c>
      <c r="F12" s="351">
        <v>19141</v>
      </c>
      <c r="G12" s="330">
        <v>0.71284116331096192</v>
      </c>
      <c r="H12" s="319"/>
      <c r="I12" s="328" t="s">
        <v>11</v>
      </c>
      <c r="J12" s="327" t="s">
        <v>7</v>
      </c>
      <c r="K12" s="351">
        <v>49787</v>
      </c>
      <c r="L12" s="325">
        <v>0.89671987504285888</v>
      </c>
      <c r="M12" s="152"/>
    </row>
    <row r="13" spans="3:13" ht="46.5" customHeight="1" thickBot="1" x14ac:dyDescent="0.25">
      <c r="C13" s="322"/>
      <c r="D13" s="321"/>
      <c r="E13" s="324" t="s">
        <v>84</v>
      </c>
      <c r="F13" s="350">
        <v>19141</v>
      </c>
      <c r="G13" s="320">
        <v>0.71284116331096192</v>
      </c>
      <c r="H13" s="319"/>
      <c r="I13" s="318"/>
      <c r="J13" s="324" t="s">
        <v>84</v>
      </c>
      <c r="K13" s="350">
        <v>49787</v>
      </c>
      <c r="L13" s="315">
        <v>0.89671987504285888</v>
      </c>
      <c r="M13" s="152"/>
    </row>
    <row r="14" spans="3:13" ht="24.75" hidden="1" customHeight="1" thickBot="1" x14ac:dyDescent="0.25">
      <c r="C14" s="314"/>
      <c r="D14" s="313"/>
      <c r="E14" s="309" t="s">
        <v>83</v>
      </c>
      <c r="F14" s="347">
        <v>0</v>
      </c>
      <c r="G14" s="312" t="s">
        <v>64</v>
      </c>
      <c r="H14" s="319"/>
      <c r="I14" s="310"/>
      <c r="J14" s="309" t="s">
        <v>83</v>
      </c>
      <c r="K14" s="347">
        <v>0</v>
      </c>
      <c r="L14" s="307" t="s">
        <v>64</v>
      </c>
      <c r="M14" s="152"/>
    </row>
    <row r="15" spans="3:13" ht="24.75" customHeight="1" x14ac:dyDescent="0.2">
      <c r="C15" s="377" t="s">
        <v>10</v>
      </c>
      <c r="D15" s="376"/>
      <c r="E15" s="374" t="s">
        <v>7</v>
      </c>
      <c r="F15" s="435">
        <v>4965</v>
      </c>
      <c r="G15" s="330">
        <v>1.3642857142857143</v>
      </c>
      <c r="H15" s="319"/>
      <c r="I15" s="375" t="s">
        <v>10</v>
      </c>
      <c r="J15" s="374" t="s">
        <v>7</v>
      </c>
      <c r="K15" s="435">
        <v>13337</v>
      </c>
      <c r="L15" s="325">
        <v>1.6567729083665337</v>
      </c>
      <c r="M15" s="152"/>
    </row>
    <row r="16" spans="3:13" ht="24.75" customHeight="1" x14ac:dyDescent="0.2">
      <c r="C16" s="372"/>
      <c r="D16" s="371"/>
      <c r="E16" s="317" t="s">
        <v>84</v>
      </c>
      <c r="F16" s="434">
        <v>4522</v>
      </c>
      <c r="G16" s="320">
        <v>1.2134116495349976</v>
      </c>
      <c r="H16" s="319"/>
      <c r="I16" s="370"/>
      <c r="J16" s="317" t="s">
        <v>84</v>
      </c>
      <c r="K16" s="434">
        <v>12001</v>
      </c>
      <c r="L16" s="315">
        <v>1.4577104239197216</v>
      </c>
      <c r="M16" s="152"/>
    </row>
    <row r="17" spans="3:13" ht="24.75" customHeight="1" thickBot="1" x14ac:dyDescent="0.25">
      <c r="C17" s="369"/>
      <c r="D17" s="368"/>
      <c r="E17" s="366" t="s">
        <v>83</v>
      </c>
      <c r="F17" s="433">
        <v>443</v>
      </c>
      <c r="G17" s="312">
        <v>6.7719298245614032</v>
      </c>
      <c r="H17" s="319"/>
      <c r="I17" s="367"/>
      <c r="J17" s="366" t="s">
        <v>83</v>
      </c>
      <c r="K17" s="433">
        <v>1336</v>
      </c>
      <c r="L17" s="307">
        <v>8.7518248175182478</v>
      </c>
      <c r="M17" s="152"/>
    </row>
    <row r="18" spans="3:13" ht="24.75" customHeight="1" x14ac:dyDescent="0.2">
      <c r="C18" s="332" t="s">
        <v>9</v>
      </c>
      <c r="D18" s="331"/>
      <c r="E18" s="327" t="s">
        <v>7</v>
      </c>
      <c r="F18" s="351">
        <v>56554</v>
      </c>
      <c r="G18" s="330">
        <v>3.4485172657909224</v>
      </c>
      <c r="H18" s="319"/>
      <c r="I18" s="328" t="s">
        <v>9</v>
      </c>
      <c r="J18" s="327" t="s">
        <v>7</v>
      </c>
      <c r="K18" s="351">
        <v>144978</v>
      </c>
      <c r="L18" s="325">
        <v>3.4914030794014685</v>
      </c>
      <c r="M18" s="152"/>
    </row>
    <row r="19" spans="3:13" ht="24.75" customHeight="1" x14ac:dyDescent="0.2">
      <c r="C19" s="322"/>
      <c r="D19" s="321"/>
      <c r="E19" s="324" t="s">
        <v>84</v>
      </c>
      <c r="F19" s="350">
        <v>46539</v>
      </c>
      <c r="G19" s="320">
        <v>5.3301142546245917</v>
      </c>
      <c r="H19" s="319"/>
      <c r="I19" s="318"/>
      <c r="J19" s="324" t="s">
        <v>84</v>
      </c>
      <c r="K19" s="350">
        <v>117471</v>
      </c>
      <c r="L19" s="315">
        <v>5.0573918424173669</v>
      </c>
      <c r="M19" s="152"/>
    </row>
    <row r="20" spans="3:13" ht="24.75" customHeight="1" thickBot="1" x14ac:dyDescent="0.25">
      <c r="C20" s="314"/>
      <c r="D20" s="313"/>
      <c r="E20" s="309" t="s">
        <v>83</v>
      </c>
      <c r="F20" s="347">
        <v>10015</v>
      </c>
      <c r="G20" s="312">
        <v>0.86812161910091401</v>
      </c>
      <c r="H20" s="319"/>
      <c r="I20" s="310"/>
      <c r="J20" s="309" t="s">
        <v>83</v>
      </c>
      <c r="K20" s="347">
        <v>27507</v>
      </c>
      <c r="L20" s="307">
        <v>1.1346422474002793</v>
      </c>
      <c r="M20" s="152"/>
    </row>
    <row r="21" spans="3:13" ht="24.75" customHeight="1" x14ac:dyDescent="0.2">
      <c r="C21" s="364" t="s">
        <v>8</v>
      </c>
      <c r="D21" s="363"/>
      <c r="E21" s="361" t="s">
        <v>7</v>
      </c>
      <c r="F21" s="432">
        <v>273456</v>
      </c>
      <c r="G21" s="330">
        <v>4.1758559990914765</v>
      </c>
      <c r="H21" s="319"/>
      <c r="I21" s="362" t="s">
        <v>8</v>
      </c>
      <c r="J21" s="361" t="s">
        <v>7</v>
      </c>
      <c r="K21" s="432">
        <v>722545</v>
      </c>
      <c r="L21" s="325">
        <v>4.5393325615805091</v>
      </c>
      <c r="M21" s="152"/>
    </row>
    <row r="22" spans="3:13" ht="24.75" customHeight="1" x14ac:dyDescent="0.2">
      <c r="C22" s="359"/>
      <c r="D22" s="358"/>
      <c r="E22" s="349" t="s">
        <v>84</v>
      </c>
      <c r="F22" s="348">
        <v>208119</v>
      </c>
      <c r="G22" s="320">
        <v>4.377474032349749</v>
      </c>
      <c r="H22" s="319"/>
      <c r="I22" s="357"/>
      <c r="J22" s="349" t="s">
        <v>84</v>
      </c>
      <c r="K22" s="348">
        <v>550012</v>
      </c>
      <c r="L22" s="315">
        <v>4.7639957242564606</v>
      </c>
      <c r="M22" s="152"/>
    </row>
    <row r="23" spans="3:13" ht="24.75" customHeight="1" thickBot="1" x14ac:dyDescent="0.25">
      <c r="C23" s="356"/>
      <c r="D23" s="355"/>
      <c r="E23" s="353" t="s">
        <v>83</v>
      </c>
      <c r="F23" s="431">
        <v>65337</v>
      </c>
      <c r="G23" s="312">
        <v>3.6236642841978632</v>
      </c>
      <c r="H23" s="319"/>
      <c r="I23" s="354"/>
      <c r="J23" s="353" t="s">
        <v>83</v>
      </c>
      <c r="K23" s="431">
        <v>172533</v>
      </c>
      <c r="L23" s="307">
        <v>3.9271211126024506</v>
      </c>
      <c r="M23" s="152"/>
    </row>
    <row r="24" spans="3:13" ht="5.25" customHeight="1" thickBot="1" x14ac:dyDescent="0.25"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3:13" ht="20.100000000000001" customHeight="1" thickBot="1" x14ac:dyDescent="0.25">
      <c r="C25" s="30" t="s">
        <v>87</v>
      </c>
      <c r="D25" s="29"/>
      <c r="E25" s="29"/>
      <c r="F25" s="29"/>
      <c r="G25" s="29"/>
      <c r="H25" s="29"/>
      <c r="I25" s="29"/>
      <c r="J25" s="29"/>
      <c r="K25" s="29"/>
      <c r="L25" s="29"/>
      <c r="M25" s="28"/>
    </row>
    <row r="26" spans="3:13" ht="5.25" customHeight="1" thickBot="1" x14ac:dyDescent="0.25"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4"/>
    </row>
    <row r="27" spans="3:13" ht="24.95" customHeight="1" x14ac:dyDescent="0.2">
      <c r="C27" s="394" t="s">
        <v>13</v>
      </c>
      <c r="D27" s="393"/>
      <c r="E27" s="390" t="s">
        <v>7</v>
      </c>
      <c r="F27" s="438">
        <v>2395706</v>
      </c>
      <c r="G27" s="437">
        <v>6.3581583918178053</v>
      </c>
      <c r="H27" s="392"/>
      <c r="I27" s="391" t="s">
        <v>13</v>
      </c>
      <c r="J27" s="390" t="s">
        <v>7</v>
      </c>
      <c r="K27" s="440">
        <v>6343480</v>
      </c>
      <c r="L27" s="325">
        <v>6.6715661968696862</v>
      </c>
      <c r="M27" s="152" t="s">
        <v>12</v>
      </c>
    </row>
    <row r="28" spans="3:13" ht="24.95" customHeight="1" x14ac:dyDescent="0.2">
      <c r="C28" s="388"/>
      <c r="D28" s="387"/>
      <c r="E28" s="385" t="s">
        <v>84</v>
      </c>
      <c r="F28" s="439">
        <v>1819663</v>
      </c>
      <c r="G28" s="320">
        <v>6.7541686375277514</v>
      </c>
      <c r="H28" s="381"/>
      <c r="I28" s="386"/>
      <c r="J28" s="385" t="s">
        <v>84</v>
      </c>
      <c r="K28" s="439">
        <v>4717141</v>
      </c>
      <c r="L28" s="315">
        <v>7.1137665018275644</v>
      </c>
      <c r="M28" s="152"/>
    </row>
    <row r="29" spans="3:13" ht="24.95" customHeight="1" thickBot="1" x14ac:dyDescent="0.25">
      <c r="C29" s="383"/>
      <c r="D29" s="382"/>
      <c r="E29" s="379" t="s">
        <v>83</v>
      </c>
      <c r="F29" s="438">
        <v>576043</v>
      </c>
      <c r="G29" s="437">
        <v>5.3359914646486866</v>
      </c>
      <c r="H29" s="381"/>
      <c r="I29" s="380"/>
      <c r="J29" s="379" t="s">
        <v>83</v>
      </c>
      <c r="K29" s="436">
        <v>1626339</v>
      </c>
      <c r="L29" s="307">
        <v>5.6244098946262229</v>
      </c>
      <c r="M29" s="152"/>
    </row>
    <row r="30" spans="3:13" ht="24.95" hidden="1" customHeight="1" thickBot="1" x14ac:dyDescent="0.2">
      <c r="C30" s="332" t="s">
        <v>11</v>
      </c>
      <c r="D30" s="331"/>
      <c r="E30" s="327" t="s">
        <v>7</v>
      </c>
      <c r="F30" s="351">
        <v>50759</v>
      </c>
      <c r="G30" s="330">
        <v>1.0579363470504766</v>
      </c>
      <c r="H30" s="319"/>
      <c r="I30" s="328" t="s">
        <v>11</v>
      </c>
      <c r="J30" s="327" t="s">
        <v>7</v>
      </c>
      <c r="K30" s="351">
        <v>136836</v>
      </c>
      <c r="L30" s="325">
        <v>1.5572520510568317</v>
      </c>
      <c r="M30" s="152"/>
    </row>
    <row r="31" spans="3:13" ht="48" customHeight="1" thickBot="1" x14ac:dyDescent="0.25">
      <c r="C31" s="322"/>
      <c r="D31" s="321"/>
      <c r="E31" s="324" t="s">
        <v>84</v>
      </c>
      <c r="F31" s="350">
        <v>50759</v>
      </c>
      <c r="G31" s="320">
        <v>1.0579363470504766</v>
      </c>
      <c r="H31" s="319"/>
      <c r="I31" s="318"/>
      <c r="J31" s="324" t="s">
        <v>84</v>
      </c>
      <c r="K31" s="350">
        <v>136836</v>
      </c>
      <c r="L31" s="315">
        <v>1.5572520510568317</v>
      </c>
      <c r="M31" s="152"/>
    </row>
    <row r="32" spans="3:13" ht="24.95" hidden="1" customHeight="1" thickBot="1" x14ac:dyDescent="0.25">
      <c r="C32" s="314"/>
      <c r="D32" s="313"/>
      <c r="E32" s="309" t="s">
        <v>83</v>
      </c>
      <c r="F32" s="347">
        <v>0</v>
      </c>
      <c r="G32" s="312" t="s">
        <v>64</v>
      </c>
      <c r="H32" s="319"/>
      <c r="I32" s="310"/>
      <c r="J32" s="309" t="s">
        <v>83</v>
      </c>
      <c r="K32" s="347">
        <v>0</v>
      </c>
      <c r="L32" s="307" t="s">
        <v>64</v>
      </c>
      <c r="M32" s="152"/>
    </row>
    <row r="33" spans="3:13" ht="24.95" customHeight="1" x14ac:dyDescent="0.2">
      <c r="C33" s="377" t="s">
        <v>10</v>
      </c>
      <c r="D33" s="376"/>
      <c r="E33" s="374" t="s">
        <v>7</v>
      </c>
      <c r="F33" s="435">
        <v>13555</v>
      </c>
      <c r="G33" s="330">
        <v>1.8633291085762567</v>
      </c>
      <c r="H33" s="319"/>
      <c r="I33" s="375" t="s">
        <v>10</v>
      </c>
      <c r="J33" s="374" t="s">
        <v>7</v>
      </c>
      <c r="K33" s="435">
        <v>39257</v>
      </c>
      <c r="L33" s="325">
        <v>2.3336447010869565</v>
      </c>
      <c r="M33" s="152"/>
    </row>
    <row r="34" spans="3:13" ht="24.95" customHeight="1" x14ac:dyDescent="0.2">
      <c r="C34" s="372"/>
      <c r="D34" s="371"/>
      <c r="E34" s="317" t="s">
        <v>84</v>
      </c>
      <c r="F34" s="434">
        <v>11768</v>
      </c>
      <c r="G34" s="320">
        <v>1.5972191569190026</v>
      </c>
      <c r="H34" s="319"/>
      <c r="I34" s="370"/>
      <c r="J34" s="317" t="s">
        <v>84</v>
      </c>
      <c r="K34" s="434">
        <v>34043</v>
      </c>
      <c r="L34" s="315">
        <v>2.0488088841124843</v>
      </c>
      <c r="M34" s="152"/>
    </row>
    <row r="35" spans="3:13" ht="24.95" customHeight="1" thickBot="1" x14ac:dyDescent="0.25">
      <c r="C35" s="369"/>
      <c r="D35" s="368"/>
      <c r="E35" s="366" t="s">
        <v>83</v>
      </c>
      <c r="F35" s="433">
        <v>1787</v>
      </c>
      <c r="G35" s="312">
        <v>7.8029556650246299</v>
      </c>
      <c r="H35" s="319"/>
      <c r="I35" s="367"/>
      <c r="J35" s="366" t="s">
        <v>83</v>
      </c>
      <c r="K35" s="433">
        <v>5214</v>
      </c>
      <c r="L35" s="307">
        <v>7.5475409836065577</v>
      </c>
      <c r="M35" s="152"/>
    </row>
    <row r="36" spans="3:13" ht="24.95" customHeight="1" x14ac:dyDescent="0.2">
      <c r="C36" s="332" t="s">
        <v>9</v>
      </c>
      <c r="D36" s="331"/>
      <c r="E36" s="327" t="s">
        <v>7</v>
      </c>
      <c r="F36" s="351">
        <v>368145</v>
      </c>
      <c r="G36" s="330">
        <v>7.2429134387174781</v>
      </c>
      <c r="H36" s="319"/>
      <c r="I36" s="328" t="s">
        <v>9</v>
      </c>
      <c r="J36" s="327" t="s">
        <v>7</v>
      </c>
      <c r="K36" s="351">
        <v>971905</v>
      </c>
      <c r="L36" s="325">
        <v>7.555426448710838</v>
      </c>
      <c r="M36" s="152"/>
    </row>
    <row r="37" spans="3:13" ht="24.95" customHeight="1" x14ac:dyDescent="0.2">
      <c r="C37" s="322"/>
      <c r="D37" s="321"/>
      <c r="E37" s="324" t="s">
        <v>84</v>
      </c>
      <c r="F37" s="350">
        <v>291835</v>
      </c>
      <c r="G37" s="320">
        <v>11.459866791905046</v>
      </c>
      <c r="H37" s="319"/>
      <c r="I37" s="318"/>
      <c r="J37" s="324" t="s">
        <v>84</v>
      </c>
      <c r="K37" s="350">
        <v>747690</v>
      </c>
      <c r="L37" s="315">
        <v>11.423401568523195</v>
      </c>
      <c r="M37" s="152"/>
    </row>
    <row r="38" spans="3:13" ht="24.95" customHeight="1" thickBot="1" x14ac:dyDescent="0.25">
      <c r="C38" s="314"/>
      <c r="D38" s="313"/>
      <c r="E38" s="309" t="s">
        <v>83</v>
      </c>
      <c r="F38" s="347">
        <v>76310</v>
      </c>
      <c r="G38" s="312">
        <v>2.5927495291902072</v>
      </c>
      <c r="H38" s="319"/>
      <c r="I38" s="310"/>
      <c r="J38" s="309" t="s">
        <v>83</v>
      </c>
      <c r="K38" s="347">
        <v>224215</v>
      </c>
      <c r="L38" s="307">
        <v>3.1974465057940353</v>
      </c>
      <c r="M38" s="152"/>
    </row>
    <row r="39" spans="3:13" ht="24.95" customHeight="1" x14ac:dyDescent="0.2">
      <c r="C39" s="364" t="s">
        <v>8</v>
      </c>
      <c r="D39" s="363"/>
      <c r="E39" s="361" t="s">
        <v>7</v>
      </c>
      <c r="F39" s="432">
        <v>1963247</v>
      </c>
      <c r="G39" s="330">
        <v>6.8054062435393838</v>
      </c>
      <c r="H39" s="319"/>
      <c r="I39" s="362" t="s">
        <v>8</v>
      </c>
      <c r="J39" s="361" t="s">
        <v>7</v>
      </c>
      <c r="K39" s="432">
        <v>5195482</v>
      </c>
      <c r="L39" s="325">
        <v>7.0177686282014093</v>
      </c>
      <c r="M39" s="152"/>
    </row>
    <row r="40" spans="3:13" ht="24.95" customHeight="1" x14ac:dyDescent="0.2">
      <c r="C40" s="359"/>
      <c r="D40" s="358"/>
      <c r="E40" s="349" t="s">
        <v>84</v>
      </c>
      <c r="F40" s="348">
        <v>1465301</v>
      </c>
      <c r="G40" s="320">
        <v>7.0488489489209076</v>
      </c>
      <c r="H40" s="319"/>
      <c r="I40" s="357"/>
      <c r="J40" s="349" t="s">
        <v>84</v>
      </c>
      <c r="K40" s="348">
        <v>3798572</v>
      </c>
      <c r="L40" s="315">
        <v>7.3207861279779891</v>
      </c>
      <c r="M40" s="152"/>
    </row>
    <row r="41" spans="3:13" ht="24.95" customHeight="1" thickBot="1" x14ac:dyDescent="0.25">
      <c r="C41" s="356"/>
      <c r="D41" s="355"/>
      <c r="E41" s="353" t="s">
        <v>83</v>
      </c>
      <c r="F41" s="431">
        <v>497946</v>
      </c>
      <c r="G41" s="312">
        <v>6.1674751342248069</v>
      </c>
      <c r="H41" s="319"/>
      <c r="I41" s="354"/>
      <c r="J41" s="353" t="s">
        <v>83</v>
      </c>
      <c r="K41" s="431">
        <v>1396910</v>
      </c>
      <c r="L41" s="307">
        <v>6.2953311050762482</v>
      </c>
      <c r="M41" s="152"/>
    </row>
    <row r="42" spans="3:13" ht="5.25" customHeight="1" thickBot="1" x14ac:dyDescent="0.25">
      <c r="C42" s="126"/>
      <c r="D42" s="126"/>
      <c r="F42" s="126"/>
      <c r="G42" s="126"/>
      <c r="H42" s="126"/>
      <c r="I42" s="126"/>
      <c r="J42" s="126"/>
      <c r="K42" s="126"/>
      <c r="L42" s="126"/>
      <c r="M42" s="126"/>
    </row>
    <row r="43" spans="3:13" ht="20.100000000000001" customHeight="1" thickBot="1" x14ac:dyDescent="0.25">
      <c r="C43" s="30" t="s">
        <v>86</v>
      </c>
      <c r="D43" s="29"/>
      <c r="E43" s="29"/>
      <c r="F43" s="29"/>
      <c r="G43" s="29"/>
      <c r="H43" s="29"/>
      <c r="I43" s="29"/>
      <c r="J43" s="29"/>
      <c r="K43" s="29"/>
      <c r="L43" s="29"/>
      <c r="M43" s="28"/>
    </row>
    <row r="44" spans="3:13" ht="5.25" customHeight="1" thickBot="1" x14ac:dyDescent="0.25"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4"/>
    </row>
    <row r="45" spans="3:13" ht="24.75" customHeight="1" x14ac:dyDescent="0.2">
      <c r="C45" s="394" t="s">
        <v>13</v>
      </c>
      <c r="D45" s="393"/>
      <c r="E45" s="390" t="s">
        <v>7</v>
      </c>
      <c r="F45" s="430">
        <v>6.7653141908301233</v>
      </c>
      <c r="G45" s="343">
        <v>2.6346256687357572</v>
      </c>
      <c r="H45" s="392"/>
      <c r="I45" s="391" t="s">
        <v>13</v>
      </c>
      <c r="J45" s="390" t="s">
        <v>7</v>
      </c>
      <c r="K45" s="430">
        <v>6.8162042106190643</v>
      </c>
      <c r="L45" s="341">
        <v>2.5536402243725629</v>
      </c>
      <c r="M45" s="152" t="s">
        <v>12</v>
      </c>
    </row>
    <row r="46" spans="3:13" ht="24.75" customHeight="1" x14ac:dyDescent="0.2">
      <c r="C46" s="388"/>
      <c r="D46" s="387"/>
      <c r="E46" s="385" t="s">
        <v>84</v>
      </c>
      <c r="F46" s="429">
        <v>6.5380010850780215</v>
      </c>
      <c r="G46" s="338">
        <v>2.5788129355301743</v>
      </c>
      <c r="H46" s="381"/>
      <c r="I46" s="386"/>
      <c r="J46" s="385" t="s">
        <v>84</v>
      </c>
      <c r="K46" s="429">
        <v>6.468296422043383</v>
      </c>
      <c r="L46" s="336">
        <v>2.484829821154019</v>
      </c>
      <c r="M46" s="152"/>
    </row>
    <row r="47" spans="3:13" ht="24.75" customHeight="1" thickBot="1" x14ac:dyDescent="0.25">
      <c r="C47" s="383"/>
      <c r="D47" s="382"/>
      <c r="E47" s="379" t="s">
        <v>83</v>
      </c>
      <c r="F47" s="428">
        <v>7.60001319348242</v>
      </c>
      <c r="G47" s="335">
        <v>2.9493405248037154</v>
      </c>
      <c r="H47" s="381"/>
      <c r="I47" s="380"/>
      <c r="J47" s="379" t="s">
        <v>83</v>
      </c>
      <c r="K47" s="428">
        <v>8.0761312172254893</v>
      </c>
      <c r="L47" s="333">
        <v>2.9656607759265716</v>
      </c>
      <c r="M47" s="152"/>
    </row>
    <row r="48" spans="3:13" ht="24.75" hidden="1" customHeight="1" thickBot="1" x14ac:dyDescent="0.2">
      <c r="C48" s="332" t="s">
        <v>11</v>
      </c>
      <c r="D48" s="331"/>
      <c r="E48" s="327" t="s">
        <v>7</v>
      </c>
      <c r="F48" s="424">
        <v>2.6518468209602424</v>
      </c>
      <c r="G48" s="343">
        <v>0.44468798427120415</v>
      </c>
      <c r="H48" s="319"/>
      <c r="I48" s="328" t="s">
        <v>11</v>
      </c>
      <c r="J48" s="327" t="s">
        <v>7</v>
      </c>
      <c r="K48" s="424">
        <v>2.7484283045775002</v>
      </c>
      <c r="L48" s="341">
        <v>0.7099125515964344</v>
      </c>
      <c r="M48" s="152"/>
    </row>
    <row r="49" spans="3:13" ht="50.25" customHeight="1" thickBot="1" x14ac:dyDescent="0.25">
      <c r="C49" s="322"/>
      <c r="D49" s="321"/>
      <c r="E49" s="324" t="s">
        <v>84</v>
      </c>
      <c r="F49" s="423">
        <v>2.6518468209602424</v>
      </c>
      <c r="G49" s="338">
        <v>0.44468798427120415</v>
      </c>
      <c r="H49" s="319"/>
      <c r="I49" s="318"/>
      <c r="J49" s="324" t="s">
        <v>84</v>
      </c>
      <c r="K49" s="423">
        <v>2.7484283045775002</v>
      </c>
      <c r="L49" s="336">
        <v>0.7099125515964344</v>
      </c>
      <c r="M49" s="152"/>
    </row>
    <row r="50" spans="3:13" ht="24.75" hidden="1" customHeight="1" thickBot="1" x14ac:dyDescent="0.25">
      <c r="C50" s="314"/>
      <c r="D50" s="313"/>
      <c r="E50" s="309" t="s">
        <v>83</v>
      </c>
      <c r="F50" s="422" t="s">
        <v>64</v>
      </c>
      <c r="G50" s="335" t="s">
        <v>64</v>
      </c>
      <c r="H50" s="319"/>
      <c r="I50" s="310"/>
      <c r="J50" s="309" t="s">
        <v>83</v>
      </c>
      <c r="K50" s="422" t="e">
        <v>#DIV/0!</v>
      </c>
      <c r="L50" s="333" t="s">
        <v>64</v>
      </c>
      <c r="M50" s="152"/>
    </row>
    <row r="51" spans="3:13" ht="24.75" customHeight="1" x14ac:dyDescent="0.2">
      <c r="C51" s="377" t="s">
        <v>10</v>
      </c>
      <c r="D51" s="376"/>
      <c r="E51" s="374" t="s">
        <v>7</v>
      </c>
      <c r="F51" s="427">
        <v>2.7301107754279959</v>
      </c>
      <c r="G51" s="343">
        <v>0.4758250611422814</v>
      </c>
      <c r="H51" s="319"/>
      <c r="I51" s="375" t="s">
        <v>10</v>
      </c>
      <c r="J51" s="374" t="s">
        <v>7</v>
      </c>
      <c r="K51" s="427">
        <v>2.9434655469745818</v>
      </c>
      <c r="L51" s="341">
        <v>0.59764881390685298</v>
      </c>
      <c r="M51" s="152"/>
    </row>
    <row r="52" spans="3:13" ht="24.75" customHeight="1" x14ac:dyDescent="0.2">
      <c r="C52" s="372"/>
      <c r="D52" s="371"/>
      <c r="E52" s="317" t="s">
        <v>84</v>
      </c>
      <c r="F52" s="426">
        <v>2.602388323750553</v>
      </c>
      <c r="G52" s="338">
        <v>0.38457138787194323</v>
      </c>
      <c r="H52" s="319"/>
      <c r="I52" s="370"/>
      <c r="J52" s="317" t="s">
        <v>84</v>
      </c>
      <c r="K52" s="426">
        <v>2.8366802766436132</v>
      </c>
      <c r="L52" s="336">
        <v>0.54997128626884351</v>
      </c>
      <c r="M52" s="152"/>
    </row>
    <row r="53" spans="3:13" ht="24.75" customHeight="1" thickBot="1" x14ac:dyDescent="0.25">
      <c r="C53" s="369"/>
      <c r="D53" s="368"/>
      <c r="E53" s="366" t="s">
        <v>83</v>
      </c>
      <c r="F53" s="425">
        <v>4.033860045146727</v>
      </c>
      <c r="G53" s="335">
        <v>0.47245653637479723</v>
      </c>
      <c r="H53" s="319"/>
      <c r="I53" s="367"/>
      <c r="J53" s="366" t="s">
        <v>83</v>
      </c>
      <c r="K53" s="425">
        <v>3.9026946107784433</v>
      </c>
      <c r="L53" s="333">
        <v>-0.54986013374710385</v>
      </c>
      <c r="M53" s="152"/>
    </row>
    <row r="54" spans="3:13" ht="24.75" customHeight="1" x14ac:dyDescent="0.2">
      <c r="C54" s="332" t="s">
        <v>9</v>
      </c>
      <c r="D54" s="331"/>
      <c r="E54" s="327" t="s">
        <v>7</v>
      </c>
      <c r="F54" s="424">
        <v>6.5096191250839901</v>
      </c>
      <c r="G54" s="343">
        <v>2.9965222950674715</v>
      </c>
      <c r="H54" s="319"/>
      <c r="I54" s="328" t="s">
        <v>9</v>
      </c>
      <c r="J54" s="327" t="s">
        <v>7</v>
      </c>
      <c r="K54" s="424">
        <v>6.7038102332767728</v>
      </c>
      <c r="L54" s="341">
        <v>3.1844632894433209</v>
      </c>
      <c r="M54" s="152"/>
    </row>
    <row r="55" spans="3:13" ht="24.75" customHeight="1" x14ac:dyDescent="0.2">
      <c r="C55" s="322"/>
      <c r="D55" s="321"/>
      <c r="E55" s="324" t="s">
        <v>84</v>
      </c>
      <c r="F55" s="423">
        <v>6.2707621564709166</v>
      </c>
      <c r="G55" s="338">
        <v>3.0849623740987728</v>
      </c>
      <c r="H55" s="319"/>
      <c r="I55" s="318"/>
      <c r="J55" s="324" t="s">
        <v>84</v>
      </c>
      <c r="K55" s="423">
        <v>6.3648900579717544</v>
      </c>
      <c r="L55" s="336">
        <v>3.2615022376242062</v>
      </c>
      <c r="M55" s="152"/>
    </row>
    <row r="56" spans="3:13" ht="24.75" customHeight="1" thickBot="1" x14ac:dyDescent="0.25">
      <c r="C56" s="314"/>
      <c r="D56" s="313"/>
      <c r="E56" s="309" t="s">
        <v>83</v>
      </c>
      <c r="F56" s="422">
        <v>7.6195706440339492</v>
      </c>
      <c r="G56" s="335">
        <v>3.6576232461604183</v>
      </c>
      <c r="H56" s="319"/>
      <c r="I56" s="310"/>
      <c r="J56" s="309" t="s">
        <v>83</v>
      </c>
      <c r="K56" s="422">
        <v>8.1511978769040603</v>
      </c>
      <c r="L56" s="333">
        <v>4.0058463325924043</v>
      </c>
      <c r="M56" s="152"/>
    </row>
    <row r="57" spans="3:13" ht="24.75" customHeight="1" x14ac:dyDescent="0.2">
      <c r="C57" s="364" t="s">
        <v>8</v>
      </c>
      <c r="D57" s="363"/>
      <c r="E57" s="361" t="s">
        <v>7</v>
      </c>
      <c r="F57" s="421">
        <v>7.1793890059095427</v>
      </c>
      <c r="G57" s="343">
        <v>2.4186523451104209</v>
      </c>
      <c r="H57" s="319"/>
      <c r="I57" s="362" t="s">
        <v>8</v>
      </c>
      <c r="J57" s="361" t="s">
        <v>7</v>
      </c>
      <c r="K57" s="421">
        <v>7.1905306935900182</v>
      </c>
      <c r="L57" s="341">
        <v>2.2227219860715612</v>
      </c>
      <c r="M57" s="152"/>
    </row>
    <row r="58" spans="3:13" ht="24.75" customHeight="1" x14ac:dyDescent="0.2">
      <c r="C58" s="359"/>
      <c r="D58" s="358"/>
      <c r="E58" s="349" t="s">
        <v>84</v>
      </c>
      <c r="F58" s="420">
        <v>7.0406882600819722</v>
      </c>
      <c r="G58" s="338">
        <v>2.3367711498551103</v>
      </c>
      <c r="H58" s="319"/>
      <c r="I58" s="357"/>
      <c r="J58" s="349" t="s">
        <v>84</v>
      </c>
      <c r="K58" s="420">
        <v>6.906343861588474</v>
      </c>
      <c r="L58" s="336">
        <v>2.1221641126836097</v>
      </c>
      <c r="M58" s="152"/>
    </row>
    <row r="59" spans="3:13" ht="24.75" customHeight="1" thickBot="1" x14ac:dyDescent="0.25">
      <c r="C59" s="419"/>
      <c r="D59" s="418"/>
      <c r="E59" s="414" t="s">
        <v>83</v>
      </c>
      <c r="F59" s="413">
        <v>7.6211947288672572</v>
      </c>
      <c r="G59" s="417">
        <v>2.7048406138010908</v>
      </c>
      <c r="H59" s="416"/>
      <c r="I59" s="415"/>
      <c r="J59" s="414" t="s">
        <v>83</v>
      </c>
      <c r="K59" s="413">
        <v>8.0964800936632404</v>
      </c>
      <c r="L59" s="412">
        <v>2.6282789342263957</v>
      </c>
      <c r="M59" s="411"/>
    </row>
    <row r="60" spans="3:13" ht="13.5" thickBot="1" x14ac:dyDescent="0.25">
      <c r="C60" s="410"/>
      <c r="D60" s="409"/>
      <c r="E60" s="409"/>
      <c r="F60" s="409"/>
      <c r="G60" s="409"/>
      <c r="H60" s="409"/>
      <c r="I60" s="409"/>
      <c r="J60" s="409"/>
      <c r="K60" s="409"/>
      <c r="L60" s="409"/>
      <c r="M60" s="408"/>
    </row>
    <row r="61" spans="3:13" ht="50.25" customHeight="1" thickBot="1" x14ac:dyDescent="0.25">
      <c r="C61" s="406"/>
      <c r="D61" s="406"/>
      <c r="E61" s="407" t="s">
        <v>111</v>
      </c>
      <c r="F61" s="407"/>
      <c r="G61" s="407"/>
      <c r="H61" s="407"/>
      <c r="I61" s="407"/>
      <c r="J61" s="407"/>
      <c r="K61" s="407"/>
      <c r="L61" s="406"/>
      <c r="M61" s="406"/>
    </row>
    <row r="62" spans="3:13" ht="15" customHeight="1" x14ac:dyDescent="0.2">
      <c r="C62" s="405" t="s">
        <v>112</v>
      </c>
      <c r="D62" s="405"/>
      <c r="E62" s="405"/>
      <c r="F62" s="405"/>
      <c r="G62" s="405"/>
      <c r="H62" s="404"/>
      <c r="I62" s="403" t="str">
        <f>I2</f>
        <v>acumulado marzo 2022</v>
      </c>
      <c r="J62" s="403"/>
      <c r="K62" s="403"/>
      <c r="L62" s="403"/>
      <c r="M62" s="403"/>
    </row>
    <row r="63" spans="3:13" ht="16.5" customHeight="1" thickBot="1" x14ac:dyDescent="0.25">
      <c r="C63" s="402"/>
      <c r="D63" s="402"/>
      <c r="E63" s="402"/>
      <c r="F63" s="402"/>
      <c r="G63" s="402"/>
      <c r="H63" s="401"/>
      <c r="I63" s="400"/>
      <c r="J63" s="400"/>
      <c r="K63" s="400"/>
      <c r="L63" s="400"/>
      <c r="M63" s="400"/>
    </row>
    <row r="64" spans="3:13" ht="81.75" customHeight="1" x14ac:dyDescent="0.2">
      <c r="C64" s="399" t="str">
        <f>C5</f>
        <v>Ámbito</v>
      </c>
      <c r="D64" s="398"/>
      <c r="E64" s="396" t="str">
        <f>E5</f>
        <v>Variable</v>
      </c>
      <c r="F64" s="396" t="str">
        <f>F5</f>
        <v>Valor absoluto
mensual</v>
      </c>
      <c r="G64" s="396" t="str">
        <f>G5</f>
        <v>Variación respecto al año anterior</v>
      </c>
      <c r="H64" s="397"/>
      <c r="I64" s="396" t="str">
        <f>I5</f>
        <v>Ámbito</v>
      </c>
      <c r="J64" s="396" t="str">
        <f>J5</f>
        <v>Variable</v>
      </c>
      <c r="K64" s="396" t="str">
        <f>K5</f>
        <v>Valor absoluto
acumulado</v>
      </c>
      <c r="L64" s="396" t="str">
        <f>L5</f>
        <v>Variación respecto al año anterior</v>
      </c>
      <c r="M64" s="395" t="str">
        <f>M5</f>
        <v>Fuente</v>
      </c>
    </row>
    <row r="65" spans="3:13" ht="5.25" customHeight="1" thickBot="1" x14ac:dyDescent="0.25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3:13" ht="20.100000000000001" customHeight="1" thickBot="1" x14ac:dyDescent="0.25">
      <c r="C66" s="30" t="s">
        <v>85</v>
      </c>
      <c r="D66" s="29"/>
      <c r="E66" s="29"/>
      <c r="F66" s="29"/>
      <c r="G66" s="29"/>
      <c r="H66" s="29"/>
      <c r="I66" s="29"/>
      <c r="J66" s="29"/>
      <c r="K66" s="29"/>
      <c r="L66" s="29"/>
      <c r="M66" s="28"/>
    </row>
    <row r="67" spans="3:13" ht="5.25" customHeight="1" thickBot="1" x14ac:dyDescent="0.25"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4"/>
    </row>
    <row r="68" spans="3:13" ht="24.75" customHeight="1" x14ac:dyDescent="0.2">
      <c r="C68" s="394" t="s">
        <v>13</v>
      </c>
      <c r="D68" s="393"/>
      <c r="E68" s="390" t="s">
        <v>7</v>
      </c>
      <c r="F68" s="389">
        <v>0.67541963056553034</v>
      </c>
      <c r="G68" s="330">
        <v>1.8948644893564746</v>
      </c>
      <c r="H68" s="392"/>
      <c r="I68" s="391" t="s">
        <v>13</v>
      </c>
      <c r="J68" s="390" t="s">
        <v>7</v>
      </c>
      <c r="K68" s="389">
        <v>0.61798848522151895</v>
      </c>
      <c r="L68" s="325">
        <v>2.1908757671618821</v>
      </c>
      <c r="M68" s="152" t="s">
        <v>12</v>
      </c>
    </row>
    <row r="69" spans="3:13" ht="24.75" customHeight="1" x14ac:dyDescent="0.2">
      <c r="C69" s="388"/>
      <c r="D69" s="387"/>
      <c r="E69" s="385" t="s">
        <v>84</v>
      </c>
      <c r="F69" s="384">
        <v>0.72971254026693977</v>
      </c>
      <c r="G69" s="320">
        <v>1.3942770554681605</v>
      </c>
      <c r="H69" s="381"/>
      <c r="I69" s="386"/>
      <c r="J69" s="385" t="s">
        <v>84</v>
      </c>
      <c r="K69" s="384">
        <v>0.65534979795490289</v>
      </c>
      <c r="L69" s="315">
        <v>1.7541972120259692</v>
      </c>
      <c r="M69" s="152"/>
    </row>
    <row r="70" spans="3:13" ht="24.75" customHeight="1" thickBot="1" x14ac:dyDescent="0.25">
      <c r="C70" s="383"/>
      <c r="D70" s="382"/>
      <c r="E70" s="379" t="s">
        <v>83</v>
      </c>
      <c r="F70" s="378">
        <v>0.54688422679570647</v>
      </c>
      <c r="G70" s="312">
        <v>2.7624727700928995</v>
      </c>
      <c r="H70" s="381"/>
      <c r="I70" s="380"/>
      <c r="J70" s="379" t="s">
        <v>83</v>
      </c>
      <c r="K70" s="378">
        <v>0.53030072804960438</v>
      </c>
      <c r="L70" s="307">
        <v>2.944532194316126</v>
      </c>
      <c r="M70" s="152"/>
    </row>
    <row r="71" spans="3:13" ht="24.75" hidden="1" customHeight="1" thickBot="1" x14ac:dyDescent="0.2">
      <c r="C71" s="332" t="s">
        <v>11</v>
      </c>
      <c r="D71" s="331"/>
      <c r="E71" s="327" t="s">
        <v>7</v>
      </c>
      <c r="F71" s="326">
        <v>0.68768882686862387</v>
      </c>
      <c r="G71" s="330">
        <v>0.74246101455428826</v>
      </c>
      <c r="H71" s="319"/>
      <c r="I71" s="328" t="s">
        <v>11</v>
      </c>
      <c r="J71" s="327" t="s">
        <v>7</v>
      </c>
      <c r="K71" s="326">
        <v>0.63855522889542204</v>
      </c>
      <c r="L71" s="325">
        <v>0.90949601329788399</v>
      </c>
      <c r="M71" s="152"/>
    </row>
    <row r="72" spans="3:13" ht="43.5" customHeight="1" thickBot="1" x14ac:dyDescent="0.25">
      <c r="C72" s="322"/>
      <c r="D72" s="321"/>
      <c r="E72" s="324" t="s">
        <v>84</v>
      </c>
      <c r="F72" s="323">
        <v>0.69000720470888899</v>
      </c>
      <c r="G72" s="320">
        <v>0.7413974651821984</v>
      </c>
      <c r="H72" s="319"/>
      <c r="I72" s="318"/>
      <c r="J72" s="324" t="s">
        <v>84</v>
      </c>
      <c r="K72" s="323">
        <v>0.64070796460176993</v>
      </c>
      <c r="L72" s="315">
        <v>0.91296390963591123</v>
      </c>
      <c r="M72" s="152"/>
    </row>
    <row r="73" spans="3:13" ht="24.75" hidden="1" customHeight="1" thickBot="1" x14ac:dyDescent="0.25">
      <c r="C73" s="314"/>
      <c r="D73" s="313"/>
      <c r="E73" s="309" t="s">
        <v>83</v>
      </c>
      <c r="F73" s="308">
        <v>0</v>
      </c>
      <c r="G73" s="312" t="s">
        <v>64</v>
      </c>
      <c r="H73" s="319"/>
      <c r="I73" s="310"/>
      <c r="J73" s="309" t="s">
        <v>83</v>
      </c>
      <c r="K73" s="308">
        <v>0</v>
      </c>
      <c r="L73" s="307" t="s">
        <v>64</v>
      </c>
      <c r="M73" s="152"/>
    </row>
    <row r="74" spans="3:13" ht="24.75" customHeight="1" x14ac:dyDescent="0.2">
      <c r="C74" s="377" t="s">
        <v>10</v>
      </c>
      <c r="D74" s="376"/>
      <c r="E74" s="374" t="s">
        <v>7</v>
      </c>
      <c r="F74" s="373">
        <v>0.53129776976443377</v>
      </c>
      <c r="G74" s="330">
        <v>1.0492112332337973</v>
      </c>
      <c r="H74" s="319"/>
      <c r="I74" s="375" t="s">
        <v>10</v>
      </c>
      <c r="J74" s="374" t="s">
        <v>7</v>
      </c>
      <c r="K74" s="373">
        <v>0.52999864992574597</v>
      </c>
      <c r="L74" s="325">
        <v>1.4484533418189907</v>
      </c>
      <c r="M74" s="152"/>
    </row>
    <row r="75" spans="3:13" ht="24.75" customHeight="1" x14ac:dyDescent="0.2">
      <c r="C75" s="372"/>
      <c r="D75" s="371"/>
      <c r="E75" s="317" t="s">
        <v>84</v>
      </c>
      <c r="F75" s="316">
        <v>0.60738064516129031</v>
      </c>
      <c r="G75" s="320">
        <v>1.2190640476715955</v>
      </c>
      <c r="H75" s="319"/>
      <c r="I75" s="370"/>
      <c r="J75" s="317" t="s">
        <v>84</v>
      </c>
      <c r="K75" s="316">
        <v>0.60520888888888891</v>
      </c>
      <c r="L75" s="315">
        <v>1.7072338869982291</v>
      </c>
      <c r="M75" s="152"/>
    </row>
    <row r="76" spans="3:13" ht="24.75" customHeight="1" thickBot="1" x14ac:dyDescent="0.25">
      <c r="C76" s="369"/>
      <c r="D76" s="368"/>
      <c r="E76" s="366" t="s">
        <v>83</v>
      </c>
      <c r="F76" s="365">
        <v>0.29113717823395241</v>
      </c>
      <c r="G76" s="312">
        <v>1.4452654625068417</v>
      </c>
      <c r="H76" s="319"/>
      <c r="I76" s="367"/>
      <c r="J76" s="366" t="s">
        <v>83</v>
      </c>
      <c r="K76" s="365">
        <v>0.29259259259259257</v>
      </c>
      <c r="L76" s="307">
        <v>1.1364055859137827</v>
      </c>
      <c r="M76" s="152"/>
    </row>
    <row r="77" spans="3:13" ht="24.75" customHeight="1" x14ac:dyDescent="0.2">
      <c r="C77" s="332" t="s">
        <v>9</v>
      </c>
      <c r="D77" s="331"/>
      <c r="E77" s="327" t="s">
        <v>7</v>
      </c>
      <c r="F77" s="326">
        <v>0.61608451760169758</v>
      </c>
      <c r="G77" s="330">
        <v>2.1054180012433248</v>
      </c>
      <c r="H77" s="319"/>
      <c r="I77" s="328" t="s">
        <v>9</v>
      </c>
      <c r="J77" s="327" t="s">
        <v>7</v>
      </c>
      <c r="K77" s="326">
        <v>0.56738037874590841</v>
      </c>
      <c r="L77" s="325">
        <v>2.377471787769259</v>
      </c>
      <c r="M77" s="152"/>
    </row>
    <row r="78" spans="3:13" ht="24.75" customHeight="1" x14ac:dyDescent="0.2">
      <c r="C78" s="322"/>
      <c r="D78" s="321"/>
      <c r="E78" s="324" t="s">
        <v>84</v>
      </c>
      <c r="F78" s="323">
        <v>0.65189614694720011</v>
      </c>
      <c r="G78" s="320">
        <v>2.1225163021885165</v>
      </c>
      <c r="H78" s="319"/>
      <c r="I78" s="318"/>
      <c r="J78" s="324" t="s">
        <v>84</v>
      </c>
      <c r="K78" s="323">
        <v>0.58918925308211489</v>
      </c>
      <c r="L78" s="315">
        <v>2.4367284606038582</v>
      </c>
      <c r="M78" s="152"/>
    </row>
    <row r="79" spans="3:13" ht="24.75" customHeight="1" thickBot="1" x14ac:dyDescent="0.25">
      <c r="C79" s="314"/>
      <c r="D79" s="313"/>
      <c r="E79" s="309" t="s">
        <v>83</v>
      </c>
      <c r="F79" s="308">
        <v>0.50912366147379662</v>
      </c>
      <c r="G79" s="312">
        <v>1.707008590452932</v>
      </c>
      <c r="H79" s="319"/>
      <c r="I79" s="310"/>
      <c r="J79" s="309" t="s">
        <v>83</v>
      </c>
      <c r="K79" s="308">
        <v>0.50504106281281391</v>
      </c>
      <c r="L79" s="307">
        <v>2.0745321349354642</v>
      </c>
      <c r="M79" s="152"/>
    </row>
    <row r="80" spans="3:13" ht="24.75" customHeight="1" x14ac:dyDescent="0.2">
      <c r="C80" s="364" t="s">
        <v>8</v>
      </c>
      <c r="D80" s="363"/>
      <c r="E80" s="361" t="s">
        <v>7</v>
      </c>
      <c r="F80" s="360">
        <v>0.68883225167879547</v>
      </c>
      <c r="G80" s="330">
        <v>1.9839830610287503</v>
      </c>
      <c r="H80" s="319"/>
      <c r="I80" s="362" t="s">
        <v>8</v>
      </c>
      <c r="J80" s="361" t="s">
        <v>7</v>
      </c>
      <c r="K80" s="360">
        <v>0.62873470982198232</v>
      </c>
      <c r="L80" s="325">
        <v>2.2783778813886535</v>
      </c>
      <c r="M80" s="152"/>
    </row>
    <row r="81" spans="3:13" ht="24.75" customHeight="1" x14ac:dyDescent="0.2">
      <c r="C81" s="359"/>
      <c r="D81" s="358"/>
      <c r="E81" s="349" t="s">
        <v>84</v>
      </c>
      <c r="F81" s="45">
        <v>0.75025831233212259</v>
      </c>
      <c r="G81" s="320">
        <v>1.3860885657438775</v>
      </c>
      <c r="H81" s="319"/>
      <c r="I81" s="357"/>
      <c r="J81" s="349" t="s">
        <v>84</v>
      </c>
      <c r="K81" s="45">
        <v>0.67123691678286668</v>
      </c>
      <c r="L81" s="315">
        <v>1.7679958046200324</v>
      </c>
      <c r="M81" s="152"/>
    </row>
    <row r="82" spans="3:13" ht="24.75" customHeight="1" thickBot="1" x14ac:dyDescent="0.25">
      <c r="C82" s="356"/>
      <c r="D82" s="355"/>
      <c r="E82" s="353" t="s">
        <v>83</v>
      </c>
      <c r="F82" s="352">
        <v>0.55509466059191992</v>
      </c>
      <c r="G82" s="312">
        <v>3.0797416088681207</v>
      </c>
      <c r="H82" s="319"/>
      <c r="I82" s="354"/>
      <c r="J82" s="353" t="s">
        <v>83</v>
      </c>
      <c r="K82" s="352">
        <v>0.53637979825905324</v>
      </c>
      <c r="L82" s="307">
        <v>3.1913845771990932</v>
      </c>
      <c r="M82" s="152"/>
    </row>
    <row r="83" spans="3:13" ht="5.25" customHeight="1" thickBot="1" x14ac:dyDescent="0.25"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</row>
    <row r="84" spans="3:13" ht="20.100000000000001" customHeight="1" thickBot="1" x14ac:dyDescent="0.25">
      <c r="C84" s="30" t="s">
        <v>82</v>
      </c>
      <c r="D84" s="29"/>
      <c r="E84" s="29"/>
      <c r="F84" s="29"/>
      <c r="G84" s="29"/>
      <c r="H84" s="29"/>
      <c r="I84" s="29"/>
      <c r="J84" s="29"/>
      <c r="K84" s="29"/>
      <c r="L84" s="29"/>
      <c r="M84" s="28"/>
    </row>
    <row r="85" spans="3:13" ht="5.25" customHeight="1" thickBot="1" x14ac:dyDescent="0.25">
      <c r="C85" s="346"/>
      <c r="D85" s="345"/>
      <c r="E85" s="345"/>
      <c r="F85" s="345"/>
      <c r="G85" s="345"/>
      <c r="H85" s="345"/>
      <c r="I85" s="345"/>
      <c r="J85" s="345"/>
      <c r="K85" s="345"/>
      <c r="L85" s="345"/>
      <c r="M85" s="344"/>
    </row>
    <row r="86" spans="3:13" ht="33.75" customHeight="1" x14ac:dyDescent="0.2">
      <c r="C86" s="332" t="s">
        <v>13</v>
      </c>
      <c r="D86" s="331"/>
      <c r="E86" s="327" t="s">
        <v>69</v>
      </c>
      <c r="F86" s="351">
        <v>61672</v>
      </c>
      <c r="G86" s="330">
        <v>2.5267341453651282</v>
      </c>
      <c r="H86" s="329"/>
      <c r="I86" s="328" t="s">
        <v>13</v>
      </c>
      <c r="J86" s="327" t="s">
        <v>69</v>
      </c>
      <c r="K86" s="351">
        <v>168833</v>
      </c>
      <c r="L86" s="325">
        <v>3.1451755462803828</v>
      </c>
      <c r="M86" s="152" t="s">
        <v>12</v>
      </c>
    </row>
    <row r="87" spans="3:13" ht="33.75" customHeight="1" x14ac:dyDescent="0.2">
      <c r="C87" s="322"/>
      <c r="D87" s="321"/>
      <c r="E87" s="349" t="s">
        <v>70</v>
      </c>
      <c r="F87" s="348">
        <v>165442</v>
      </c>
      <c r="G87" s="320">
        <v>5.1087028763430933</v>
      </c>
      <c r="H87" s="319"/>
      <c r="I87" s="318"/>
      <c r="J87" s="349" t="s">
        <v>70</v>
      </c>
      <c r="K87" s="348">
        <v>423636</v>
      </c>
      <c r="L87" s="315">
        <v>5.6111518594235239</v>
      </c>
      <c r="M87" s="152"/>
    </row>
    <row r="88" spans="3:13" ht="33.75" customHeight="1" x14ac:dyDescent="0.2">
      <c r="C88" s="322"/>
      <c r="D88" s="321"/>
      <c r="E88" s="324" t="s">
        <v>71</v>
      </c>
      <c r="F88" s="350">
        <v>42226</v>
      </c>
      <c r="G88" s="320">
        <v>2.7170774647887326</v>
      </c>
      <c r="H88" s="319"/>
      <c r="I88" s="318"/>
      <c r="J88" s="324" t="s">
        <v>71</v>
      </c>
      <c r="K88" s="350">
        <v>111298</v>
      </c>
      <c r="L88" s="315">
        <v>2.6286515388628064</v>
      </c>
      <c r="M88" s="152"/>
    </row>
    <row r="89" spans="3:13" ht="33.75" customHeight="1" x14ac:dyDescent="0.2">
      <c r="C89" s="322"/>
      <c r="D89" s="321"/>
      <c r="E89" s="349" t="s">
        <v>72</v>
      </c>
      <c r="F89" s="348">
        <v>6945</v>
      </c>
      <c r="G89" s="320">
        <v>3.3271028037383177</v>
      </c>
      <c r="H89" s="319"/>
      <c r="I89" s="318"/>
      <c r="J89" s="349" t="s">
        <v>72</v>
      </c>
      <c r="K89" s="348">
        <v>19925</v>
      </c>
      <c r="L89" s="315">
        <v>2.9857971594318862</v>
      </c>
      <c r="M89" s="152"/>
    </row>
    <row r="90" spans="3:13" ht="33.75" customHeight="1" thickBot="1" x14ac:dyDescent="0.25">
      <c r="C90" s="314"/>
      <c r="D90" s="313"/>
      <c r="E90" s="309" t="s">
        <v>73</v>
      </c>
      <c r="F90" s="347">
        <v>2036</v>
      </c>
      <c r="G90" s="312">
        <v>0.17213586643638457</v>
      </c>
      <c r="H90" s="311"/>
      <c r="I90" s="310"/>
      <c r="J90" s="309" t="s">
        <v>73</v>
      </c>
      <c r="K90" s="347">
        <v>5579</v>
      </c>
      <c r="L90" s="307">
        <v>2.0486555697823317E-2</v>
      </c>
      <c r="M90" s="152"/>
    </row>
    <row r="91" spans="3:13" ht="5.25" customHeight="1" thickBot="1" x14ac:dyDescent="0.25"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</row>
    <row r="92" spans="3:13" ht="20.100000000000001" customHeight="1" thickBot="1" x14ac:dyDescent="0.25">
      <c r="C92" s="30" t="s">
        <v>81</v>
      </c>
      <c r="D92" s="29"/>
      <c r="E92" s="29"/>
      <c r="F92" s="29"/>
      <c r="G92" s="29"/>
      <c r="H92" s="29"/>
      <c r="I92" s="29"/>
      <c r="J92" s="29"/>
      <c r="K92" s="29"/>
      <c r="L92" s="29"/>
      <c r="M92" s="28"/>
    </row>
    <row r="93" spans="3:13" ht="5.25" customHeight="1" thickBot="1" x14ac:dyDescent="0.25">
      <c r="C93" s="346"/>
      <c r="D93" s="345"/>
      <c r="E93" s="345"/>
      <c r="F93" s="345"/>
      <c r="G93" s="345"/>
      <c r="H93" s="345"/>
      <c r="I93" s="345"/>
      <c r="J93" s="345"/>
      <c r="K93" s="345"/>
      <c r="L93" s="345"/>
      <c r="M93" s="344"/>
    </row>
    <row r="94" spans="3:13" s="25" customFormat="1" ht="33.75" customHeight="1" x14ac:dyDescent="0.2">
      <c r="C94" s="332" t="s">
        <v>13</v>
      </c>
      <c r="D94" s="331"/>
      <c r="E94" s="327" t="s">
        <v>69</v>
      </c>
      <c r="F94" s="351">
        <v>401601</v>
      </c>
      <c r="G94" s="330">
        <v>3.2122149734639507</v>
      </c>
      <c r="H94" s="329"/>
      <c r="I94" s="328" t="s">
        <v>13</v>
      </c>
      <c r="J94" s="327" t="s">
        <v>69</v>
      </c>
      <c r="K94" s="351">
        <v>1074968</v>
      </c>
      <c r="L94" s="325">
        <v>3.6515073496003909</v>
      </c>
      <c r="M94" s="152" t="s">
        <v>12</v>
      </c>
    </row>
    <row r="95" spans="3:13" s="25" customFormat="1" ht="33.75" customHeight="1" x14ac:dyDescent="0.2">
      <c r="C95" s="322"/>
      <c r="D95" s="321"/>
      <c r="E95" s="349" t="s">
        <v>70</v>
      </c>
      <c r="F95" s="348">
        <v>1093860</v>
      </c>
      <c r="G95" s="320">
        <v>10.132981863333809</v>
      </c>
      <c r="H95" s="319"/>
      <c r="I95" s="318"/>
      <c r="J95" s="349" t="s">
        <v>70</v>
      </c>
      <c r="K95" s="348">
        <v>2804757</v>
      </c>
      <c r="L95" s="315">
        <v>10.93635520223342</v>
      </c>
      <c r="M95" s="152"/>
    </row>
    <row r="96" spans="3:13" s="25" customFormat="1" ht="33.75" customHeight="1" x14ac:dyDescent="0.2">
      <c r="C96" s="322"/>
      <c r="D96" s="321"/>
      <c r="E96" s="324" t="s">
        <v>71</v>
      </c>
      <c r="F96" s="350">
        <v>278981</v>
      </c>
      <c r="G96" s="320">
        <v>7.4683402136959689</v>
      </c>
      <c r="H96" s="319"/>
      <c r="I96" s="318"/>
      <c r="J96" s="324" t="s">
        <v>71</v>
      </c>
      <c r="K96" s="350">
        <v>715656</v>
      </c>
      <c r="L96" s="315">
        <v>7.1211956151698779</v>
      </c>
      <c r="M96" s="152"/>
    </row>
    <row r="97" spans="3:15" s="25" customFormat="1" ht="33.75" customHeight="1" x14ac:dyDescent="0.2">
      <c r="C97" s="322"/>
      <c r="D97" s="321"/>
      <c r="E97" s="349" t="s">
        <v>72</v>
      </c>
      <c r="F97" s="348">
        <v>34208</v>
      </c>
      <c r="G97" s="320">
        <v>8.9644625691814745</v>
      </c>
      <c r="H97" s="319"/>
      <c r="I97" s="318"/>
      <c r="J97" s="349" t="s">
        <v>72</v>
      </c>
      <c r="K97" s="348">
        <v>97678</v>
      </c>
      <c r="L97" s="315">
        <v>8.1518785720978162</v>
      </c>
      <c r="M97" s="152"/>
    </row>
    <row r="98" spans="3:15" s="25" customFormat="1" ht="33.75" customHeight="1" thickBot="1" x14ac:dyDescent="0.25">
      <c r="C98" s="314"/>
      <c r="D98" s="313"/>
      <c r="E98" s="309" t="s">
        <v>73</v>
      </c>
      <c r="F98" s="347">
        <v>11013</v>
      </c>
      <c r="G98" s="312">
        <v>1.3451873935264054</v>
      </c>
      <c r="H98" s="311"/>
      <c r="I98" s="310"/>
      <c r="J98" s="309" t="s">
        <v>73</v>
      </c>
      <c r="K98" s="347">
        <v>24082</v>
      </c>
      <c r="L98" s="307">
        <v>0.45924983336363079</v>
      </c>
      <c r="M98" s="152"/>
    </row>
    <row r="99" spans="3:15" ht="5.25" customHeight="1" thickBot="1" x14ac:dyDescent="0.25"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</row>
    <row r="100" spans="3:15" ht="20.100000000000001" customHeight="1" thickBot="1" x14ac:dyDescent="0.25">
      <c r="C100" s="30" t="s">
        <v>80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8"/>
    </row>
    <row r="101" spans="3:15" ht="5.25" customHeight="1" thickBot="1" x14ac:dyDescent="0.25">
      <c r="C101" s="346"/>
      <c r="D101" s="345"/>
      <c r="E101" s="345"/>
      <c r="F101" s="345"/>
      <c r="G101" s="345"/>
      <c r="H101" s="345"/>
      <c r="I101" s="345"/>
      <c r="J101" s="345"/>
      <c r="K101" s="345"/>
      <c r="L101" s="345"/>
      <c r="M101" s="344"/>
    </row>
    <row r="102" spans="3:15" ht="33.75" customHeight="1" x14ac:dyDescent="0.2">
      <c r="C102" s="332" t="s">
        <v>13</v>
      </c>
      <c r="D102" s="331"/>
      <c r="E102" s="327" t="s">
        <v>69</v>
      </c>
      <c r="F102" s="342">
        <v>6.5118854585549357</v>
      </c>
      <c r="G102" s="343">
        <v>1.0597209935237695</v>
      </c>
      <c r="H102" s="329"/>
      <c r="I102" s="328" t="s">
        <v>13</v>
      </c>
      <c r="J102" s="327" t="s">
        <v>69</v>
      </c>
      <c r="K102" s="342">
        <v>6.3670490958521144</v>
      </c>
      <c r="L102" s="341">
        <v>0.69307413881798752</v>
      </c>
      <c r="M102" s="152" t="s">
        <v>12</v>
      </c>
    </row>
    <row r="103" spans="3:15" ht="33.75" customHeight="1" x14ac:dyDescent="0.2">
      <c r="C103" s="322"/>
      <c r="D103" s="321"/>
      <c r="E103" s="317" t="s">
        <v>70</v>
      </c>
      <c r="F103" s="337">
        <v>6.611743088212183</v>
      </c>
      <c r="G103" s="338">
        <v>2.9838584373241721</v>
      </c>
      <c r="H103" s="319"/>
      <c r="I103" s="318"/>
      <c r="J103" s="317" t="s">
        <v>70</v>
      </c>
      <c r="K103" s="337">
        <v>6.6206767130272217</v>
      </c>
      <c r="L103" s="336">
        <v>2.9537031335394022</v>
      </c>
      <c r="M103" s="152"/>
    </row>
    <row r="104" spans="3:15" ht="33.75" customHeight="1" x14ac:dyDescent="0.2">
      <c r="C104" s="322"/>
      <c r="D104" s="321"/>
      <c r="E104" s="324" t="s">
        <v>71</v>
      </c>
      <c r="F104" s="340">
        <v>6.6068535973097147</v>
      </c>
      <c r="G104" s="338">
        <v>3.7068535973097148</v>
      </c>
      <c r="H104" s="319"/>
      <c r="I104" s="318"/>
      <c r="J104" s="324" t="s">
        <v>71</v>
      </c>
      <c r="K104" s="340">
        <v>6.4300885909899552</v>
      </c>
      <c r="L104" s="336">
        <v>3.5570447725236014</v>
      </c>
      <c r="M104" s="152"/>
      <c r="O104" s="339"/>
    </row>
    <row r="105" spans="3:15" ht="33.75" customHeight="1" x14ac:dyDescent="0.2">
      <c r="C105" s="322"/>
      <c r="D105" s="321"/>
      <c r="E105" s="317" t="s">
        <v>72</v>
      </c>
      <c r="F105" s="337">
        <v>4.9255579553635709</v>
      </c>
      <c r="G105" s="338">
        <v>2.7866171453947235</v>
      </c>
      <c r="H105" s="319"/>
      <c r="I105" s="318"/>
      <c r="J105" s="317" t="s">
        <v>72</v>
      </c>
      <c r="K105" s="337">
        <v>4.9022835633626096</v>
      </c>
      <c r="L105" s="336">
        <v>2.7672565579615296</v>
      </c>
      <c r="M105" s="152"/>
    </row>
    <row r="106" spans="3:15" ht="33.75" customHeight="1" thickBot="1" x14ac:dyDescent="0.25">
      <c r="C106" s="314"/>
      <c r="D106" s="313"/>
      <c r="E106" s="309" t="s">
        <v>73</v>
      </c>
      <c r="F106" s="334">
        <v>5.4091355599214141</v>
      </c>
      <c r="G106" s="335">
        <v>2.7056237579640166</v>
      </c>
      <c r="H106" s="311"/>
      <c r="I106" s="310"/>
      <c r="J106" s="309" t="s">
        <v>73</v>
      </c>
      <c r="K106" s="334">
        <v>4.3165441835454379</v>
      </c>
      <c r="L106" s="333">
        <v>1.2978867846063489</v>
      </c>
      <c r="M106" s="152"/>
    </row>
    <row r="107" spans="3:15" ht="5.25" customHeight="1" thickBot="1" x14ac:dyDescent="0.25"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3:15" ht="20.100000000000001" customHeight="1" thickBot="1" x14ac:dyDescent="0.25">
      <c r="C108" s="30" t="s">
        <v>79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8"/>
    </row>
    <row r="109" spans="3:15" ht="5.25" customHeight="1" thickBot="1" x14ac:dyDescent="0.2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6"/>
    </row>
    <row r="110" spans="3:15" ht="33.75" customHeight="1" x14ac:dyDescent="0.2">
      <c r="C110" s="332" t="s">
        <v>13</v>
      </c>
      <c r="D110" s="331"/>
      <c r="E110" s="327" t="s">
        <v>69</v>
      </c>
      <c r="F110" s="326">
        <v>0.74082867088362414</v>
      </c>
      <c r="G110" s="330">
        <v>0.98434419576805787</v>
      </c>
      <c r="H110" s="329"/>
      <c r="I110" s="328" t="s">
        <v>13</v>
      </c>
      <c r="J110" s="327" t="s">
        <v>69</v>
      </c>
      <c r="K110" s="326">
        <v>0.68302675638410759</v>
      </c>
      <c r="L110" s="325">
        <v>1.2403328444575599</v>
      </c>
      <c r="M110" s="152" t="s">
        <v>12</v>
      </c>
    </row>
    <row r="111" spans="3:15" ht="33.75" customHeight="1" x14ac:dyDescent="0.2">
      <c r="C111" s="322"/>
      <c r="D111" s="321"/>
      <c r="E111" s="317" t="s">
        <v>70</v>
      </c>
      <c r="F111" s="316">
        <v>0.73659415605404355</v>
      </c>
      <c r="G111" s="320">
        <v>1.6256769600021994</v>
      </c>
      <c r="H111" s="319"/>
      <c r="I111" s="318"/>
      <c r="J111" s="317" t="s">
        <v>70</v>
      </c>
      <c r="K111" s="316">
        <v>0.65511256299435505</v>
      </c>
      <c r="L111" s="315">
        <v>2.1407937909753496</v>
      </c>
      <c r="M111" s="152"/>
    </row>
    <row r="112" spans="3:15" ht="33.75" customHeight="1" x14ac:dyDescent="0.2">
      <c r="C112" s="322"/>
      <c r="D112" s="321"/>
      <c r="E112" s="324" t="s">
        <v>71</v>
      </c>
      <c r="F112" s="323">
        <v>0.71384049312082121</v>
      </c>
      <c r="G112" s="320">
        <v>2.0771370285509025</v>
      </c>
      <c r="H112" s="319"/>
      <c r="I112" s="318"/>
      <c r="J112" s="324" t="s">
        <v>71</v>
      </c>
      <c r="K112" s="323">
        <v>0.63073953623648238</v>
      </c>
      <c r="L112" s="315">
        <v>2.4738415496464206</v>
      </c>
      <c r="M112" s="152"/>
    </row>
    <row r="113" spans="3:13" ht="33.75" customHeight="1" x14ac:dyDescent="0.2">
      <c r="C113" s="322"/>
      <c r="D113" s="321"/>
      <c r="E113" s="317" t="s">
        <v>72</v>
      </c>
      <c r="F113" s="316">
        <v>0.58852473118279569</v>
      </c>
      <c r="G113" s="320">
        <v>1.2851834158656184</v>
      </c>
      <c r="H113" s="319"/>
      <c r="I113" s="318"/>
      <c r="J113" s="317" t="s">
        <v>72</v>
      </c>
      <c r="K113" s="316">
        <v>0.58107424791343198</v>
      </c>
      <c r="L113" s="315">
        <v>1.2402908486264232</v>
      </c>
      <c r="M113" s="152"/>
    </row>
    <row r="114" spans="3:13" ht="33.75" customHeight="1" thickBot="1" x14ac:dyDescent="0.25">
      <c r="C114" s="314"/>
      <c r="D114" s="313"/>
      <c r="E114" s="309" t="s">
        <v>73</v>
      </c>
      <c r="F114" s="308">
        <v>0.62545433893684688</v>
      </c>
      <c r="G114" s="312">
        <v>0.20149565407778858</v>
      </c>
      <c r="H114" s="311"/>
      <c r="I114" s="310"/>
      <c r="J114" s="309" t="s">
        <v>73</v>
      </c>
      <c r="K114" s="308">
        <v>0.60200484963627732</v>
      </c>
      <c r="L114" s="307">
        <v>0.17705208042257525</v>
      </c>
      <c r="M114" s="152"/>
    </row>
    <row r="115" spans="3:13" ht="5.25" customHeight="1" thickBot="1" x14ac:dyDescent="0.25">
      <c r="C115" s="303"/>
      <c r="D115" s="303"/>
      <c r="E115" s="304"/>
      <c r="F115" s="126"/>
      <c r="G115" s="126"/>
      <c r="H115" s="306"/>
      <c r="I115" s="126"/>
      <c r="J115" s="305"/>
      <c r="K115" s="304"/>
      <c r="L115" s="303"/>
      <c r="M115" s="302"/>
    </row>
    <row r="116" spans="3:13" ht="17.25" customHeight="1" thickBot="1" x14ac:dyDescent="0.25">
      <c r="C116" s="301"/>
      <c r="D116" s="300"/>
      <c r="E116" s="300"/>
      <c r="F116" s="300"/>
      <c r="G116" s="300"/>
      <c r="H116" s="300"/>
      <c r="I116" s="300"/>
      <c r="J116" s="300"/>
      <c r="K116" s="300"/>
      <c r="L116" s="300"/>
      <c r="M116" s="299"/>
    </row>
    <row r="117" spans="3:13" ht="50.25" customHeight="1" thickBot="1" x14ac:dyDescent="0.25">
      <c r="C117" s="122"/>
      <c r="D117" s="122"/>
      <c r="E117" s="123" t="str">
        <f>$E$1</f>
        <v>INDICADORES TURÍSTICOS DE TENERIFE definitivo</v>
      </c>
      <c r="F117" s="123"/>
      <c r="G117" s="123"/>
      <c r="H117" s="123"/>
      <c r="I117" s="123"/>
      <c r="J117" s="123"/>
      <c r="K117" s="123"/>
      <c r="L117" s="122"/>
      <c r="M117" s="122"/>
    </row>
    <row r="118" spans="3:13" ht="9" customHeight="1" thickBot="1" x14ac:dyDescent="0.25">
      <c r="C118" s="237"/>
      <c r="D118" s="236"/>
      <c r="E118" s="240"/>
      <c r="F118" s="240"/>
      <c r="G118" s="240"/>
      <c r="H118" s="240"/>
      <c r="I118" s="240"/>
      <c r="J118" s="240"/>
      <c r="K118" s="240"/>
      <c r="L118" s="236"/>
      <c r="M118" s="235"/>
    </row>
    <row r="119" spans="3:13" ht="33" customHeight="1" thickBot="1" x14ac:dyDescent="0.25">
      <c r="C119" s="292" t="s">
        <v>74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0"/>
    </row>
    <row r="120" spans="3:13" ht="20.100000000000001" customHeight="1" x14ac:dyDescent="0.2">
      <c r="C120" s="289"/>
      <c r="D120" s="284"/>
      <c r="E120" s="284"/>
      <c r="F120" s="284"/>
      <c r="G120" s="284"/>
      <c r="H120" s="288"/>
      <c r="I120" s="288"/>
      <c r="J120" s="284"/>
      <c r="K120" s="284"/>
      <c r="L120" s="284"/>
      <c r="M120" s="287"/>
    </row>
    <row r="121" spans="3:13" ht="5.25" customHeight="1" thickBot="1" x14ac:dyDescent="0.25">
      <c r="C121" s="286"/>
      <c r="D121" s="284"/>
      <c r="E121" s="284"/>
      <c r="F121" s="284"/>
      <c r="G121" s="284"/>
      <c r="H121" s="285"/>
      <c r="I121" s="285"/>
      <c r="J121" s="284"/>
      <c r="K121" s="284"/>
      <c r="L121" s="284"/>
      <c r="M121" s="283"/>
    </row>
    <row r="122" spans="3:13" ht="33" customHeight="1" thickTop="1" thickBot="1" x14ac:dyDescent="0.25">
      <c r="C122" s="216"/>
      <c r="D122" s="214" t="s">
        <v>13</v>
      </c>
      <c r="E122" s="215"/>
      <c r="F122" s="214" t="s">
        <v>62</v>
      </c>
      <c r="G122" s="215"/>
      <c r="H122" s="214" t="s">
        <v>61</v>
      </c>
      <c r="I122" s="215"/>
      <c r="J122" s="214" t="s">
        <v>60</v>
      </c>
      <c r="K122" s="215"/>
      <c r="L122" s="214" t="s">
        <v>59</v>
      </c>
      <c r="M122" s="215"/>
    </row>
    <row r="123" spans="3:13" ht="31.5" customHeight="1" thickBot="1" x14ac:dyDescent="0.25">
      <c r="C123" s="212"/>
      <c r="D123" s="282" t="s">
        <v>75</v>
      </c>
      <c r="E123" s="280" t="s">
        <v>76</v>
      </c>
      <c r="F123" s="298" t="s">
        <v>75</v>
      </c>
      <c r="G123" s="280" t="s">
        <v>76</v>
      </c>
      <c r="H123" s="282" t="s">
        <v>75</v>
      </c>
      <c r="I123" s="280" t="s">
        <v>76</v>
      </c>
      <c r="J123" s="282" t="s">
        <v>75</v>
      </c>
      <c r="K123" s="280" t="s">
        <v>76</v>
      </c>
      <c r="L123" s="281" t="s">
        <v>75</v>
      </c>
      <c r="M123" s="280" t="s">
        <v>76</v>
      </c>
    </row>
    <row r="124" spans="3:13" ht="24" customHeight="1" thickBot="1" x14ac:dyDescent="0.25">
      <c r="C124" s="207" t="s">
        <v>56</v>
      </c>
      <c r="D124" s="279">
        <v>60747</v>
      </c>
      <c r="E124" s="277">
        <v>0.29444479959087122</v>
      </c>
      <c r="F124" s="278">
        <v>12066</v>
      </c>
      <c r="G124" s="277">
        <v>-0.22360208480792743</v>
      </c>
      <c r="H124" s="278">
        <v>2471</v>
      </c>
      <c r="I124" s="277">
        <v>1.1925465838509317</v>
      </c>
      <c r="J124" s="278">
        <v>22278</v>
      </c>
      <c r="K124" s="277">
        <v>1.5775772301284277</v>
      </c>
      <c r="L124" s="278">
        <v>23932</v>
      </c>
      <c r="M124" s="277">
        <v>-0.19790863692730498</v>
      </c>
    </row>
    <row r="125" spans="3:13" ht="27" customHeight="1" thickBot="1" x14ac:dyDescent="0.25">
      <c r="C125" s="276" t="s">
        <v>77</v>
      </c>
      <c r="D125" s="275">
        <v>16055.88388169594</v>
      </c>
      <c r="E125" s="274">
        <v>-0.26995480918037829</v>
      </c>
      <c r="F125" s="273" t="s">
        <v>64</v>
      </c>
      <c r="G125" s="274" t="s">
        <v>64</v>
      </c>
      <c r="H125" s="297" t="s">
        <v>64</v>
      </c>
      <c r="I125" s="274" t="s">
        <v>64</v>
      </c>
      <c r="J125" s="297" t="s">
        <v>64</v>
      </c>
      <c r="K125" s="274" t="s">
        <v>64</v>
      </c>
      <c r="L125" s="273" t="s">
        <v>64</v>
      </c>
      <c r="M125" s="274" t="s">
        <v>64</v>
      </c>
    </row>
    <row r="126" spans="3:13" ht="28.5" customHeight="1" thickBot="1" x14ac:dyDescent="0.25">
      <c r="C126" s="265" t="s">
        <v>54</v>
      </c>
      <c r="D126" s="264">
        <v>7412.1304948814459</v>
      </c>
      <c r="E126" s="259">
        <v>-8.683867255372113E-2</v>
      </c>
      <c r="F126" s="263" t="s">
        <v>64</v>
      </c>
      <c r="G126" s="259" t="s">
        <v>64</v>
      </c>
      <c r="H126" s="263" t="s">
        <v>64</v>
      </c>
      <c r="I126" s="259" t="s">
        <v>64</v>
      </c>
      <c r="J126" s="263" t="s">
        <v>64</v>
      </c>
      <c r="K126" s="259" t="s">
        <v>64</v>
      </c>
      <c r="L126" s="263" t="s">
        <v>64</v>
      </c>
      <c r="M126" s="259" t="s">
        <v>64</v>
      </c>
    </row>
    <row r="127" spans="3:13" ht="27.75" customHeight="1" thickBot="1" x14ac:dyDescent="0.25">
      <c r="C127" s="265" t="s">
        <v>53</v>
      </c>
      <c r="D127" s="264">
        <v>37278.98562342261</v>
      </c>
      <c r="E127" s="259">
        <v>1.216480505584316</v>
      </c>
      <c r="F127" s="263" t="s">
        <v>64</v>
      </c>
      <c r="G127" s="259" t="s">
        <v>64</v>
      </c>
      <c r="H127" s="263" t="s">
        <v>64</v>
      </c>
      <c r="I127" s="259" t="s">
        <v>64</v>
      </c>
      <c r="J127" s="263" t="s">
        <v>64</v>
      </c>
      <c r="K127" s="259" t="s">
        <v>64</v>
      </c>
      <c r="L127" s="263" t="s">
        <v>64</v>
      </c>
      <c r="M127" s="259" t="s">
        <v>64</v>
      </c>
    </row>
    <row r="128" spans="3:13" ht="24" customHeight="1" thickBot="1" x14ac:dyDescent="0.25">
      <c r="C128" s="262" t="s">
        <v>52</v>
      </c>
      <c r="D128" s="261">
        <v>13073</v>
      </c>
      <c r="E128" s="259">
        <v>8.2782114975159686</v>
      </c>
      <c r="F128" s="260">
        <v>202</v>
      </c>
      <c r="G128" s="259">
        <v>7.4468085106383031E-2</v>
      </c>
      <c r="H128" s="260">
        <v>168</v>
      </c>
      <c r="I128" s="259">
        <v>6.6363636363636367</v>
      </c>
      <c r="J128" s="260">
        <v>761</v>
      </c>
      <c r="K128" s="259">
        <v>11.475409836065573</v>
      </c>
      <c r="L128" s="260">
        <v>11942</v>
      </c>
      <c r="M128" s="259">
        <v>8.7645134914145544</v>
      </c>
    </row>
    <row r="129" spans="3:13" ht="24" customHeight="1" thickBot="1" x14ac:dyDescent="0.25">
      <c r="C129" s="258" t="s">
        <v>51</v>
      </c>
      <c r="D129" s="264">
        <v>11989</v>
      </c>
      <c r="E129" s="259">
        <v>19.048494983277592</v>
      </c>
      <c r="F129" s="263">
        <v>191</v>
      </c>
      <c r="G129" s="259">
        <v>0.44696969696969702</v>
      </c>
      <c r="H129" s="263">
        <v>84</v>
      </c>
      <c r="I129" s="259">
        <v>6</v>
      </c>
      <c r="J129" s="263">
        <v>595</v>
      </c>
      <c r="K129" s="259">
        <v>9.0847457627118651</v>
      </c>
      <c r="L129" s="263">
        <v>11119</v>
      </c>
      <c r="M129" s="259">
        <v>21.691836734693876</v>
      </c>
    </row>
    <row r="130" spans="3:13" ht="24" customHeight="1" thickBot="1" x14ac:dyDescent="0.25">
      <c r="C130" s="262" t="s">
        <v>50</v>
      </c>
      <c r="D130" s="261">
        <v>34790</v>
      </c>
      <c r="E130" s="259">
        <v>4.3457283343577133</v>
      </c>
      <c r="F130" s="260">
        <v>1056</v>
      </c>
      <c r="G130" s="259">
        <v>-9.3562231759656611E-2</v>
      </c>
      <c r="H130" s="260">
        <v>531</v>
      </c>
      <c r="I130" s="259">
        <v>2.1987951807228914</v>
      </c>
      <c r="J130" s="260">
        <v>11706</v>
      </c>
      <c r="K130" s="259">
        <v>10.836198179979778</v>
      </c>
      <c r="L130" s="260">
        <v>21497</v>
      </c>
      <c r="M130" s="259">
        <v>3.4935200668896318</v>
      </c>
    </row>
    <row r="131" spans="3:13" ht="24" customHeight="1" thickBot="1" x14ac:dyDescent="0.25">
      <c r="C131" s="258" t="s">
        <v>49</v>
      </c>
      <c r="D131" s="264">
        <v>14472</v>
      </c>
      <c r="E131" s="259">
        <v>1.1148619026742659</v>
      </c>
      <c r="F131" s="263">
        <v>873</v>
      </c>
      <c r="G131" s="259">
        <v>0.56171735241502674</v>
      </c>
      <c r="H131" s="263">
        <v>452</v>
      </c>
      <c r="I131" s="259">
        <v>-7.3770491803278659E-2</v>
      </c>
      <c r="J131" s="263">
        <v>3464</v>
      </c>
      <c r="K131" s="259">
        <v>1.8818635607321132</v>
      </c>
      <c r="L131" s="263">
        <v>9683</v>
      </c>
      <c r="M131" s="259">
        <v>1.1828223624887286</v>
      </c>
    </row>
    <row r="132" spans="3:13" ht="24" customHeight="1" thickBot="1" x14ac:dyDescent="0.25">
      <c r="C132" s="262" t="s">
        <v>48</v>
      </c>
      <c r="D132" s="261">
        <v>131393</v>
      </c>
      <c r="E132" s="259">
        <v>106.876026272578</v>
      </c>
      <c r="F132" s="260">
        <v>751</v>
      </c>
      <c r="G132" s="259">
        <v>-0.28271251193887292</v>
      </c>
      <c r="H132" s="260">
        <v>342</v>
      </c>
      <c r="I132" s="259">
        <v>8.7714285714285722</v>
      </c>
      <c r="J132" s="260">
        <v>6277</v>
      </c>
      <c r="K132" s="259">
        <v>25.045643153526971</v>
      </c>
      <c r="L132" s="260">
        <v>124023</v>
      </c>
      <c r="M132" s="259">
        <v>155.20025188916875</v>
      </c>
    </row>
    <row r="133" spans="3:13" ht="24" customHeight="1" thickBot="1" x14ac:dyDescent="0.25">
      <c r="C133" s="258" t="s">
        <v>47</v>
      </c>
      <c r="D133" s="264">
        <v>11441</v>
      </c>
      <c r="E133" s="259">
        <v>20.750950570342205</v>
      </c>
      <c r="F133" s="263">
        <v>91</v>
      </c>
      <c r="G133" s="259">
        <v>-0.14953271028037385</v>
      </c>
      <c r="H133" s="263">
        <v>29</v>
      </c>
      <c r="I133" s="259">
        <v>2.625</v>
      </c>
      <c r="J133" s="263">
        <v>458</v>
      </c>
      <c r="K133" s="259">
        <v>14.793103448275861</v>
      </c>
      <c r="L133" s="263">
        <v>10863</v>
      </c>
      <c r="M133" s="259">
        <v>37.385159010600709</v>
      </c>
    </row>
    <row r="134" spans="3:13" ht="24" customHeight="1" thickBot="1" x14ac:dyDescent="0.25">
      <c r="C134" s="262" t="s">
        <v>46</v>
      </c>
      <c r="D134" s="261">
        <v>12093</v>
      </c>
      <c r="E134" s="259">
        <v>5.2723029045643157</v>
      </c>
      <c r="F134" s="260">
        <v>564</v>
      </c>
      <c r="G134" s="259">
        <v>-0.16320474777448069</v>
      </c>
      <c r="H134" s="260">
        <v>191</v>
      </c>
      <c r="I134" s="259">
        <v>2.4727272727272727</v>
      </c>
      <c r="J134" s="260">
        <v>1339</v>
      </c>
      <c r="K134" s="259">
        <v>4.9247787610619467</v>
      </c>
      <c r="L134" s="260">
        <v>9999</v>
      </c>
      <c r="M134" s="259">
        <v>6.3468038207200586</v>
      </c>
    </row>
    <row r="135" spans="3:13" ht="24" customHeight="1" thickBot="1" x14ac:dyDescent="0.25">
      <c r="C135" s="258" t="s">
        <v>45</v>
      </c>
      <c r="D135" s="264">
        <v>21306</v>
      </c>
      <c r="E135" s="259">
        <v>26.960629921259841</v>
      </c>
      <c r="F135" s="263">
        <v>531</v>
      </c>
      <c r="G135" s="259">
        <v>-0.54923599320882854</v>
      </c>
      <c r="H135" s="263">
        <v>91</v>
      </c>
      <c r="I135" s="259">
        <v>6</v>
      </c>
      <c r="J135" s="263">
        <v>3523</v>
      </c>
      <c r="K135" s="259">
        <v>30.176991150442479</v>
      </c>
      <c r="L135" s="263">
        <v>17161</v>
      </c>
      <c r="M135" s="259">
        <v>28.486254295532646</v>
      </c>
    </row>
    <row r="136" spans="3:13" ht="24" customHeight="1" thickBot="1" x14ac:dyDescent="0.25">
      <c r="C136" s="266" t="s">
        <v>44</v>
      </c>
      <c r="D136" s="261">
        <v>5293</v>
      </c>
      <c r="E136" s="259">
        <v>9.1398467432950188</v>
      </c>
      <c r="F136" s="260">
        <v>173</v>
      </c>
      <c r="G136" s="259">
        <v>-0.60948081264108356</v>
      </c>
      <c r="H136" s="260">
        <v>23</v>
      </c>
      <c r="I136" s="259">
        <v>1.875</v>
      </c>
      <c r="J136" s="260">
        <v>956</v>
      </c>
      <c r="K136" s="259">
        <v>14.174603174603174</v>
      </c>
      <c r="L136" s="260">
        <v>4141</v>
      </c>
      <c r="M136" s="259">
        <v>8.8127962085308056</v>
      </c>
    </row>
    <row r="137" spans="3:13" ht="24" customHeight="1" thickBot="1" x14ac:dyDescent="0.25">
      <c r="C137" s="265" t="s">
        <v>43</v>
      </c>
      <c r="D137" s="264">
        <v>3333</v>
      </c>
      <c r="E137" s="259">
        <v>82.325000000000003</v>
      </c>
      <c r="F137" s="263">
        <v>142</v>
      </c>
      <c r="G137" s="259">
        <v>-0.41078838174273857</v>
      </c>
      <c r="H137" s="263">
        <v>8</v>
      </c>
      <c r="I137" s="259">
        <v>1.6666666666666665</v>
      </c>
      <c r="J137" s="263">
        <v>379</v>
      </c>
      <c r="K137" s="259">
        <v>74.8</v>
      </c>
      <c r="L137" s="263">
        <v>2804</v>
      </c>
      <c r="M137" s="259">
        <v>115.83333333333333</v>
      </c>
    </row>
    <row r="138" spans="3:13" ht="24" customHeight="1" thickBot="1" x14ac:dyDescent="0.25">
      <c r="C138" s="266" t="s">
        <v>42</v>
      </c>
      <c r="D138" s="261">
        <v>6530</v>
      </c>
      <c r="E138" s="259">
        <v>52.966942148760332</v>
      </c>
      <c r="F138" s="260">
        <v>109</v>
      </c>
      <c r="G138" s="259">
        <v>-0.59328358208955223</v>
      </c>
      <c r="H138" s="260">
        <v>44</v>
      </c>
      <c r="I138" s="259">
        <v>43</v>
      </c>
      <c r="J138" s="260">
        <v>957</v>
      </c>
      <c r="K138" s="259">
        <v>38.875</v>
      </c>
      <c r="L138" s="260">
        <v>5420</v>
      </c>
      <c r="M138" s="259">
        <v>57.27956989247312</v>
      </c>
    </row>
    <row r="139" spans="3:13" ht="24" customHeight="1" thickBot="1" x14ac:dyDescent="0.25">
      <c r="C139" s="265" t="s">
        <v>41</v>
      </c>
      <c r="D139" s="264">
        <v>6150</v>
      </c>
      <c r="E139" s="259">
        <v>76.848101265822791</v>
      </c>
      <c r="F139" s="263">
        <v>107</v>
      </c>
      <c r="G139" s="259">
        <v>-0.52654867256637172</v>
      </c>
      <c r="H139" s="263">
        <v>16</v>
      </c>
      <c r="I139" s="259">
        <v>15</v>
      </c>
      <c r="J139" s="263">
        <v>1231</v>
      </c>
      <c r="K139" s="259">
        <v>57.61904761904762</v>
      </c>
      <c r="L139" s="263">
        <v>4796</v>
      </c>
      <c r="M139" s="259">
        <v>110.53488372093024</v>
      </c>
    </row>
    <row r="140" spans="3:13" ht="24" customHeight="1" thickBot="1" x14ac:dyDescent="0.25">
      <c r="C140" s="262" t="s">
        <v>40</v>
      </c>
      <c r="D140" s="261">
        <v>3132</v>
      </c>
      <c r="E140" s="259">
        <v>3.8558139534883722</v>
      </c>
      <c r="F140" s="260">
        <v>185</v>
      </c>
      <c r="G140" s="259">
        <v>0.1858974358974359</v>
      </c>
      <c r="H140" s="260">
        <v>130</v>
      </c>
      <c r="I140" s="259">
        <v>3.6428571428571432</v>
      </c>
      <c r="J140" s="260">
        <v>443</v>
      </c>
      <c r="K140" s="259">
        <v>4.1511627906976747</v>
      </c>
      <c r="L140" s="260">
        <v>2374</v>
      </c>
      <c r="M140" s="259">
        <v>4.0944206008583688</v>
      </c>
    </row>
    <row r="141" spans="3:13" ht="24" customHeight="1" thickBot="1" x14ac:dyDescent="0.25">
      <c r="C141" s="258" t="s">
        <v>39</v>
      </c>
      <c r="D141" s="264">
        <v>1856</v>
      </c>
      <c r="E141" s="259">
        <v>3.7835051546391751</v>
      </c>
      <c r="F141" s="263">
        <v>79</v>
      </c>
      <c r="G141" s="259">
        <v>3.9473684210526327E-2</v>
      </c>
      <c r="H141" s="263">
        <v>42</v>
      </c>
      <c r="I141" s="259">
        <v>2.8181818181818183</v>
      </c>
      <c r="J141" s="263">
        <v>426</v>
      </c>
      <c r="K141" s="259">
        <v>5.7619047619047619</v>
      </c>
      <c r="L141" s="263">
        <v>1309</v>
      </c>
      <c r="M141" s="259">
        <v>3.5451388888888893</v>
      </c>
    </row>
    <row r="142" spans="3:13" ht="24" customHeight="1" thickBot="1" x14ac:dyDescent="0.25">
      <c r="C142" s="262" t="s">
        <v>38</v>
      </c>
      <c r="D142" s="261">
        <v>504</v>
      </c>
      <c r="E142" s="259">
        <v>0.20574162679425845</v>
      </c>
      <c r="F142" s="260">
        <v>41</v>
      </c>
      <c r="G142" s="259">
        <v>-0.8366533864541833</v>
      </c>
      <c r="H142" s="260">
        <v>8</v>
      </c>
      <c r="I142" s="259">
        <v>-0.4285714285714286</v>
      </c>
      <c r="J142" s="260">
        <v>107</v>
      </c>
      <c r="K142" s="259">
        <v>2.9629629629629628</v>
      </c>
      <c r="L142" s="260">
        <v>348</v>
      </c>
      <c r="M142" s="259">
        <v>-8.5470085470085166E-3</v>
      </c>
    </row>
    <row r="143" spans="3:13" ht="24" customHeight="1" thickBot="1" x14ac:dyDescent="0.25">
      <c r="C143" s="258" t="s">
        <v>37</v>
      </c>
      <c r="D143" s="264">
        <v>11140</v>
      </c>
      <c r="E143" s="259">
        <v>1.4706143269017522</v>
      </c>
      <c r="F143" s="263">
        <v>359</v>
      </c>
      <c r="G143" s="259">
        <v>0.48347107438016534</v>
      </c>
      <c r="H143" s="263">
        <v>81</v>
      </c>
      <c r="I143" s="259">
        <v>0.88372093023255816</v>
      </c>
      <c r="J143" s="263">
        <v>1433</v>
      </c>
      <c r="K143" s="259">
        <v>2.8213333333333335</v>
      </c>
      <c r="L143" s="263">
        <v>9267</v>
      </c>
      <c r="M143" s="259">
        <v>1.3496450304259633</v>
      </c>
    </row>
    <row r="144" spans="3:13" ht="24" customHeight="1" thickBot="1" x14ac:dyDescent="0.25">
      <c r="C144" s="262" t="s">
        <v>36</v>
      </c>
      <c r="D144" s="261">
        <v>15481</v>
      </c>
      <c r="E144" s="259">
        <v>3.3376295881199214</v>
      </c>
      <c r="F144" s="260">
        <v>594</v>
      </c>
      <c r="G144" s="259">
        <v>0.20731707317073167</v>
      </c>
      <c r="H144" s="260">
        <v>130</v>
      </c>
      <c r="I144" s="259">
        <v>2.9393939393939394</v>
      </c>
      <c r="J144" s="260">
        <v>2522</v>
      </c>
      <c r="K144" s="259">
        <v>6.025069637883008</v>
      </c>
      <c r="L144" s="260">
        <v>12235</v>
      </c>
      <c r="M144" s="259">
        <v>3.4915565345080761</v>
      </c>
    </row>
    <row r="145" spans="3:13" ht="24" customHeight="1" thickBot="1" x14ac:dyDescent="0.25">
      <c r="C145" s="258" t="s">
        <v>35</v>
      </c>
      <c r="D145" s="264">
        <v>2457</v>
      </c>
      <c r="E145" s="259">
        <v>9.7292576419213965</v>
      </c>
      <c r="F145" s="263">
        <v>167</v>
      </c>
      <c r="G145" s="259">
        <v>-0.33992094861660083</v>
      </c>
      <c r="H145" s="263">
        <v>79</v>
      </c>
      <c r="I145" s="259">
        <v>18.75</v>
      </c>
      <c r="J145" s="263">
        <v>219</v>
      </c>
      <c r="K145" s="259">
        <v>14.642857142857142</v>
      </c>
      <c r="L145" s="263">
        <v>1992</v>
      </c>
      <c r="M145" s="259">
        <v>10.448275862068966</v>
      </c>
    </row>
    <row r="146" spans="3:13" ht="24" customHeight="1" thickBot="1" x14ac:dyDescent="0.25">
      <c r="C146" s="262" t="s">
        <v>34</v>
      </c>
      <c r="D146" s="261">
        <v>1466</v>
      </c>
      <c r="E146" s="259">
        <v>1.5189003436426116</v>
      </c>
      <c r="F146" s="260">
        <v>345</v>
      </c>
      <c r="G146" s="259">
        <v>-0.23333333333333328</v>
      </c>
      <c r="H146" s="260">
        <v>48</v>
      </c>
      <c r="I146" s="259">
        <v>1.1818181818181817</v>
      </c>
      <c r="J146" s="260">
        <v>334</v>
      </c>
      <c r="K146" s="259">
        <v>2.0363636363636362</v>
      </c>
      <c r="L146" s="260">
        <v>739</v>
      </c>
      <c r="M146" s="259">
        <v>1.909448818897638</v>
      </c>
    </row>
    <row r="147" spans="3:13" ht="24" customHeight="1" thickBot="1" x14ac:dyDescent="0.25">
      <c r="C147" s="258" t="s">
        <v>33</v>
      </c>
      <c r="D147" s="257">
        <v>6776</v>
      </c>
      <c r="E147" s="255">
        <v>2.85</v>
      </c>
      <c r="F147" s="256">
        <v>1046</v>
      </c>
      <c r="G147" s="255">
        <v>0.58966565349544076</v>
      </c>
      <c r="H147" s="296">
        <v>88</v>
      </c>
      <c r="I147" s="255">
        <v>3.6315789473684212</v>
      </c>
      <c r="J147" s="296">
        <v>669</v>
      </c>
      <c r="K147" s="255">
        <v>4.7672413793103452</v>
      </c>
      <c r="L147" s="256">
        <v>4973</v>
      </c>
      <c r="M147" s="255">
        <v>4.9061757719714967</v>
      </c>
    </row>
    <row r="148" spans="3:13" ht="30.75" customHeight="1" thickTop="1" thickBot="1" x14ac:dyDescent="0.25">
      <c r="C148" s="254" t="s">
        <v>32</v>
      </c>
      <c r="D148" s="253">
        <v>293369</v>
      </c>
      <c r="E148" s="251">
        <v>8.1988272921108738</v>
      </c>
      <c r="F148" s="252">
        <v>7075</v>
      </c>
      <c r="G148" s="251">
        <v>-7.2496067121132657E-2</v>
      </c>
      <c r="H148" s="295">
        <v>2494</v>
      </c>
      <c r="I148" s="251">
        <v>1.563206577595067</v>
      </c>
      <c r="J148" s="295">
        <v>34276</v>
      </c>
      <c r="K148" s="251">
        <v>7.4216216216216218</v>
      </c>
      <c r="L148" s="252">
        <v>249524</v>
      </c>
      <c r="M148" s="251">
        <v>9.8507566533310147</v>
      </c>
    </row>
    <row r="149" spans="3:13" ht="24" customHeight="1" thickBot="1" x14ac:dyDescent="0.25">
      <c r="C149" s="250" t="s">
        <v>7</v>
      </c>
      <c r="D149" s="249">
        <v>354116</v>
      </c>
      <c r="E149" s="247">
        <v>3.4926605853769939</v>
      </c>
      <c r="F149" s="248">
        <v>19141</v>
      </c>
      <c r="G149" s="247">
        <v>-0.17385299322370407</v>
      </c>
      <c r="H149" s="248">
        <v>4965</v>
      </c>
      <c r="I149" s="247">
        <v>1.3642857142857143</v>
      </c>
      <c r="J149" s="248">
        <v>56554</v>
      </c>
      <c r="K149" s="247">
        <v>3.4485172657909224</v>
      </c>
      <c r="L149" s="248">
        <v>273456</v>
      </c>
      <c r="M149" s="247">
        <v>4.1758559990914765</v>
      </c>
    </row>
    <row r="150" spans="3:13" ht="13.5" thickBot="1" x14ac:dyDescent="0.25">
      <c r="C150" s="294"/>
      <c r="M150" s="293"/>
    </row>
    <row r="151" spans="3:13" ht="35.25" customHeight="1" thickBot="1" x14ac:dyDescent="0.25">
      <c r="C151" s="292" t="s">
        <v>74</v>
      </c>
      <c r="D151" s="291"/>
      <c r="E151" s="291"/>
      <c r="F151" s="291"/>
      <c r="G151" s="291"/>
      <c r="H151" s="291"/>
      <c r="I151" s="291"/>
      <c r="J151" s="291"/>
      <c r="K151" s="291"/>
      <c r="L151" s="291"/>
      <c r="M151" s="290"/>
    </row>
    <row r="152" spans="3:13" ht="20.100000000000001" customHeight="1" x14ac:dyDescent="0.2">
      <c r="C152" s="289"/>
      <c r="D152" s="284"/>
      <c r="E152" s="284"/>
      <c r="F152" s="284"/>
      <c r="G152" s="284"/>
      <c r="H152" s="288"/>
      <c r="I152" s="288"/>
      <c r="J152" s="284"/>
      <c r="K152" s="284"/>
      <c r="L152" s="284"/>
      <c r="M152" s="287"/>
    </row>
    <row r="153" spans="3:13" ht="5.25" customHeight="1" thickBot="1" x14ac:dyDescent="0.25">
      <c r="C153" s="286"/>
      <c r="D153" s="284"/>
      <c r="E153" s="284"/>
      <c r="F153" s="284"/>
      <c r="G153" s="284"/>
      <c r="H153" s="285"/>
      <c r="I153" s="285"/>
      <c r="J153" s="284"/>
      <c r="K153" s="284"/>
      <c r="L153" s="284"/>
      <c r="M153" s="283"/>
    </row>
    <row r="154" spans="3:13" ht="32.25" customHeight="1" thickTop="1" thickBot="1" x14ac:dyDescent="0.25">
      <c r="C154" s="216"/>
      <c r="D154" s="214" t="s">
        <v>13</v>
      </c>
      <c r="E154" s="215"/>
      <c r="F154" s="214" t="s">
        <v>62</v>
      </c>
      <c r="G154" s="215"/>
      <c r="H154" s="214" t="s">
        <v>61</v>
      </c>
      <c r="I154" s="215"/>
      <c r="J154" s="214" t="s">
        <v>60</v>
      </c>
      <c r="K154" s="215"/>
      <c r="L154" s="214" t="s">
        <v>59</v>
      </c>
      <c r="M154" s="215"/>
    </row>
    <row r="155" spans="3:13" ht="31.5" customHeight="1" thickBot="1" x14ac:dyDescent="0.25">
      <c r="C155" s="212"/>
      <c r="D155" s="282" t="s">
        <v>78</v>
      </c>
      <c r="E155" s="280" t="s">
        <v>76</v>
      </c>
      <c r="F155" s="281" t="s">
        <v>78</v>
      </c>
      <c r="G155" s="280" t="s">
        <v>76</v>
      </c>
      <c r="H155" s="282" t="s">
        <v>78</v>
      </c>
      <c r="I155" s="280" t="s">
        <v>76</v>
      </c>
      <c r="J155" s="282" t="s">
        <v>78</v>
      </c>
      <c r="K155" s="280" t="s">
        <v>76</v>
      </c>
      <c r="L155" s="281" t="s">
        <v>78</v>
      </c>
      <c r="M155" s="280" t="s">
        <v>76</v>
      </c>
    </row>
    <row r="156" spans="3:13" ht="24" customHeight="1" thickBot="1" x14ac:dyDescent="0.25">
      <c r="C156" s="207" t="s">
        <v>56</v>
      </c>
      <c r="D156" s="279">
        <v>163151</v>
      </c>
      <c r="E156" s="277">
        <v>0.48761317735449938</v>
      </c>
      <c r="F156" s="278">
        <v>29586</v>
      </c>
      <c r="G156" s="277">
        <v>0.66391091614644848</v>
      </c>
      <c r="H156" s="279">
        <v>6409</v>
      </c>
      <c r="I156" s="277">
        <v>1.3579838116261955</v>
      </c>
      <c r="J156" s="279">
        <v>57230</v>
      </c>
      <c r="K156" s="277">
        <v>1.5047048010853867</v>
      </c>
      <c r="L156" s="278">
        <v>69926</v>
      </c>
      <c r="M156" s="277">
        <v>5.4293252921221224E-2</v>
      </c>
    </row>
    <row r="157" spans="3:13" ht="24" customHeight="1" thickBot="1" x14ac:dyDescent="0.25">
      <c r="C157" s="276" t="s">
        <v>77</v>
      </c>
      <c r="D157" s="275">
        <v>48642.111806429166</v>
      </c>
      <c r="E157" s="274">
        <v>-0.13056830808330699</v>
      </c>
      <c r="F157" s="273" t="s">
        <v>64</v>
      </c>
      <c r="G157" s="270" t="s">
        <v>64</v>
      </c>
      <c r="H157" s="272" t="s">
        <v>64</v>
      </c>
      <c r="I157" s="270" t="s">
        <v>64</v>
      </c>
      <c r="J157" s="272" t="s">
        <v>64</v>
      </c>
      <c r="K157" s="270" t="s">
        <v>64</v>
      </c>
      <c r="L157" s="271" t="s">
        <v>64</v>
      </c>
      <c r="M157" s="270" t="s">
        <v>64</v>
      </c>
    </row>
    <row r="158" spans="3:13" ht="24" customHeight="1" thickBot="1" x14ac:dyDescent="0.25">
      <c r="C158" s="265" t="s">
        <v>54</v>
      </c>
      <c r="D158" s="264">
        <v>20835.641909849219</v>
      </c>
      <c r="E158" s="259">
        <v>0.28082013278873297</v>
      </c>
      <c r="F158" s="263" t="s">
        <v>64</v>
      </c>
      <c r="G158" s="267" t="s">
        <v>64</v>
      </c>
      <c r="H158" s="269" t="s">
        <v>64</v>
      </c>
      <c r="I158" s="267" t="s">
        <v>64</v>
      </c>
      <c r="J158" s="269" t="s">
        <v>64</v>
      </c>
      <c r="K158" s="267" t="s">
        <v>64</v>
      </c>
      <c r="L158" s="268" t="s">
        <v>64</v>
      </c>
      <c r="M158" s="267" t="s">
        <v>64</v>
      </c>
    </row>
    <row r="159" spans="3:13" ht="24" customHeight="1" thickBot="1" x14ac:dyDescent="0.25">
      <c r="C159" s="265" t="s">
        <v>53</v>
      </c>
      <c r="D159" s="264">
        <v>93673.246283663873</v>
      </c>
      <c r="E159" s="259">
        <v>1.500716807697867</v>
      </c>
      <c r="F159" s="263" t="s">
        <v>64</v>
      </c>
      <c r="G159" s="267" t="s">
        <v>64</v>
      </c>
      <c r="H159" s="269" t="s">
        <v>64</v>
      </c>
      <c r="I159" s="267" t="s">
        <v>64</v>
      </c>
      <c r="J159" s="269" t="s">
        <v>64</v>
      </c>
      <c r="K159" s="267" t="s">
        <v>64</v>
      </c>
      <c r="L159" s="268" t="s">
        <v>64</v>
      </c>
      <c r="M159" s="267" t="s">
        <v>64</v>
      </c>
    </row>
    <row r="160" spans="3:13" ht="24" customHeight="1" thickBot="1" x14ac:dyDescent="0.25">
      <c r="C160" s="262" t="s">
        <v>52</v>
      </c>
      <c r="D160" s="261">
        <v>41655</v>
      </c>
      <c r="E160" s="259">
        <v>8.2896966993755576</v>
      </c>
      <c r="F160" s="260">
        <v>719</v>
      </c>
      <c r="G160" s="259">
        <v>2.5771144278606966</v>
      </c>
      <c r="H160" s="261">
        <v>467</v>
      </c>
      <c r="I160" s="259">
        <v>11.621621621621621</v>
      </c>
      <c r="J160" s="261">
        <v>2619</v>
      </c>
      <c r="K160" s="259">
        <v>14.497041420118343</v>
      </c>
      <c r="L160" s="260">
        <v>37850</v>
      </c>
      <c r="M160" s="259">
        <v>8.2837870983566351</v>
      </c>
    </row>
    <row r="161" spans="3:13" ht="24" customHeight="1" thickBot="1" x14ac:dyDescent="0.25">
      <c r="C161" s="258" t="s">
        <v>51</v>
      </c>
      <c r="D161" s="264">
        <v>37098</v>
      </c>
      <c r="E161" s="259">
        <v>13.750695825049702</v>
      </c>
      <c r="F161" s="263">
        <v>528</v>
      </c>
      <c r="G161" s="259">
        <v>2.7714285714285714</v>
      </c>
      <c r="H161" s="264">
        <v>283</v>
      </c>
      <c r="I161" s="259">
        <v>4.66</v>
      </c>
      <c r="J161" s="264">
        <v>2032</v>
      </c>
      <c r="K161" s="259">
        <v>8.4511627906976745</v>
      </c>
      <c r="L161" s="263">
        <v>34255</v>
      </c>
      <c r="M161" s="259">
        <v>15.234597156398106</v>
      </c>
    </row>
    <row r="162" spans="3:13" ht="24" customHeight="1" thickBot="1" x14ac:dyDescent="0.25">
      <c r="C162" s="262" t="s">
        <v>50</v>
      </c>
      <c r="D162" s="261">
        <v>84605</v>
      </c>
      <c r="E162" s="259">
        <v>4.9056959374563727</v>
      </c>
      <c r="F162" s="260">
        <v>2834</v>
      </c>
      <c r="G162" s="259">
        <v>1.2403162055335968</v>
      </c>
      <c r="H162" s="261">
        <v>1404</v>
      </c>
      <c r="I162" s="259">
        <v>3.0229226361031518</v>
      </c>
      <c r="J162" s="261">
        <v>26860</v>
      </c>
      <c r="K162" s="259">
        <v>11.406466512702078</v>
      </c>
      <c r="L162" s="260">
        <v>53507</v>
      </c>
      <c r="M162" s="259">
        <v>4.0731961695268799</v>
      </c>
    </row>
    <row r="163" spans="3:13" ht="24" customHeight="1" thickBot="1" x14ac:dyDescent="0.25">
      <c r="C163" s="258" t="s">
        <v>49</v>
      </c>
      <c r="D163" s="264">
        <v>42161</v>
      </c>
      <c r="E163" s="259">
        <v>1.3311401083711156</v>
      </c>
      <c r="F163" s="263">
        <v>2333</v>
      </c>
      <c r="G163" s="259">
        <v>0.56367292225201071</v>
      </c>
      <c r="H163" s="264">
        <v>1282</v>
      </c>
      <c r="I163" s="259">
        <v>0.23864734299516899</v>
      </c>
      <c r="J163" s="264">
        <v>8905</v>
      </c>
      <c r="K163" s="259">
        <v>2.5351329892814607</v>
      </c>
      <c r="L163" s="263">
        <v>29641</v>
      </c>
      <c r="M163" s="259">
        <v>1.2730828220858896</v>
      </c>
    </row>
    <row r="164" spans="3:13" ht="24" customHeight="1" thickBot="1" x14ac:dyDescent="0.25">
      <c r="C164" s="262" t="s">
        <v>48</v>
      </c>
      <c r="D164" s="261">
        <v>310136</v>
      </c>
      <c r="E164" s="259">
        <v>54.759798633585042</v>
      </c>
      <c r="F164" s="260">
        <v>2188</v>
      </c>
      <c r="G164" s="259">
        <v>6.4169491525423732</v>
      </c>
      <c r="H164" s="261">
        <v>999</v>
      </c>
      <c r="I164" s="259">
        <v>10.892857142857142</v>
      </c>
      <c r="J164" s="261">
        <v>14542</v>
      </c>
      <c r="K164" s="259">
        <v>22.192982456140349</v>
      </c>
      <c r="L164" s="260">
        <v>292407</v>
      </c>
      <c r="M164" s="259">
        <v>63.180640913081646</v>
      </c>
    </row>
    <row r="165" spans="3:13" ht="24" customHeight="1" thickBot="1" x14ac:dyDescent="0.25">
      <c r="C165" s="258" t="s">
        <v>47</v>
      </c>
      <c r="D165" s="264">
        <v>32188</v>
      </c>
      <c r="E165" s="259">
        <v>13.867436489607391</v>
      </c>
      <c r="F165" s="263">
        <v>556</v>
      </c>
      <c r="G165" s="259">
        <v>1.0902255639097747</v>
      </c>
      <c r="H165" s="264">
        <v>95</v>
      </c>
      <c r="I165" s="259">
        <v>3.1304347826086953</v>
      </c>
      <c r="J165" s="264">
        <v>1252</v>
      </c>
      <c r="K165" s="259">
        <v>12.178947368421053</v>
      </c>
      <c r="L165" s="263">
        <v>30285</v>
      </c>
      <c r="M165" s="259">
        <v>16.004491858506459</v>
      </c>
    </row>
    <row r="166" spans="3:13" ht="24" customHeight="1" thickBot="1" x14ac:dyDescent="0.25">
      <c r="C166" s="262" t="s">
        <v>46</v>
      </c>
      <c r="D166" s="261">
        <v>32243</v>
      </c>
      <c r="E166" s="259">
        <v>5.838388123011665</v>
      </c>
      <c r="F166" s="260">
        <v>1430</v>
      </c>
      <c r="G166" s="259">
        <v>1.2170542635658914</v>
      </c>
      <c r="H166" s="261">
        <v>432</v>
      </c>
      <c r="I166" s="259">
        <v>1.9189189189189189</v>
      </c>
      <c r="J166" s="261">
        <v>3612</v>
      </c>
      <c r="K166" s="259">
        <v>5.3479789103690685</v>
      </c>
      <c r="L166" s="260">
        <v>26769</v>
      </c>
      <c r="M166" s="259">
        <v>6.9835967790038769</v>
      </c>
    </row>
    <row r="167" spans="3:13" ht="24" customHeight="1" thickBot="1" x14ac:dyDescent="0.25">
      <c r="C167" s="258" t="s">
        <v>45</v>
      </c>
      <c r="D167" s="264">
        <v>65562</v>
      </c>
      <c r="E167" s="259">
        <v>26.570227081581162</v>
      </c>
      <c r="F167" s="263">
        <v>1856</v>
      </c>
      <c r="G167" s="259">
        <v>12.748148148148148</v>
      </c>
      <c r="H167" s="264">
        <v>366</v>
      </c>
      <c r="I167" s="259">
        <v>8.384615384615385</v>
      </c>
      <c r="J167" s="264">
        <v>10488</v>
      </c>
      <c r="K167" s="259">
        <v>29.137931034482758</v>
      </c>
      <c r="L167" s="263">
        <v>52852</v>
      </c>
      <c r="M167" s="259">
        <v>27.476293103448278</v>
      </c>
    </row>
    <row r="168" spans="3:13" ht="24" customHeight="1" thickBot="1" x14ac:dyDescent="0.25">
      <c r="C168" s="266" t="s">
        <v>44</v>
      </c>
      <c r="D168" s="261">
        <v>16181</v>
      </c>
      <c r="E168" s="259">
        <v>8.969808995687</v>
      </c>
      <c r="F168" s="260">
        <v>655</v>
      </c>
      <c r="G168" s="259">
        <v>8.3571428571428577</v>
      </c>
      <c r="H168" s="261">
        <v>95</v>
      </c>
      <c r="I168" s="259">
        <v>4</v>
      </c>
      <c r="J168" s="261">
        <v>2688</v>
      </c>
      <c r="K168" s="259">
        <v>13.850828729281767</v>
      </c>
      <c r="L168" s="260">
        <v>12743</v>
      </c>
      <c r="M168" s="259">
        <v>8.4183296378418326</v>
      </c>
    </row>
    <row r="169" spans="3:13" ht="24" customHeight="1" thickBot="1" x14ac:dyDescent="0.25">
      <c r="C169" s="265" t="s">
        <v>43</v>
      </c>
      <c r="D169" s="264">
        <v>10488</v>
      </c>
      <c r="E169" s="259">
        <v>76.117647058823536</v>
      </c>
      <c r="F169" s="263">
        <v>424</v>
      </c>
      <c r="G169" s="259">
        <v>20.2</v>
      </c>
      <c r="H169" s="264">
        <v>48</v>
      </c>
      <c r="I169" s="259">
        <v>8.6</v>
      </c>
      <c r="J169" s="264">
        <v>1115</v>
      </c>
      <c r="K169" s="259">
        <v>34.967741935483872</v>
      </c>
      <c r="L169" s="263">
        <v>8901</v>
      </c>
      <c r="M169" s="259">
        <v>110.2625</v>
      </c>
    </row>
    <row r="170" spans="3:13" ht="24" customHeight="1" thickBot="1" x14ac:dyDescent="0.25">
      <c r="C170" s="266" t="s">
        <v>42</v>
      </c>
      <c r="D170" s="261">
        <v>20165</v>
      </c>
      <c r="E170" s="259">
        <v>57.28034682080925</v>
      </c>
      <c r="F170" s="260">
        <v>370</v>
      </c>
      <c r="G170" s="259">
        <v>60.666666666666664</v>
      </c>
      <c r="H170" s="261">
        <v>168</v>
      </c>
      <c r="I170" s="259">
        <v>15.8</v>
      </c>
      <c r="J170" s="261">
        <v>2709</v>
      </c>
      <c r="K170" s="259">
        <v>34.18181818181818</v>
      </c>
      <c r="L170" s="260">
        <v>16918</v>
      </c>
      <c r="M170" s="259">
        <v>65.869565217391298</v>
      </c>
    </row>
    <row r="171" spans="3:13" ht="24" customHeight="1" thickBot="1" x14ac:dyDescent="0.25">
      <c r="C171" s="265" t="s">
        <v>41</v>
      </c>
      <c r="D171" s="264">
        <v>18728</v>
      </c>
      <c r="E171" s="259">
        <v>67.600732600732599</v>
      </c>
      <c r="F171" s="263">
        <v>407</v>
      </c>
      <c r="G171" s="259">
        <v>9.4358974358974361</v>
      </c>
      <c r="H171" s="264">
        <v>55</v>
      </c>
      <c r="I171" s="259">
        <v>10</v>
      </c>
      <c r="J171" s="264">
        <v>3976</v>
      </c>
      <c r="K171" s="259">
        <v>66.389830508474574</v>
      </c>
      <c r="L171" s="263">
        <v>14290</v>
      </c>
      <c r="M171" s="259">
        <v>83.058823529411768</v>
      </c>
    </row>
    <row r="172" spans="3:13" ht="24" customHeight="1" thickBot="1" x14ac:dyDescent="0.25">
      <c r="C172" s="262" t="s">
        <v>40</v>
      </c>
      <c r="D172" s="261">
        <v>8436</v>
      </c>
      <c r="E172" s="259">
        <v>3.4517150395778362</v>
      </c>
      <c r="F172" s="260">
        <v>441</v>
      </c>
      <c r="G172" s="259">
        <v>2.2666666666666666</v>
      </c>
      <c r="H172" s="261">
        <v>305</v>
      </c>
      <c r="I172" s="259">
        <v>4.865384615384615</v>
      </c>
      <c r="J172" s="261">
        <v>1238</v>
      </c>
      <c r="K172" s="259">
        <v>4.7050691244239635</v>
      </c>
      <c r="L172" s="260">
        <v>6452</v>
      </c>
      <c r="M172" s="259">
        <v>3.3272971160295102</v>
      </c>
    </row>
    <row r="173" spans="3:13" ht="24" customHeight="1" thickBot="1" x14ac:dyDescent="0.25">
      <c r="C173" s="258" t="s">
        <v>39</v>
      </c>
      <c r="D173" s="264">
        <v>6276</v>
      </c>
      <c r="E173" s="259">
        <v>4.6847826086956523</v>
      </c>
      <c r="F173" s="263">
        <v>304</v>
      </c>
      <c r="G173" s="259">
        <v>3.3428571428571425</v>
      </c>
      <c r="H173" s="264">
        <v>136</v>
      </c>
      <c r="I173" s="259">
        <v>3.6896551724137927</v>
      </c>
      <c r="J173" s="264">
        <v>1383</v>
      </c>
      <c r="K173" s="259">
        <v>9.0217391304347831</v>
      </c>
      <c r="L173" s="263">
        <v>4453</v>
      </c>
      <c r="M173" s="259">
        <v>4.1361014994232983</v>
      </c>
    </row>
    <row r="174" spans="3:13" ht="24" customHeight="1" thickBot="1" x14ac:dyDescent="0.25">
      <c r="C174" s="262" t="s">
        <v>38</v>
      </c>
      <c r="D174" s="261">
        <v>2693</v>
      </c>
      <c r="E174" s="259">
        <v>1.3017094017094015</v>
      </c>
      <c r="F174" s="260">
        <v>233</v>
      </c>
      <c r="G174" s="259">
        <v>1.7738095238095237</v>
      </c>
      <c r="H174" s="261">
        <v>32</v>
      </c>
      <c r="I174" s="259">
        <v>-5.8823529411764719E-2</v>
      </c>
      <c r="J174" s="261">
        <v>437</v>
      </c>
      <c r="K174" s="259">
        <v>3.75</v>
      </c>
      <c r="L174" s="260">
        <v>1991</v>
      </c>
      <c r="M174" s="259">
        <v>1.0739583333333331</v>
      </c>
    </row>
    <row r="175" spans="3:13" ht="24" customHeight="1" thickBot="1" x14ac:dyDescent="0.25">
      <c r="C175" s="258" t="s">
        <v>37</v>
      </c>
      <c r="D175" s="264">
        <v>33307</v>
      </c>
      <c r="E175" s="259">
        <v>2.2967435415223201</v>
      </c>
      <c r="F175" s="263">
        <v>1202</v>
      </c>
      <c r="G175" s="259">
        <v>2.3764044943820224</v>
      </c>
      <c r="H175" s="264">
        <v>278</v>
      </c>
      <c r="I175" s="259">
        <v>1.396551724137931</v>
      </c>
      <c r="J175" s="264">
        <v>4131</v>
      </c>
      <c r="K175" s="259">
        <v>5.1109467455621305</v>
      </c>
      <c r="L175" s="263">
        <v>27696</v>
      </c>
      <c r="M175" s="259">
        <v>2.0927973199329983</v>
      </c>
    </row>
    <row r="176" spans="3:13" ht="24" customHeight="1" thickBot="1" x14ac:dyDescent="0.25">
      <c r="C176" s="262" t="s">
        <v>36</v>
      </c>
      <c r="D176" s="261">
        <v>45341</v>
      </c>
      <c r="E176" s="259">
        <v>3.7313993530209748</v>
      </c>
      <c r="F176" s="260">
        <v>1728</v>
      </c>
      <c r="G176" s="259">
        <v>0.55395683453237421</v>
      </c>
      <c r="H176" s="261">
        <v>323</v>
      </c>
      <c r="I176" s="259">
        <v>2.0761904761904764</v>
      </c>
      <c r="J176" s="261">
        <v>6805</v>
      </c>
      <c r="K176" s="259">
        <v>5.9297352342158858</v>
      </c>
      <c r="L176" s="260">
        <v>36485</v>
      </c>
      <c r="M176" s="259">
        <v>3.9410888407367279</v>
      </c>
    </row>
    <row r="177" spans="3:18" ht="24" customHeight="1" thickBot="1" x14ac:dyDescent="0.25">
      <c r="C177" s="258" t="s">
        <v>35</v>
      </c>
      <c r="D177" s="264">
        <v>5110</v>
      </c>
      <c r="E177" s="259">
        <v>6.8979907264296756</v>
      </c>
      <c r="F177" s="263">
        <v>474</v>
      </c>
      <c r="G177" s="259">
        <v>5.7714285714285714</v>
      </c>
      <c r="H177" s="264">
        <v>177</v>
      </c>
      <c r="I177" s="259">
        <v>12.615384615384615</v>
      </c>
      <c r="J177" s="264">
        <v>543</v>
      </c>
      <c r="K177" s="259">
        <v>13.675675675675675</v>
      </c>
      <c r="L177" s="263">
        <v>3916</v>
      </c>
      <c r="M177" s="259">
        <v>6.4307400379506641</v>
      </c>
    </row>
    <row r="178" spans="3:18" ht="24" customHeight="1" thickBot="1" x14ac:dyDescent="0.25">
      <c r="C178" s="262" t="s">
        <v>34</v>
      </c>
      <c r="D178" s="261">
        <v>3947</v>
      </c>
      <c r="E178" s="259">
        <v>1.5204342273307789</v>
      </c>
      <c r="F178" s="260">
        <v>909</v>
      </c>
      <c r="G178" s="259">
        <v>0.81437125748502992</v>
      </c>
      <c r="H178" s="261">
        <v>144</v>
      </c>
      <c r="I178" s="259">
        <v>1.0869565217391304</v>
      </c>
      <c r="J178" s="261">
        <v>1025</v>
      </c>
      <c r="K178" s="259">
        <v>2.1733746130030958</v>
      </c>
      <c r="L178" s="260">
        <v>1869</v>
      </c>
      <c r="M178" s="259">
        <v>1.7771173848439821</v>
      </c>
    </row>
    <row r="179" spans="3:18" ht="24" customHeight="1" thickBot="1" x14ac:dyDescent="0.25">
      <c r="C179" s="258" t="s">
        <v>33</v>
      </c>
      <c r="D179" s="257">
        <v>16738</v>
      </c>
      <c r="E179" s="255">
        <v>3.1688667496886671</v>
      </c>
      <c r="F179" s="256">
        <v>2466</v>
      </c>
      <c r="G179" s="255">
        <v>0.44973544973544977</v>
      </c>
      <c r="H179" s="257">
        <v>205</v>
      </c>
      <c r="I179" s="255">
        <v>0.7226890756302522</v>
      </c>
      <c r="J179" s="257">
        <v>1876</v>
      </c>
      <c r="K179" s="255">
        <v>6.2713178294573639</v>
      </c>
      <c r="L179" s="256">
        <v>12191</v>
      </c>
      <c r="M179" s="255">
        <v>5.2937532266391329</v>
      </c>
    </row>
    <row r="180" spans="3:18" ht="30.75" customHeight="1" thickTop="1" thickBot="1" x14ac:dyDescent="0.25">
      <c r="C180" s="254" t="s">
        <v>32</v>
      </c>
      <c r="D180" s="253">
        <v>767496</v>
      </c>
      <c r="E180" s="251">
        <v>8.1028298977631241</v>
      </c>
      <c r="F180" s="252">
        <v>20201</v>
      </c>
      <c r="G180" s="251">
        <v>1.3855692017005197</v>
      </c>
      <c r="H180" s="253">
        <v>6928</v>
      </c>
      <c r="I180" s="251">
        <v>2.0095569070373589</v>
      </c>
      <c r="J180" s="253">
        <v>87748</v>
      </c>
      <c r="K180" s="251">
        <v>8.3051961823966067</v>
      </c>
      <c r="L180" s="252">
        <v>652619</v>
      </c>
      <c r="M180" s="251">
        <v>9.1790404591820813</v>
      </c>
    </row>
    <row r="181" spans="3:18" ht="24" customHeight="1" thickBot="1" x14ac:dyDescent="0.25">
      <c r="C181" s="250" t="s">
        <v>7</v>
      </c>
      <c r="D181" s="249">
        <v>930647</v>
      </c>
      <c r="E181" s="247">
        <v>3.7974709645491709</v>
      </c>
      <c r="F181" s="248">
        <v>49787</v>
      </c>
      <c r="G181" s="247">
        <v>0.89671987504285888</v>
      </c>
      <c r="H181" s="249">
        <v>13337</v>
      </c>
      <c r="I181" s="247">
        <v>1.6567729083665337</v>
      </c>
      <c r="J181" s="249">
        <v>144978</v>
      </c>
      <c r="K181" s="247">
        <v>3.4914030794014685</v>
      </c>
      <c r="L181" s="248">
        <v>722545</v>
      </c>
      <c r="M181" s="247">
        <v>4.5393325615805091</v>
      </c>
    </row>
    <row r="182" spans="3:18" ht="18" customHeight="1" x14ac:dyDescent="0.2"/>
    <row r="183" spans="3:18" ht="17.25" hidden="1" customHeight="1" x14ac:dyDescent="0.25">
      <c r="C183" s="246"/>
      <c r="D183" s="245"/>
      <c r="E183" s="245"/>
      <c r="F183" s="245"/>
      <c r="G183" s="245"/>
      <c r="H183" s="245"/>
      <c r="I183" s="245"/>
      <c r="J183" s="245"/>
      <c r="K183" s="245"/>
      <c r="L183" s="245"/>
      <c r="M183" s="244"/>
    </row>
    <row r="184" spans="3:18" ht="21.75" hidden="1" customHeight="1" thickBot="1" x14ac:dyDescent="0.25">
      <c r="C184" s="237"/>
      <c r="D184" s="236"/>
      <c r="E184" s="243" t="str">
        <f>$E$1</f>
        <v>INDICADORES TURÍSTICOS DE TENERIFE definitivo</v>
      </c>
      <c r="F184" s="242"/>
      <c r="G184" s="242"/>
      <c r="H184" s="242"/>
      <c r="I184" s="242"/>
      <c r="J184" s="242"/>
      <c r="K184" s="241"/>
      <c r="L184" s="236"/>
      <c r="M184" s="235"/>
    </row>
    <row r="185" spans="3:18" ht="21.75" hidden="1" customHeight="1" thickBot="1" x14ac:dyDescent="0.2">
      <c r="C185" s="237"/>
      <c r="D185" s="236"/>
      <c r="E185" s="240"/>
      <c r="F185" s="240"/>
      <c r="G185" s="240"/>
      <c r="H185" s="240"/>
      <c r="I185" s="240"/>
      <c r="J185" s="240"/>
      <c r="K185" s="240"/>
      <c r="L185" s="236"/>
      <c r="M185" s="235"/>
    </row>
    <row r="186" spans="3:18" ht="33" hidden="1" customHeight="1" thickBot="1" x14ac:dyDescent="0.2">
      <c r="C186" s="234" t="s">
        <v>74</v>
      </c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2"/>
    </row>
    <row r="187" spans="3:18" ht="20.100000000000001" hidden="1" customHeight="1" thickBot="1" x14ac:dyDescent="0.2">
      <c r="C187" s="239">
        <f>E3</f>
        <v>0</v>
      </c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</row>
    <row r="188" spans="3:18" ht="17.25" hidden="1" customHeight="1" thickBot="1" x14ac:dyDescent="0.25">
      <c r="C188" s="226"/>
      <c r="D188" s="228" t="s">
        <v>73</v>
      </c>
      <c r="E188" s="227"/>
      <c r="F188" s="228" t="s">
        <v>72</v>
      </c>
      <c r="G188" s="227"/>
      <c r="H188" s="228" t="s">
        <v>71</v>
      </c>
      <c r="I188" s="227"/>
      <c r="J188" s="228" t="s">
        <v>70</v>
      </c>
      <c r="K188" s="227"/>
      <c r="L188" s="228" t="s">
        <v>69</v>
      </c>
      <c r="M188" s="227"/>
      <c r="N188" s="228" t="s">
        <v>68</v>
      </c>
      <c r="O188" s="227"/>
      <c r="P188" s="228" t="s">
        <v>67</v>
      </c>
      <c r="Q188" s="227"/>
    </row>
    <row r="189" spans="3:18" ht="28.5" hidden="1" customHeight="1" thickBot="1" x14ac:dyDescent="0.25">
      <c r="C189" s="226"/>
      <c r="D189" s="225" t="s">
        <v>76</v>
      </c>
      <c r="E189" s="225" t="s">
        <v>75</v>
      </c>
      <c r="F189" s="225" t="s">
        <v>76</v>
      </c>
      <c r="G189" s="225"/>
      <c r="H189" s="225" t="s">
        <v>76</v>
      </c>
      <c r="I189" s="225" t="s">
        <v>75</v>
      </c>
      <c r="J189" s="225" t="s">
        <v>76</v>
      </c>
      <c r="K189" s="225" t="s">
        <v>75</v>
      </c>
      <c r="L189" s="225" t="s">
        <v>76</v>
      </c>
      <c r="M189" s="225" t="s">
        <v>75</v>
      </c>
      <c r="N189" s="225" t="s">
        <v>76</v>
      </c>
      <c r="O189" s="225" t="s">
        <v>75</v>
      </c>
      <c r="P189" s="225" t="s">
        <v>76</v>
      </c>
      <c r="Q189" s="225" t="s">
        <v>75</v>
      </c>
    </row>
    <row r="190" spans="3:18" ht="24" hidden="1" customHeight="1" thickBot="1" x14ac:dyDescent="0.25">
      <c r="C190" s="223" t="s">
        <v>56</v>
      </c>
      <c r="D190" s="222" t="e">
        <f>VLOOKUP("españa",#REF!,6,FALSE)/VLOOKUP("españa",#REF!,6,FALSE)-1</f>
        <v>#REF!</v>
      </c>
      <c r="E190" s="221" t="e">
        <f>VLOOKUP("españa",#REF!,6,FALSE)</f>
        <v>#REF!</v>
      </c>
      <c r="F190" s="222" t="e">
        <f>VLOOKUP("españa",#REF!,5,FALSE)/VLOOKUP("españa",#REF!,5,FALSE)-1</f>
        <v>#REF!</v>
      </c>
      <c r="G190" s="222"/>
      <c r="H190" s="222" t="e">
        <f>VLOOKUP("españa",#REF!,4,FALSE)/VLOOKUP("españa",#REF!,4,FALSE)-1</f>
        <v>#REF!</v>
      </c>
      <c r="I190" s="221" t="e">
        <f>VLOOKUP("españa",#REF!,4,FALSE)</f>
        <v>#REF!</v>
      </c>
      <c r="J190" s="222" t="e">
        <f>VLOOKUP("españa",#REF!,3,FALSE)/VLOOKUP("españa",#REF!,3,FALSE)-1</f>
        <v>#REF!</v>
      </c>
      <c r="K190" s="221" t="e">
        <f>VLOOKUP("españa",#REF!,3,FALSE)</f>
        <v>#REF!</v>
      </c>
      <c r="L190" s="222" t="e">
        <f>VLOOKUP("españa",#REF!,2,FALSE)/VLOOKUP("españa",#REF!,2,FALSE)-1</f>
        <v>#REF!</v>
      </c>
      <c r="M190" s="221" t="e">
        <f>VLOOKUP("españa",#REF!,2,FALSE)</f>
        <v>#REF!</v>
      </c>
      <c r="N190" s="222" t="e">
        <f>VLOOKUP("españa",#REF!,7,FALSE)/VLOOKUP("españa",#REF!,7,FALSE)-1</f>
        <v>#REF!</v>
      </c>
      <c r="O190" s="221" t="e">
        <f>VLOOKUP("españa",#REF!,7,FALSE)</f>
        <v>#REF!</v>
      </c>
      <c r="P190" s="222" t="e">
        <f>VLOOKUP("españa",#REF!,8,FALSE)/VLOOKUP("españa",#REF!,8,FALSE)-1</f>
        <v>#REF!</v>
      </c>
      <c r="Q190" s="221" t="e">
        <f>VLOOKUP("españa",#REF!,8,FALSE)</f>
        <v>#REF!</v>
      </c>
    </row>
    <row r="191" spans="3:18" ht="24" hidden="1" customHeight="1" thickBot="1" x14ac:dyDescent="0.25">
      <c r="C191" s="223" t="s">
        <v>52</v>
      </c>
      <c r="D191" s="222" t="e">
        <f>VLOOKUP("holanda",#REF!,6,FALSE)/VLOOKUP("holanda",#REF!,6,FALSE)-1</f>
        <v>#REF!</v>
      </c>
      <c r="E191" s="221" t="e">
        <f>VLOOKUP("holanda",#REF!,6,FALSE)</f>
        <v>#REF!</v>
      </c>
      <c r="F191" s="222" t="e">
        <f>VLOOKUP("holanda",#REF!,5,FALSE)/VLOOKUP("holanda",#REF!,5,FALSE)-1</f>
        <v>#REF!</v>
      </c>
      <c r="G191" s="222"/>
      <c r="H191" s="222" t="e">
        <f>VLOOKUP("holanda",#REF!,4,FALSE)/VLOOKUP("holanda",#REF!,4,FALSE)-1</f>
        <v>#REF!</v>
      </c>
      <c r="I191" s="221" t="e">
        <f>VLOOKUP("holanda",#REF!,4,FALSE)</f>
        <v>#REF!</v>
      </c>
      <c r="J191" s="222" t="e">
        <f>VLOOKUP("holanda",#REF!,3,FALSE)/VLOOKUP("holanda",#REF!,3,FALSE)-1</f>
        <v>#REF!</v>
      </c>
      <c r="K191" s="221" t="e">
        <f>VLOOKUP("holanda",#REF!,3,FALSE)</f>
        <v>#REF!</v>
      </c>
      <c r="L191" s="222" t="e">
        <f>VLOOKUP("holanda",#REF!,2,FALSE)/VLOOKUP("holanda",#REF!,2,FALSE)-1</f>
        <v>#REF!</v>
      </c>
      <c r="M191" s="221" t="e">
        <f>VLOOKUP("holanda",#REF!,2,FALSE)</f>
        <v>#REF!</v>
      </c>
      <c r="N191" s="222" t="e">
        <f>VLOOKUP("holanda",#REF!,7,FALSE)/VLOOKUP("holanda",#REF!,7,FALSE)-1</f>
        <v>#REF!</v>
      </c>
      <c r="O191" s="221" t="e">
        <f>VLOOKUP("holanda",#REF!,7,FALSE)</f>
        <v>#REF!</v>
      </c>
      <c r="P191" s="222" t="e">
        <f>VLOOKUP("holanda",#REF!,8,FALSE)/VLOOKUP("holanda",#REF!,8,FALSE)-1</f>
        <v>#REF!</v>
      </c>
      <c r="Q191" s="221" t="e">
        <f>VLOOKUP("holanda",#REF!,8,FALSE)</f>
        <v>#REF!</v>
      </c>
    </row>
    <row r="192" spans="3:18" ht="24" hidden="1" customHeight="1" thickBot="1" x14ac:dyDescent="0.25">
      <c r="C192" s="223" t="s">
        <v>51</v>
      </c>
      <c r="D192" s="222" t="e">
        <f>VLOOKUP("belgica",#REF!,6,FALSE)/VLOOKUP("belgica",#REF!,6,FALSE)-1</f>
        <v>#REF!</v>
      </c>
      <c r="E192" s="221" t="e">
        <f>VLOOKUP("belgica",#REF!,6,FALSE)</f>
        <v>#REF!</v>
      </c>
      <c r="F192" s="222" t="e">
        <f>VLOOKUP("belgica",#REF!,5,FALSE)/VLOOKUP("belgica",#REF!,5,FALSE)-1</f>
        <v>#REF!</v>
      </c>
      <c r="G192" s="222"/>
      <c r="H192" s="222" t="e">
        <f>VLOOKUP("belgica",#REF!,4,FALSE)/VLOOKUP("belgica",#REF!,4,FALSE)-1</f>
        <v>#REF!</v>
      </c>
      <c r="I192" s="221" t="e">
        <f>VLOOKUP("belgica",#REF!,4,FALSE)</f>
        <v>#REF!</v>
      </c>
      <c r="J192" s="222" t="e">
        <f>VLOOKUP("belgica",#REF!,3,FALSE)/VLOOKUP("belgica",#REF!,3,FALSE)-1</f>
        <v>#REF!</v>
      </c>
      <c r="K192" s="221" t="e">
        <f>VLOOKUP("belgica",#REF!,3,FALSE)</f>
        <v>#REF!</v>
      </c>
      <c r="L192" s="222" t="e">
        <f>VLOOKUP("belgica",#REF!,2,FALSE)/VLOOKUP("belgica",#REF!,2,FALSE)-1</f>
        <v>#REF!</v>
      </c>
      <c r="M192" s="221" t="e">
        <f>VLOOKUP("belgica",#REF!,2,FALSE)</f>
        <v>#REF!</v>
      </c>
      <c r="N192" s="222" t="e">
        <f>VLOOKUP("belgica",#REF!,7,FALSE)/VLOOKUP("belgica",#REF!,7,FALSE)-1</f>
        <v>#REF!</v>
      </c>
      <c r="O192" s="221" t="e">
        <f>VLOOKUP("belgica",#REF!,7,FALSE)</f>
        <v>#REF!</v>
      </c>
      <c r="P192" s="222" t="e">
        <f>VLOOKUP("belgica",#REF!,8,FALSE)/VLOOKUP("belgica",#REF!,8,FALSE)-1</f>
        <v>#REF!</v>
      </c>
      <c r="Q192" s="221" t="e">
        <f>VLOOKUP("belgica",#REF!,8,FALSE)</f>
        <v>#REF!</v>
      </c>
    </row>
    <row r="193" spans="3:17" ht="24" hidden="1" customHeight="1" thickBot="1" x14ac:dyDescent="0.25">
      <c r="C193" s="223" t="s">
        <v>50</v>
      </c>
      <c r="D193" s="222" t="e">
        <f>VLOOKUP("alemania",#REF!,6,FALSE)/VLOOKUP("alemania",#REF!,6,FALSE)-1</f>
        <v>#REF!</v>
      </c>
      <c r="E193" s="221" t="e">
        <f>VLOOKUP("alemania",#REF!,6,FALSE)</f>
        <v>#REF!</v>
      </c>
      <c r="F193" s="222" t="e">
        <f>VLOOKUP("alemania",#REF!,5,FALSE)/VLOOKUP("alemania",#REF!,5,FALSE)-1</f>
        <v>#REF!</v>
      </c>
      <c r="G193" s="222"/>
      <c r="H193" s="222" t="e">
        <f>VLOOKUP("alemania",#REF!,4,FALSE)/VLOOKUP("alemania",#REF!,4,FALSE)-1</f>
        <v>#REF!</v>
      </c>
      <c r="I193" s="221" t="e">
        <f>VLOOKUP("alemania",#REF!,4,FALSE)</f>
        <v>#REF!</v>
      </c>
      <c r="J193" s="222" t="e">
        <f>VLOOKUP("alemania",#REF!,3,FALSE)/VLOOKUP("alemania",#REF!,3,FALSE)-1</f>
        <v>#REF!</v>
      </c>
      <c r="K193" s="221" t="e">
        <f>VLOOKUP("alemania",#REF!,3,FALSE)</f>
        <v>#REF!</v>
      </c>
      <c r="L193" s="222" t="e">
        <f>VLOOKUP("alemania",#REF!,2,FALSE)/VLOOKUP("alemania",#REF!,2,FALSE)-1</f>
        <v>#REF!</v>
      </c>
      <c r="M193" s="221" t="e">
        <f>VLOOKUP("alemania",#REF!,2,FALSE)</f>
        <v>#REF!</v>
      </c>
      <c r="N193" s="222" t="e">
        <f>VLOOKUP("alemania",#REF!,7,FALSE)/VLOOKUP("alemania",#REF!,7,FALSE)-1</f>
        <v>#REF!</v>
      </c>
      <c r="O193" s="221" t="e">
        <f>VLOOKUP("alemania",#REF!,7,FALSE)</f>
        <v>#REF!</v>
      </c>
      <c r="P193" s="222" t="e">
        <f>VLOOKUP("alemania",#REF!,8,FALSE)/VLOOKUP("alemania",#REF!,8,FALSE)-1</f>
        <v>#REF!</v>
      </c>
      <c r="Q193" s="221" t="e">
        <f>VLOOKUP("alemania",#REF!,8,FALSE)</f>
        <v>#REF!</v>
      </c>
    </row>
    <row r="194" spans="3:17" ht="24" hidden="1" customHeight="1" thickBot="1" x14ac:dyDescent="0.25">
      <c r="C194" s="223" t="s">
        <v>49</v>
      </c>
      <c r="D194" s="222" t="e">
        <f>VLOOKUP("francia",#REF!,6,FALSE)/VLOOKUP("francia",#REF!,6,FALSE)-1</f>
        <v>#REF!</v>
      </c>
      <c r="E194" s="221" t="e">
        <f>VLOOKUP("francia",#REF!,6,FALSE)</f>
        <v>#REF!</v>
      </c>
      <c r="F194" s="222" t="e">
        <f>VLOOKUP("francia",#REF!,5,FALSE)/VLOOKUP("francia",#REF!,5,FALSE)-1</f>
        <v>#REF!</v>
      </c>
      <c r="G194" s="222"/>
      <c r="H194" s="222" t="e">
        <f>VLOOKUP("francia",#REF!,4,FALSE)/VLOOKUP("francia",#REF!,4,FALSE)-1</f>
        <v>#REF!</v>
      </c>
      <c r="I194" s="221" t="e">
        <f>VLOOKUP("francia",#REF!,4,FALSE)</f>
        <v>#REF!</v>
      </c>
      <c r="J194" s="222" t="e">
        <f>VLOOKUP("francia",#REF!,3,FALSE)/VLOOKUP("francia",#REF!,3,FALSE)-1</f>
        <v>#REF!</v>
      </c>
      <c r="K194" s="221" t="e">
        <f>VLOOKUP("francia",#REF!,3,FALSE)</f>
        <v>#REF!</v>
      </c>
      <c r="L194" s="222" t="e">
        <f>VLOOKUP("francia",#REF!,2,FALSE)/VLOOKUP("francia",#REF!,2,FALSE)-1</f>
        <v>#REF!</v>
      </c>
      <c r="M194" s="221" t="e">
        <f>VLOOKUP("francia",#REF!,2,FALSE)</f>
        <v>#REF!</v>
      </c>
      <c r="N194" s="222" t="e">
        <f>VLOOKUP("francia",#REF!,7,FALSE)/VLOOKUP("francia",#REF!,7,FALSE)-1</f>
        <v>#REF!</v>
      </c>
      <c r="O194" s="221" t="e">
        <f>VLOOKUP("francia",#REF!,7,FALSE)</f>
        <v>#REF!</v>
      </c>
      <c r="P194" s="222" t="e">
        <f>VLOOKUP("francia",#REF!,8,FALSE)/VLOOKUP("francia",#REF!,8,FALSE)-1</f>
        <v>#REF!</v>
      </c>
      <c r="Q194" s="221" t="e">
        <f>VLOOKUP("francia",#REF!,8,FALSE)</f>
        <v>#REF!</v>
      </c>
    </row>
    <row r="195" spans="3:17" ht="24" hidden="1" customHeight="1" thickBot="1" x14ac:dyDescent="0.25">
      <c r="C195" s="223" t="s">
        <v>48</v>
      </c>
      <c r="D195" s="222" t="e">
        <f>VLOOKUP("reino unido",#REF!,6,FALSE)/VLOOKUP("reino unido",#REF!,6,FALSE)-1</f>
        <v>#REF!</v>
      </c>
      <c r="E195" s="221" t="e">
        <f>VLOOKUP("reino unido",#REF!,6,FALSE)</f>
        <v>#REF!</v>
      </c>
      <c r="F195" s="222" t="e">
        <f>VLOOKUP("reino unido",#REF!,5,FALSE)/VLOOKUP("reino unido",#REF!,5,FALSE)-1</f>
        <v>#REF!</v>
      </c>
      <c r="G195" s="222"/>
      <c r="H195" s="222" t="e">
        <f>VLOOKUP("reino unido",#REF!,4,FALSE)/VLOOKUP("reino unido",#REF!,4,FALSE)-1</f>
        <v>#REF!</v>
      </c>
      <c r="I195" s="221" t="e">
        <f>VLOOKUP("reino unido",#REF!,4,FALSE)</f>
        <v>#REF!</v>
      </c>
      <c r="J195" s="222" t="e">
        <f>VLOOKUP("reino unido",#REF!,3,FALSE)/VLOOKUP("reino unido",#REF!,3,FALSE)-1</f>
        <v>#REF!</v>
      </c>
      <c r="K195" s="221" t="e">
        <f>VLOOKUP("reino unido",#REF!,3,FALSE)</f>
        <v>#REF!</v>
      </c>
      <c r="L195" s="222" t="e">
        <f>VLOOKUP("reino unido",#REF!,2,FALSE)/VLOOKUP("reino unido",#REF!,2,FALSE)-1</f>
        <v>#REF!</v>
      </c>
      <c r="M195" s="221" t="e">
        <f>VLOOKUP("reino unido",#REF!,2,FALSE)</f>
        <v>#REF!</v>
      </c>
      <c r="N195" s="222" t="e">
        <f>VLOOKUP("reino unido",#REF!,7,FALSE)/VLOOKUP("reino unido",#REF!,7,FALSE)-1</f>
        <v>#REF!</v>
      </c>
      <c r="O195" s="221" t="e">
        <f>VLOOKUP("reino unido",#REF!,7,FALSE)</f>
        <v>#REF!</v>
      </c>
      <c r="P195" s="222" t="e">
        <f>VLOOKUP("reino unido",#REF!,8,FALSE)/VLOOKUP("reino unido",#REF!,8,FALSE)-1</f>
        <v>#REF!</v>
      </c>
      <c r="Q195" s="221" t="e">
        <f>VLOOKUP("reino unido",#REF!,8,FALSE)</f>
        <v>#REF!</v>
      </c>
    </row>
    <row r="196" spans="3:17" ht="24" hidden="1" customHeight="1" thickBot="1" x14ac:dyDescent="0.25">
      <c r="C196" s="223" t="s">
        <v>47</v>
      </c>
      <c r="D196" s="222" t="e">
        <f>VLOOKUP("irlanda",#REF!,6,FALSE)/VLOOKUP("irlanda",#REF!,6,FALSE)-1</f>
        <v>#REF!</v>
      </c>
      <c r="E196" s="221" t="e">
        <f>VLOOKUP("irlanda",#REF!,6,FALSE)</f>
        <v>#REF!</v>
      </c>
      <c r="F196" s="222" t="e">
        <f>VLOOKUP("irlanda",#REF!,5,FALSE)/VLOOKUP("irlanda",#REF!,5,FALSE)-1</f>
        <v>#REF!</v>
      </c>
      <c r="G196" s="222"/>
      <c r="H196" s="222" t="e">
        <f>VLOOKUP("irlanda",#REF!,4,FALSE)/VLOOKUP("irlanda",#REF!,4,FALSE)-1</f>
        <v>#REF!</v>
      </c>
      <c r="I196" s="221" t="e">
        <f>VLOOKUP("irlanda",#REF!,4,FALSE)</f>
        <v>#REF!</v>
      </c>
      <c r="J196" s="222" t="e">
        <f>VLOOKUP("irlanda",#REF!,3,FALSE)/VLOOKUP("irlanda",#REF!,3,FALSE)-1</f>
        <v>#REF!</v>
      </c>
      <c r="K196" s="221" t="e">
        <f>VLOOKUP("irlanda",#REF!,3,FALSE)</f>
        <v>#REF!</v>
      </c>
      <c r="L196" s="222" t="e">
        <f>VLOOKUP("irlanda",#REF!,2,FALSE)/VLOOKUP("irlanda",#REF!,2,FALSE)-1</f>
        <v>#REF!</v>
      </c>
      <c r="M196" s="221" t="e">
        <f>VLOOKUP("irlanda",#REF!,2,FALSE)</f>
        <v>#REF!</v>
      </c>
      <c r="N196" s="222" t="e">
        <f>VLOOKUP("irlanda",#REF!,7,FALSE)/VLOOKUP("irlanda",#REF!,7,FALSE)-1</f>
        <v>#REF!</v>
      </c>
      <c r="O196" s="221" t="e">
        <f>VLOOKUP("irlanda",#REF!,7,FALSE)</f>
        <v>#REF!</v>
      </c>
      <c r="P196" s="222" t="e">
        <f>VLOOKUP("irlanda",#REF!,8,FALSE)/VLOOKUP("irlanda",#REF!,8,FALSE)-1</f>
        <v>#REF!</v>
      </c>
      <c r="Q196" s="221" t="e">
        <f>VLOOKUP("irlanda",#REF!,8,FALSE)</f>
        <v>#REF!</v>
      </c>
    </row>
    <row r="197" spans="3:17" ht="24" hidden="1" customHeight="1" thickBot="1" x14ac:dyDescent="0.25">
      <c r="C197" s="223" t="s">
        <v>46</v>
      </c>
      <c r="D197" s="222" t="e">
        <f>VLOOKUP("italia",#REF!,6,FALSE)/VLOOKUP("italia",#REF!,6,FALSE)-1</f>
        <v>#REF!</v>
      </c>
      <c r="E197" s="221" t="e">
        <f>VLOOKUP("italia",#REF!,6,FALSE)</f>
        <v>#REF!</v>
      </c>
      <c r="F197" s="222" t="e">
        <f>VLOOKUP("italia",#REF!,5,FALSE)/VLOOKUP("italia",#REF!,5,FALSE)-1</f>
        <v>#REF!</v>
      </c>
      <c r="G197" s="222"/>
      <c r="H197" s="222" t="e">
        <f>VLOOKUP("italia",#REF!,4,FALSE)/VLOOKUP("italia",#REF!,4,FALSE)-1</f>
        <v>#REF!</v>
      </c>
      <c r="I197" s="221" t="e">
        <f>VLOOKUP("italia",#REF!,4,FALSE)</f>
        <v>#REF!</v>
      </c>
      <c r="J197" s="222" t="e">
        <f>VLOOKUP("italia",#REF!,3,FALSE)/VLOOKUP("italia",#REF!,3,FALSE)-1</f>
        <v>#REF!</v>
      </c>
      <c r="K197" s="221" t="e">
        <f>VLOOKUP("italia",#REF!,3,FALSE)</f>
        <v>#REF!</v>
      </c>
      <c r="L197" s="222" t="e">
        <f>VLOOKUP("italia",#REF!,2,FALSE)/VLOOKUP("italia",#REF!,2,FALSE)-1</f>
        <v>#REF!</v>
      </c>
      <c r="M197" s="221" t="e">
        <f>VLOOKUP("italia",#REF!,2,FALSE)</f>
        <v>#REF!</v>
      </c>
      <c r="N197" s="222" t="e">
        <f>VLOOKUP("italia",#REF!,7,FALSE)/VLOOKUP("italia",#REF!,7,FALSE)-1</f>
        <v>#REF!</v>
      </c>
      <c r="O197" s="221" t="e">
        <f>VLOOKUP("italia",#REF!,7,FALSE)</f>
        <v>#REF!</v>
      </c>
      <c r="P197" s="222" t="e">
        <f>VLOOKUP("italia",#REF!,8,FALSE)/VLOOKUP("italia",#REF!,8,FALSE)-1</f>
        <v>#REF!</v>
      </c>
      <c r="Q197" s="221" t="e">
        <f>VLOOKUP("italia",#REF!,8,FALSE)</f>
        <v>#REF!</v>
      </c>
    </row>
    <row r="198" spans="3:17" ht="24" hidden="1" customHeight="1" thickBot="1" x14ac:dyDescent="0.25">
      <c r="C198" s="223" t="s">
        <v>45</v>
      </c>
      <c r="D198" s="222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221" t="e">
        <f>(VLOOKUP("suecia",#REF!,6,FALSE)+VLOOKUP("noruega",#REF!,6,FALSE)+VLOOKUP("dinamarca",#REF!,6,FALSE)+VLOOKUP("finlandia",#REF!,6,FALSE))</f>
        <v>#REF!</v>
      </c>
      <c r="F198" s="222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222"/>
      <c r="H198" s="222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221" t="e">
        <f>(VLOOKUP("suecia",#REF!,4,FALSE)+VLOOKUP("noruega",#REF!,4,FALSE)+VLOOKUP("dinamarca",#REF!,4,FALSE)+VLOOKUP("finlandia",#REF!,4,FALSE))</f>
        <v>#REF!</v>
      </c>
      <c r="J198" s="222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221" t="e">
        <f>(VLOOKUP("suecia",#REF!,3,FALSE)+VLOOKUP("noruega",#REF!,3,FALSE)+VLOOKUP("dinamarca",#REF!,3,FALSE)+VLOOKUP("finlandia",#REF!,3,FALSE))</f>
        <v>#REF!</v>
      </c>
      <c r="L198" s="222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221" t="e">
        <f>(VLOOKUP("suecia",#REF!,2,FALSE)+VLOOKUP("noruega",#REF!,2,FALSE)+VLOOKUP("dinamarca",#REF!,2,FALSE)+VLOOKUP("finlandia",#REF!,2,FALSE))</f>
        <v>#REF!</v>
      </c>
      <c r="N198" s="222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221" t="e">
        <f>(VLOOKUP("suecia",#REF!,7,FALSE)+VLOOKUP("noruega",#REF!,7,FALSE)+VLOOKUP("dinamarca",#REF!,7,FALSE)+VLOOKUP("finlandia",#REF!,7,FALSE))</f>
        <v>#REF!</v>
      </c>
      <c r="P198" s="222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221" t="e">
        <f>(VLOOKUP("suecia",#REF!,8,FALSE)+VLOOKUP("noruega",#REF!,8,FALSE)+VLOOKUP("dinamarca",#REF!,8,FALSE)+VLOOKUP("finlandia",#REF!,8,FALSE))</f>
        <v>#REF!</v>
      </c>
    </row>
    <row r="199" spans="3:17" ht="24" hidden="1" customHeight="1" thickBot="1" x14ac:dyDescent="0.25">
      <c r="C199" s="224" t="s">
        <v>44</v>
      </c>
      <c r="D199" s="222" t="e">
        <f>VLOOKUP("suecia",#REF!,6,FALSE)/VLOOKUP("suecia",#REF!,6,FALSE)-1</f>
        <v>#REF!</v>
      </c>
      <c r="E199" s="221" t="e">
        <f>VLOOKUP("suecia",#REF!,6,FALSE)</f>
        <v>#REF!</v>
      </c>
      <c r="F199" s="222" t="e">
        <f>VLOOKUP("suecia",#REF!,5,FALSE)/VLOOKUP("suecia",#REF!,5,FALSE)-1</f>
        <v>#REF!</v>
      </c>
      <c r="G199" s="222"/>
      <c r="H199" s="222" t="e">
        <f>VLOOKUP("suecia",#REF!,4,FALSE)/VLOOKUP("suecia",#REF!,4,FALSE)-1</f>
        <v>#REF!</v>
      </c>
      <c r="I199" s="221" t="e">
        <f>VLOOKUP("suecia",#REF!,4,FALSE)</f>
        <v>#REF!</v>
      </c>
      <c r="J199" s="222" t="e">
        <f>VLOOKUP("suecia",#REF!,3,FALSE)/VLOOKUP("suecia",#REF!,3,FALSE)-1</f>
        <v>#REF!</v>
      </c>
      <c r="K199" s="221" t="e">
        <f>VLOOKUP("suecia",#REF!,3,FALSE)</f>
        <v>#REF!</v>
      </c>
      <c r="L199" s="222" t="e">
        <f>VLOOKUP("suecia",#REF!,2,FALSE)/VLOOKUP("suecia",#REF!,2,FALSE)-1</f>
        <v>#REF!</v>
      </c>
      <c r="M199" s="221" t="e">
        <f>VLOOKUP("suecia",#REF!,2,FALSE)</f>
        <v>#REF!</v>
      </c>
      <c r="N199" s="222" t="e">
        <f>VLOOKUP("suecia",#REF!,7,FALSE)/VLOOKUP("suecia",#REF!,7,FALSE)-1</f>
        <v>#REF!</v>
      </c>
      <c r="O199" s="221" t="e">
        <f>VLOOKUP("suecia",#REF!,7,FALSE)</f>
        <v>#REF!</v>
      </c>
      <c r="P199" s="222" t="e">
        <f>VLOOKUP("suecia",#REF!,8,FALSE)/VLOOKUP("suecia",#REF!,8,FALSE)-1</f>
        <v>#REF!</v>
      </c>
      <c r="Q199" s="221" t="e">
        <f>VLOOKUP("suecia",#REF!,8,FALSE)</f>
        <v>#REF!</v>
      </c>
    </row>
    <row r="200" spans="3:17" ht="24" hidden="1" customHeight="1" thickBot="1" x14ac:dyDescent="0.25">
      <c r="C200" s="224" t="s">
        <v>43</v>
      </c>
      <c r="D200" s="222" t="e">
        <f>VLOOKUP("noruega",#REF!,6,FALSE)/VLOOKUP("noruega",#REF!,6,FALSE)-1</f>
        <v>#REF!</v>
      </c>
      <c r="E200" s="221" t="e">
        <f>VLOOKUP("noruega",#REF!,6,FALSE)</f>
        <v>#REF!</v>
      </c>
      <c r="F200" s="222" t="e">
        <f>VLOOKUP("noruega",#REF!,5,FALSE)/VLOOKUP("noruega",#REF!,5,FALSE)-1</f>
        <v>#REF!</v>
      </c>
      <c r="G200" s="222"/>
      <c r="H200" s="222" t="e">
        <f>VLOOKUP("noruega",#REF!,4,FALSE)/VLOOKUP("noruega",#REF!,4,FALSE)-1</f>
        <v>#REF!</v>
      </c>
      <c r="I200" s="221" t="e">
        <f>VLOOKUP("noruega",#REF!,4,FALSE)</f>
        <v>#REF!</v>
      </c>
      <c r="J200" s="222" t="e">
        <f>VLOOKUP("noruega",#REF!,3,FALSE)/VLOOKUP("noruega",#REF!,3,FALSE)-1</f>
        <v>#REF!</v>
      </c>
      <c r="K200" s="221" t="e">
        <f>VLOOKUP("noruega",#REF!,3,FALSE)</f>
        <v>#REF!</v>
      </c>
      <c r="L200" s="222" t="e">
        <f>VLOOKUP("noruega",#REF!,2,FALSE)/VLOOKUP("noruega",#REF!,2,FALSE)-1</f>
        <v>#REF!</v>
      </c>
      <c r="M200" s="221" t="e">
        <f>VLOOKUP("noruega",#REF!,2,FALSE)</f>
        <v>#REF!</v>
      </c>
      <c r="N200" s="222" t="e">
        <f>VLOOKUP("noruega",#REF!,7,FALSE)/VLOOKUP("noruega",#REF!,7,FALSE)-1</f>
        <v>#REF!</v>
      </c>
      <c r="O200" s="221" t="e">
        <f>VLOOKUP("noruega",#REF!,7,FALSE)</f>
        <v>#REF!</v>
      </c>
      <c r="P200" s="222" t="e">
        <f>VLOOKUP("noruega",#REF!,8,FALSE)/VLOOKUP("noruega",#REF!,8,FALSE)-1</f>
        <v>#REF!</v>
      </c>
      <c r="Q200" s="221" t="e">
        <f>VLOOKUP("noruega",#REF!,8,FALSE)</f>
        <v>#REF!</v>
      </c>
    </row>
    <row r="201" spans="3:17" ht="24" hidden="1" customHeight="1" thickBot="1" x14ac:dyDescent="0.25">
      <c r="C201" s="224" t="s">
        <v>42</v>
      </c>
      <c r="D201" s="222" t="e">
        <f>VLOOKUP("dinamarca",#REF!,6,FALSE)/VLOOKUP("dinamarca",#REF!,6,FALSE)-1</f>
        <v>#REF!</v>
      </c>
      <c r="E201" s="221" t="e">
        <f>VLOOKUP("dinamarca",#REF!,6,FALSE)</f>
        <v>#REF!</v>
      </c>
      <c r="F201" s="222" t="e">
        <f>VLOOKUP("dinamarca",#REF!,5,FALSE)/VLOOKUP("dinamarca",#REF!,5,FALSE)-1</f>
        <v>#REF!</v>
      </c>
      <c r="G201" s="222"/>
      <c r="H201" s="222" t="e">
        <f>VLOOKUP("dinamarca",#REF!,4,FALSE)/VLOOKUP("dinamarca",#REF!,4,FALSE)-1</f>
        <v>#REF!</v>
      </c>
      <c r="I201" s="221" t="e">
        <f>VLOOKUP("dinamarca",#REF!,4,FALSE)</f>
        <v>#REF!</v>
      </c>
      <c r="J201" s="222" t="e">
        <f>VLOOKUP("dinamarca",#REF!,3,FALSE)/VLOOKUP("dinamarca",#REF!,3,FALSE)-1</f>
        <v>#REF!</v>
      </c>
      <c r="K201" s="221" t="e">
        <f>VLOOKUP("dinamarca",#REF!,3,FALSE)</f>
        <v>#REF!</v>
      </c>
      <c r="L201" s="222" t="e">
        <f>VLOOKUP("dinamarca",#REF!,2,FALSE)/VLOOKUP("dinamarca",#REF!,2,FALSE)-1</f>
        <v>#REF!</v>
      </c>
      <c r="M201" s="221" t="e">
        <f>VLOOKUP("dinamarca",#REF!,2,FALSE)</f>
        <v>#REF!</v>
      </c>
      <c r="N201" s="222" t="e">
        <f>VLOOKUP("dinamarca",#REF!,7,FALSE)/VLOOKUP("dinamarca",#REF!,7,FALSE)-1</f>
        <v>#REF!</v>
      </c>
      <c r="O201" s="221" t="e">
        <f>VLOOKUP("dinamarca",#REF!,7,FALSE)</f>
        <v>#REF!</v>
      </c>
      <c r="P201" s="222" t="e">
        <f>VLOOKUP("dinamarca",#REF!,8,FALSE)/VLOOKUP("dinamarca",#REF!,8,FALSE)-1</f>
        <v>#REF!</v>
      </c>
      <c r="Q201" s="221" t="e">
        <f>VLOOKUP("dinamarca",#REF!,8,FALSE)</f>
        <v>#REF!</v>
      </c>
    </row>
    <row r="202" spans="3:17" ht="24" hidden="1" customHeight="1" thickBot="1" x14ac:dyDescent="0.25">
      <c r="C202" s="224" t="s">
        <v>41</v>
      </c>
      <c r="D202" s="222" t="s">
        <v>64</v>
      </c>
      <c r="E202" s="221" t="e">
        <f>VLOOKUP("finlandia",#REF!,6,FALSE)</f>
        <v>#REF!</v>
      </c>
      <c r="F202" s="222" t="e">
        <f>VLOOKUP("finlandia",#REF!,5,FALSE)/VLOOKUP("finlandia",#REF!,5,FALSE)-1</f>
        <v>#REF!</v>
      </c>
      <c r="G202" s="222"/>
      <c r="H202" s="222" t="e">
        <f>VLOOKUP("finlandia",#REF!,4,FALSE)/VLOOKUP("finlandia",#REF!,4,FALSE)-1</f>
        <v>#REF!</v>
      </c>
      <c r="I202" s="221" t="e">
        <f>VLOOKUP("finlandia",#REF!,4,FALSE)</f>
        <v>#REF!</v>
      </c>
      <c r="J202" s="222" t="e">
        <f>VLOOKUP("finlandia",#REF!,3,FALSE)/VLOOKUP("finlandia",#REF!,3,FALSE)-1</f>
        <v>#REF!</v>
      </c>
      <c r="K202" s="221" t="e">
        <f>VLOOKUP("finlandia",#REF!,3,FALSE)</f>
        <v>#REF!</v>
      </c>
      <c r="L202" s="222" t="s">
        <v>64</v>
      </c>
      <c r="M202" s="221" t="e">
        <f>VLOOKUP("finlandia",#REF!,2,FALSE)</f>
        <v>#REF!</v>
      </c>
      <c r="N202" s="222" t="e">
        <f>VLOOKUP("finlandia",#REF!,7,FALSE)/VLOOKUP("finlandia",#REF!,7,FALSE)-1</f>
        <v>#REF!</v>
      </c>
      <c r="O202" s="221" t="e">
        <f>VLOOKUP("finlandia",#REF!,7,FALSE)</f>
        <v>#REF!</v>
      </c>
      <c r="P202" s="222" t="e">
        <f>VLOOKUP("finlandia",#REF!,8,FALSE)/VLOOKUP("finlandia",#REF!,8,FALSE)-1</f>
        <v>#REF!</v>
      </c>
      <c r="Q202" s="221" t="e">
        <f>VLOOKUP("finlandia",#REF!,8,FALSE)</f>
        <v>#REF!</v>
      </c>
    </row>
    <row r="203" spans="3:17" ht="24" hidden="1" customHeight="1" thickBot="1" x14ac:dyDescent="0.25">
      <c r="C203" s="223" t="s">
        <v>40</v>
      </c>
      <c r="D203" s="222" t="e">
        <f>VLOOKUP("suiza",#REF!,6,FALSE)/VLOOKUP("suiza",#REF!,6,FALSE)-1</f>
        <v>#REF!</v>
      </c>
      <c r="E203" s="221" t="e">
        <f>VLOOKUP("suiza",#REF!,6,FALSE)</f>
        <v>#REF!</v>
      </c>
      <c r="F203" s="222" t="e">
        <f>VLOOKUP("suiza",#REF!,5,FALSE)/VLOOKUP("suiza",#REF!,5,FALSE)-1</f>
        <v>#REF!</v>
      </c>
      <c r="G203" s="222"/>
      <c r="H203" s="222" t="e">
        <f>VLOOKUP("suiza",#REF!,4,FALSE)/VLOOKUP("suiza",#REF!,4,FALSE)-1</f>
        <v>#REF!</v>
      </c>
      <c r="I203" s="221" t="e">
        <f>VLOOKUP("suiza",#REF!,4,FALSE)</f>
        <v>#REF!</v>
      </c>
      <c r="J203" s="222" t="e">
        <f>VLOOKUP("suiza",#REF!,3,FALSE)/VLOOKUP("suiza",#REF!,3,FALSE)-1</f>
        <v>#REF!</v>
      </c>
      <c r="K203" s="221" t="e">
        <f>VLOOKUP("suiza",#REF!,3,FALSE)</f>
        <v>#REF!</v>
      </c>
      <c r="L203" s="222" t="e">
        <f>VLOOKUP("suiza",#REF!,2,FALSE)/VLOOKUP("suiza",#REF!,2,FALSE)-1</f>
        <v>#REF!</v>
      </c>
      <c r="M203" s="221" t="e">
        <f>VLOOKUP("suiza",#REF!,2,FALSE)</f>
        <v>#REF!</v>
      </c>
      <c r="N203" s="222" t="e">
        <f>VLOOKUP("suiza",#REF!,7,FALSE)/VLOOKUP("suiza",#REF!,7,FALSE)-1</f>
        <v>#REF!</v>
      </c>
      <c r="O203" s="221" t="e">
        <f>VLOOKUP("suiza",#REF!,7,FALSE)</f>
        <v>#REF!</v>
      </c>
      <c r="P203" s="222" t="e">
        <f>VLOOKUP("suiza",#REF!,8,FALSE)/VLOOKUP("suiza",#REF!,8,FALSE)-1</f>
        <v>#REF!</v>
      </c>
      <c r="Q203" s="221" t="e">
        <f>VLOOKUP("suiza",#REF!,8,FALSE)</f>
        <v>#REF!</v>
      </c>
    </row>
    <row r="204" spans="3:17" ht="24" hidden="1" customHeight="1" thickBot="1" x14ac:dyDescent="0.25">
      <c r="C204" s="223" t="s">
        <v>39</v>
      </c>
      <c r="D204" s="222" t="e">
        <f>VLOOKUP("austria",#REF!,6,FALSE)/VLOOKUP("austria",#REF!,6,FALSE)-1</f>
        <v>#REF!</v>
      </c>
      <c r="E204" s="221" t="e">
        <f>VLOOKUP("austria",#REF!,6,FALSE)</f>
        <v>#REF!</v>
      </c>
      <c r="F204" s="222" t="e">
        <f>VLOOKUP("austria",#REF!,5,FALSE)/VLOOKUP("austria",#REF!,5,FALSE)-1</f>
        <v>#REF!</v>
      </c>
      <c r="G204" s="222"/>
      <c r="H204" s="222" t="e">
        <f>VLOOKUP("austria",#REF!,4,FALSE)/VLOOKUP("austria",#REF!,4,FALSE)-1</f>
        <v>#REF!</v>
      </c>
      <c r="I204" s="221" t="e">
        <f>VLOOKUP("austria",#REF!,4,FALSE)</f>
        <v>#REF!</v>
      </c>
      <c r="J204" s="222" t="e">
        <f>VLOOKUP("austria",#REF!,3,FALSE)/VLOOKUP("austria",#REF!,3,FALSE)-1</f>
        <v>#REF!</v>
      </c>
      <c r="K204" s="221" t="e">
        <f>VLOOKUP("austria",#REF!,3,FALSE)</f>
        <v>#REF!</v>
      </c>
      <c r="L204" s="222" t="e">
        <f>VLOOKUP("austria",#REF!,2,FALSE)/VLOOKUP("austria",#REF!,2,FALSE)-1</f>
        <v>#REF!</v>
      </c>
      <c r="M204" s="221" t="e">
        <f>VLOOKUP("austria",#REF!,2,FALSE)</f>
        <v>#REF!</v>
      </c>
      <c r="N204" s="222" t="e">
        <f>VLOOKUP("austria",#REF!,7,FALSE)/VLOOKUP("austria",#REF!,7,FALSE)-1</f>
        <v>#REF!</v>
      </c>
      <c r="O204" s="221" t="e">
        <f>VLOOKUP("austria",#REF!,7,FALSE)</f>
        <v>#REF!</v>
      </c>
      <c r="P204" s="222" t="e">
        <f>VLOOKUP("austria",#REF!,8,FALSE)/VLOOKUP("austria",#REF!,8,FALSE)-1</f>
        <v>#REF!</v>
      </c>
      <c r="Q204" s="221" t="e">
        <f>VLOOKUP("austria",#REF!,8,FALSE)</f>
        <v>#REF!</v>
      </c>
    </row>
    <row r="205" spans="3:17" ht="24" hidden="1" customHeight="1" thickBot="1" x14ac:dyDescent="0.25">
      <c r="C205" s="223" t="s">
        <v>38</v>
      </c>
      <c r="D205" s="222" t="e">
        <f>VLOOKUP("rusia",#REF!,6,FALSE)/VLOOKUP("rusia",#REF!,6,FALSE)-1</f>
        <v>#REF!</v>
      </c>
      <c r="E205" s="221" t="e">
        <f>VLOOKUP("rusia",#REF!,6,FALSE)</f>
        <v>#REF!</v>
      </c>
      <c r="F205" s="222" t="e">
        <f>VLOOKUP("rusia",#REF!,5,FALSE)/VLOOKUP("rusia",#REF!,5,FALSE)-1</f>
        <v>#REF!</v>
      </c>
      <c r="G205" s="222"/>
      <c r="H205" s="222" t="e">
        <f>VLOOKUP("rusia",#REF!,4,FALSE)/VLOOKUP("rusia",#REF!,4,FALSE)-1</f>
        <v>#REF!</v>
      </c>
      <c r="I205" s="221" t="e">
        <f>VLOOKUP("rusia",#REF!,4,FALSE)</f>
        <v>#REF!</v>
      </c>
      <c r="J205" s="222" t="e">
        <f>VLOOKUP("rusia",#REF!,3,FALSE)/VLOOKUP("rusia",#REF!,3,FALSE)-1</f>
        <v>#REF!</v>
      </c>
      <c r="K205" s="221" t="e">
        <f>VLOOKUP("rusia",#REF!,3,FALSE)</f>
        <v>#REF!</v>
      </c>
      <c r="L205" s="222" t="e">
        <f>VLOOKUP("rusia",#REF!,2,FALSE)/VLOOKUP("rusia",#REF!,2,FALSE)-1</f>
        <v>#REF!</v>
      </c>
      <c r="M205" s="221" t="e">
        <f>VLOOKUP("rusia",#REF!,2,FALSE)</f>
        <v>#REF!</v>
      </c>
      <c r="N205" s="222" t="e">
        <f>VLOOKUP("rusia",#REF!,7,FALSE)/VLOOKUP("rusia",#REF!,7,FALSE)-1</f>
        <v>#REF!</v>
      </c>
      <c r="O205" s="221" t="e">
        <f>VLOOKUP("rusia",#REF!,7,FALSE)</f>
        <v>#REF!</v>
      </c>
      <c r="P205" s="222" t="e">
        <f>VLOOKUP("rusia",#REF!,8,FALSE)/VLOOKUP("rusia",#REF!,8,FALSE)-1</f>
        <v>#REF!</v>
      </c>
      <c r="Q205" s="221" t="e">
        <f>VLOOKUP("rusia",#REF!,8,FALSE)</f>
        <v>#REF!</v>
      </c>
    </row>
    <row r="206" spans="3:17" ht="24" hidden="1" customHeight="1" thickBot="1" x14ac:dyDescent="0.25">
      <c r="C206" s="223" t="s">
        <v>37</v>
      </c>
      <c r="D206" s="222" t="e">
        <f>VLOOKUP("paises del este",#REF!,6,FALSE)/VLOOKUP("paises del este",#REF!,6,FALSE)-1</f>
        <v>#REF!</v>
      </c>
      <c r="E206" s="221" t="e">
        <f>VLOOKUP("paises del este",#REF!,6,FALSE)</f>
        <v>#REF!</v>
      </c>
      <c r="F206" s="222" t="e">
        <f>VLOOKUP("paises del este",#REF!,5,FALSE)/VLOOKUP("paises del este",#REF!,5,FALSE)-1</f>
        <v>#REF!</v>
      </c>
      <c r="G206" s="222"/>
      <c r="H206" s="222" t="e">
        <f>VLOOKUP("paises del este",#REF!,4,FALSE)/VLOOKUP("paises del este",#REF!,4,FALSE)-1</f>
        <v>#REF!</v>
      </c>
      <c r="I206" s="221" t="e">
        <f>VLOOKUP("paises del este",#REF!,4,FALSE)</f>
        <v>#REF!</v>
      </c>
      <c r="J206" s="222" t="e">
        <f>VLOOKUP("paises del este",#REF!,3,FALSE)/VLOOKUP("paises del este",#REF!,3,FALSE)-1</f>
        <v>#REF!</v>
      </c>
      <c r="K206" s="221" t="e">
        <f>VLOOKUP("paises del este",#REF!,3,FALSE)</f>
        <v>#REF!</v>
      </c>
      <c r="L206" s="222" t="e">
        <f>VLOOKUP("paises del este",#REF!,2,FALSE)/VLOOKUP("paises del este",#REF!,2,FALSE)-1</f>
        <v>#REF!</v>
      </c>
      <c r="M206" s="221" t="e">
        <f>VLOOKUP("paises del este",#REF!,2,FALSE)</f>
        <v>#REF!</v>
      </c>
      <c r="N206" s="222" t="e">
        <f>VLOOKUP("paises del este",#REF!,7,FALSE)/VLOOKUP("paises del este",#REF!,7,FALSE)-1</f>
        <v>#REF!</v>
      </c>
      <c r="O206" s="221" t="e">
        <f>VLOOKUP("paises del este",#REF!,7,FALSE)</f>
        <v>#REF!</v>
      </c>
      <c r="P206" s="222" t="e">
        <f>VLOOKUP("paises del este",#REF!,8,FALSE)/VLOOKUP("paises del este",#REF!,8,FALSE)-1</f>
        <v>#REF!</v>
      </c>
      <c r="Q206" s="221" t="e">
        <f>VLOOKUP("paises del este",#REF!,8,FALSE)</f>
        <v>#REF!</v>
      </c>
    </row>
    <row r="207" spans="3:17" ht="24" hidden="1" customHeight="1" thickBot="1" x14ac:dyDescent="0.25">
      <c r="C207" s="223" t="s">
        <v>36</v>
      </c>
      <c r="D207" s="222" t="e">
        <f>VLOOKUP("resto de europa",#REF!,6,FALSE)/VLOOKUP("resto de europa",#REF!,6,FALSE)-1</f>
        <v>#REF!</v>
      </c>
      <c r="E207" s="221" t="e">
        <f>VLOOKUP("resto de europa",#REF!,6,FALSE)</f>
        <v>#REF!</v>
      </c>
      <c r="F207" s="222" t="e">
        <f>VLOOKUP("resto de europa",#REF!,5,FALSE)/VLOOKUP("resto de europa",#REF!,5,FALSE)-1</f>
        <v>#REF!</v>
      </c>
      <c r="G207" s="222"/>
      <c r="H207" s="222" t="e">
        <f>VLOOKUP("resto de europa",#REF!,4,FALSE)/VLOOKUP("resto de europa",#REF!,4,FALSE)-1</f>
        <v>#REF!</v>
      </c>
      <c r="I207" s="221" t="e">
        <f>VLOOKUP("resto de europa",#REF!,4,FALSE)</f>
        <v>#REF!</v>
      </c>
      <c r="J207" s="222" t="e">
        <f>VLOOKUP("resto de europa",#REF!,3,FALSE)/VLOOKUP("resto de europa",#REF!,3,FALSE)-1</f>
        <v>#REF!</v>
      </c>
      <c r="K207" s="221" t="e">
        <f>VLOOKUP("resto de europa",#REF!,3,FALSE)</f>
        <v>#REF!</v>
      </c>
      <c r="L207" s="222" t="e">
        <f>VLOOKUP("resto de europa",#REF!,2,FALSE)/VLOOKUP("resto de europa",#REF!,2,FALSE)-1</f>
        <v>#REF!</v>
      </c>
      <c r="M207" s="221" t="e">
        <f>VLOOKUP("resto de europa",#REF!,2,FALSE)</f>
        <v>#REF!</v>
      </c>
      <c r="N207" s="222" t="e">
        <f>VLOOKUP("resto de europa",#REF!,7,FALSE)/VLOOKUP("resto de europa",#REF!,7,FALSE)-1</f>
        <v>#REF!</v>
      </c>
      <c r="O207" s="221" t="e">
        <f>VLOOKUP("resto de europa",#REF!,7,FALSE)</f>
        <v>#REF!</v>
      </c>
      <c r="P207" s="222" t="e">
        <f>VLOOKUP("resto de europa",#REF!,8,FALSE)/VLOOKUP("resto de europa",#REF!,8,FALSE)-1</f>
        <v>#REF!</v>
      </c>
      <c r="Q207" s="221" t="e">
        <f>VLOOKUP("resto de europa",#REF!,8,FALSE)</f>
        <v>#REF!</v>
      </c>
    </row>
    <row r="208" spans="3:17" ht="24" hidden="1" customHeight="1" thickBot="1" x14ac:dyDescent="0.25">
      <c r="C208" s="223" t="s">
        <v>35</v>
      </c>
      <c r="D208" s="222" t="e">
        <f>VLOOKUP("usa",#REF!,6,FALSE)/VLOOKUP("usa",#REF!,6,FALSE)-1</f>
        <v>#REF!</v>
      </c>
      <c r="E208" s="221" t="e">
        <f>VLOOKUP("usa",#REF!,6,FALSE)</f>
        <v>#REF!</v>
      </c>
      <c r="F208" s="222" t="e">
        <f>VLOOKUP("usa",#REF!,5,FALSE)/VLOOKUP("usa",#REF!,5,FALSE)-1</f>
        <v>#REF!</v>
      </c>
      <c r="G208" s="222"/>
      <c r="H208" s="222" t="e">
        <f>VLOOKUP("usa",#REF!,4,FALSE)/VLOOKUP("usa",#REF!,4,FALSE)-1</f>
        <v>#REF!</v>
      </c>
      <c r="I208" s="221" t="e">
        <f>VLOOKUP("usa",#REF!,4,FALSE)</f>
        <v>#REF!</v>
      </c>
      <c r="J208" s="222" t="e">
        <f>VLOOKUP("usa",#REF!,3,FALSE)/VLOOKUP("usa",#REF!,3,FALSE)-1</f>
        <v>#REF!</v>
      </c>
      <c r="K208" s="221" t="e">
        <f>VLOOKUP("usa",#REF!,3,FALSE)</f>
        <v>#REF!</v>
      </c>
      <c r="L208" s="222" t="e">
        <f>VLOOKUP("usa",#REF!,2,FALSE)/VLOOKUP("usa",#REF!,2,FALSE)-1</f>
        <v>#REF!</v>
      </c>
      <c r="M208" s="221" t="e">
        <f>VLOOKUP("usa",#REF!,2,FALSE)</f>
        <v>#REF!</v>
      </c>
      <c r="N208" s="222" t="e">
        <f>VLOOKUP("usa",#REF!,7,FALSE)/VLOOKUP("usa",#REF!,7,FALSE)-1</f>
        <v>#REF!</v>
      </c>
      <c r="O208" s="221" t="e">
        <f>VLOOKUP("usa",#REF!,7,FALSE)</f>
        <v>#REF!</v>
      </c>
      <c r="P208" s="222" t="e">
        <f>VLOOKUP("usa",#REF!,8,FALSE)/VLOOKUP("usa",#REF!,8,FALSE)-1</f>
        <v>#REF!</v>
      </c>
      <c r="Q208" s="221" t="e">
        <f>VLOOKUP("usa",#REF!,8,FALSE)</f>
        <v>#REF!</v>
      </c>
    </row>
    <row r="209" spans="3:18" ht="24" hidden="1" customHeight="1" thickBot="1" x14ac:dyDescent="0.25">
      <c r="C209" s="223" t="s">
        <v>34</v>
      </c>
      <c r="D209" s="222" t="e">
        <f>VLOOKUP("resto de america",#REF!,6,FALSE)/VLOOKUP("resto de america",#REF!,6,FALSE)-1</f>
        <v>#REF!</v>
      </c>
      <c r="E209" s="221" t="e">
        <f>VLOOKUP("resto de america",#REF!,6,FALSE)</f>
        <v>#REF!</v>
      </c>
      <c r="F209" s="222" t="e">
        <f>VLOOKUP("resto de america",#REF!,5,FALSE)/VLOOKUP("resto de america",#REF!,5,FALSE)-1</f>
        <v>#REF!</v>
      </c>
      <c r="G209" s="222"/>
      <c r="H209" s="222" t="e">
        <f>VLOOKUP("resto de america",#REF!,4,FALSE)/VLOOKUP("resto de america",#REF!,4,FALSE)-1</f>
        <v>#REF!</v>
      </c>
      <c r="I209" s="221" t="e">
        <f>VLOOKUP("resto de america",#REF!,4,FALSE)</f>
        <v>#REF!</v>
      </c>
      <c r="J209" s="222" t="e">
        <f>VLOOKUP("resto de america",#REF!,3,FALSE)/VLOOKUP("resto de america",#REF!,3,FALSE)-1</f>
        <v>#REF!</v>
      </c>
      <c r="K209" s="221" t="e">
        <f>VLOOKUP("resto de america",#REF!,3,FALSE)</f>
        <v>#REF!</v>
      </c>
      <c r="L209" s="222" t="e">
        <f>VLOOKUP("resto de america",#REF!,2,FALSE)/VLOOKUP("resto de america",#REF!,2,FALSE)-1</f>
        <v>#REF!</v>
      </c>
      <c r="M209" s="221" t="e">
        <f>VLOOKUP("resto de america",#REF!,2,FALSE)</f>
        <v>#REF!</v>
      </c>
      <c r="N209" s="222" t="e">
        <f>VLOOKUP("resto de america",#REF!,7,FALSE)/VLOOKUP("resto de america",#REF!,7,FALSE)-1</f>
        <v>#REF!</v>
      </c>
      <c r="O209" s="221" t="e">
        <f>VLOOKUP("resto de america",#REF!,7,FALSE)</f>
        <v>#REF!</v>
      </c>
      <c r="P209" s="222" t="e">
        <f>VLOOKUP("resto de america",#REF!,8,FALSE)/VLOOKUP("resto de america",#REF!,8,FALSE)-1</f>
        <v>#REF!</v>
      </c>
      <c r="Q209" s="221" t="e">
        <f>VLOOKUP("resto de america",#REF!,8,FALSE)</f>
        <v>#REF!</v>
      </c>
    </row>
    <row r="210" spans="3:18" ht="24" hidden="1" customHeight="1" thickBot="1" x14ac:dyDescent="0.25">
      <c r="C210" s="223" t="s">
        <v>33</v>
      </c>
      <c r="D210" s="222" t="e">
        <f>VLOOKUP("resto del mundo",#REF!,6,FALSE)/VLOOKUP("resto del mundo",#REF!,6,FALSE)-1</f>
        <v>#REF!</v>
      </c>
      <c r="E210" s="221" t="e">
        <f>VLOOKUP("resto del mundo",#REF!,6,FALSE)</f>
        <v>#REF!</v>
      </c>
      <c r="F210" s="222" t="e">
        <f>VLOOKUP("resto del mundo",#REF!,5,FALSE)/VLOOKUP("resto del mundo",#REF!,5,FALSE)-1</f>
        <v>#REF!</v>
      </c>
      <c r="G210" s="222"/>
      <c r="H210" s="222" t="e">
        <f>VLOOKUP("resto del mundo",#REF!,4,FALSE)/VLOOKUP("resto del mundo",#REF!,4,FALSE)-1</f>
        <v>#REF!</v>
      </c>
      <c r="I210" s="221" t="e">
        <f>VLOOKUP("resto del mundo",#REF!,4,FALSE)</f>
        <v>#REF!</v>
      </c>
      <c r="J210" s="222" t="e">
        <f>VLOOKUP("resto del mundo",#REF!,3,FALSE)/VLOOKUP("resto del mundo",#REF!,3,FALSE)-1</f>
        <v>#REF!</v>
      </c>
      <c r="K210" s="221" t="e">
        <f>VLOOKUP("resto del mundo",#REF!,3,FALSE)</f>
        <v>#REF!</v>
      </c>
      <c r="L210" s="222" t="e">
        <f>VLOOKUP("resto del mundo",#REF!,2,FALSE)/VLOOKUP("resto del mundo",#REF!,2,FALSE)-1</f>
        <v>#REF!</v>
      </c>
      <c r="M210" s="221" t="e">
        <f>VLOOKUP("resto del mundo",#REF!,2,FALSE)</f>
        <v>#REF!</v>
      </c>
      <c r="N210" s="222" t="e">
        <f>VLOOKUP("resto del mundo",#REF!,7,FALSE)/VLOOKUP("resto del mundo",#REF!,7,FALSE)-1</f>
        <v>#REF!</v>
      </c>
      <c r="O210" s="221" t="e">
        <f>VLOOKUP("resto del mundo",#REF!,7,FALSE)</f>
        <v>#REF!</v>
      </c>
      <c r="P210" s="222" t="e">
        <f>VLOOKUP("resto del mundo",#REF!,8,FALSE)/VLOOKUP("resto del mundo",#REF!,8,FALSE)-1</f>
        <v>#REF!</v>
      </c>
      <c r="Q210" s="221" t="e">
        <f>VLOOKUP("resto del mundo",#REF!,8,FALSE)</f>
        <v>#REF!</v>
      </c>
    </row>
    <row r="211" spans="3:18" ht="24" hidden="1" customHeight="1" thickBot="1" x14ac:dyDescent="0.25">
      <c r="C211" s="223" t="s">
        <v>32</v>
      </c>
      <c r="D211" s="222" t="e">
        <f>(VLOOKUP("total",#REF!,6,FALSE)-VLOOKUP("españa",#REF!,6,FALSE))/(VLOOKUP("total",#REF!,6,FALSE)-VLOOKUP("españa",#REF!,6,FALSE))-1</f>
        <v>#REF!</v>
      </c>
      <c r="E211" s="221" t="e">
        <f>VLOOKUP("total",#REF!,6,FALSE)-VLOOKUP("españa",#REF!,6,FALSE)</f>
        <v>#REF!</v>
      </c>
      <c r="F211" s="222" t="e">
        <f>(VLOOKUP("total",#REF!,5,FALSE)-VLOOKUP("españa",#REF!,5,FALSE))/(VLOOKUP("total",#REF!,5,FALSE)-VLOOKUP("españa",#REF!,5,FALSE))-1</f>
        <v>#REF!</v>
      </c>
      <c r="G211" s="222"/>
      <c r="H211" s="222" t="e">
        <f>(VLOOKUP("total",#REF!,4,FALSE)-VLOOKUP("españa",#REF!,4,FALSE))/(VLOOKUP("total",#REF!,4,FALSE)-VLOOKUP("españa",#REF!,4,FALSE))-1</f>
        <v>#REF!</v>
      </c>
      <c r="I211" s="221" t="e">
        <f>VLOOKUP("total",#REF!,4,FALSE)-VLOOKUP("españa",#REF!,4,FALSE)</f>
        <v>#REF!</v>
      </c>
      <c r="J211" s="222" t="e">
        <f>(VLOOKUP("total",#REF!,3,FALSE)-VLOOKUP("españa",#REF!,3,FALSE))/(VLOOKUP("total",#REF!,3,FALSE)-VLOOKUP("españa",#REF!,3,FALSE))-1</f>
        <v>#REF!</v>
      </c>
      <c r="K211" s="221" t="e">
        <f>VLOOKUP("total",#REF!,3,FALSE)-VLOOKUP("españa",#REF!,3,FALSE)</f>
        <v>#REF!</v>
      </c>
      <c r="L211" s="222" t="e">
        <f>(VLOOKUP("total",#REF!,2,FALSE)-VLOOKUP("españa",#REF!,2,FALSE))/(VLOOKUP("total",#REF!,2,FALSE)-VLOOKUP("españa",#REF!,2,FALSE))-1</f>
        <v>#REF!</v>
      </c>
      <c r="M211" s="221" t="e">
        <f>VLOOKUP("total",#REF!,2,FALSE)-VLOOKUP("españa",#REF!,2,FALSE)</f>
        <v>#REF!</v>
      </c>
      <c r="N211" s="222" t="e">
        <f>(VLOOKUP("total",#REF!,7,FALSE)-VLOOKUP("españa",#REF!,7,FALSE))/(VLOOKUP("total",#REF!,7,FALSE)-VLOOKUP("españa",#REF!,7,FALSE))-1</f>
        <v>#REF!</v>
      </c>
      <c r="O211" s="221" t="e">
        <f>VLOOKUP("total",#REF!,7,FALSE)-VLOOKUP("españa",#REF!,7,FALSE)</f>
        <v>#REF!</v>
      </c>
      <c r="P211" s="222" t="e">
        <f>(VLOOKUP("total",#REF!,8,FALSE)-VLOOKUP("españa",#REF!,8,FALSE))/(VLOOKUP("total",#REF!,8,FALSE)-VLOOKUP("españa",#REF!,8,FALSE))-1</f>
        <v>#REF!</v>
      </c>
      <c r="Q211" s="221" t="e">
        <f>VLOOKUP("total",#REF!,8,FALSE)-VLOOKUP("españa",#REF!,8,FALSE)</f>
        <v>#REF!</v>
      </c>
    </row>
    <row r="212" spans="3:18" ht="24" hidden="1" customHeight="1" thickBot="1" x14ac:dyDescent="0.25">
      <c r="C212" s="223" t="s">
        <v>7</v>
      </c>
      <c r="D212" s="222" t="e">
        <f>VLOOKUP("total",#REF!,6,FALSE)/VLOOKUP("total",#REF!,6,FALSE)-1</f>
        <v>#REF!</v>
      </c>
      <c r="E212" s="221" t="e">
        <f>VLOOKUP("total",#REF!,6,FALSE)</f>
        <v>#REF!</v>
      </c>
      <c r="F212" s="222" t="e">
        <f>VLOOKUP("total",#REF!,5,FALSE)/VLOOKUP("total",#REF!,5,FALSE)-1</f>
        <v>#REF!</v>
      </c>
      <c r="G212" s="222"/>
      <c r="H212" s="222" t="e">
        <f>VLOOKUP("total",#REF!,4,FALSE)/VLOOKUP("total",#REF!,4,FALSE)-1</f>
        <v>#REF!</v>
      </c>
      <c r="I212" s="221" t="e">
        <f>VLOOKUP("total",#REF!,4,FALSE)</f>
        <v>#REF!</v>
      </c>
      <c r="J212" s="222" t="e">
        <f>VLOOKUP("total",#REF!,3,FALSE)/VLOOKUP("total",#REF!,3,FALSE)-1</f>
        <v>#REF!</v>
      </c>
      <c r="K212" s="221" t="e">
        <f>VLOOKUP("total",#REF!,3,FALSE)</f>
        <v>#REF!</v>
      </c>
      <c r="L212" s="222" t="e">
        <f>VLOOKUP("total",#REF!,2,FALSE)/VLOOKUP("total",#REF!,2,FALSE)-1</f>
        <v>#REF!</v>
      </c>
      <c r="M212" s="221" t="e">
        <f>VLOOKUP("total",#REF!,2,FALSE)</f>
        <v>#REF!</v>
      </c>
      <c r="N212" s="222" t="e">
        <f>VLOOKUP("total",#REF!,7,FALSE)/VLOOKUP("total",#REF!,7,FALSE)-1</f>
        <v>#REF!</v>
      </c>
      <c r="O212" s="221" t="e">
        <f>VLOOKUP("total",#REF!,7,FALSE)</f>
        <v>#REF!</v>
      </c>
      <c r="P212" s="222" t="e">
        <f>VLOOKUP("total",#REF!,8,FALSE)/VLOOKUP("total",#REF!,8,FALSE)-1</f>
        <v>#REF!</v>
      </c>
      <c r="Q212" s="221" t="e">
        <f>VLOOKUP("total",#REF!,8,FALSE)</f>
        <v>#REF!</v>
      </c>
    </row>
    <row r="213" spans="3:18" ht="12.75" hidden="1" customHeight="1" thickBot="1" x14ac:dyDescent="0.2">
      <c r="C213" s="237"/>
      <c r="D213" s="236"/>
      <c r="E213" s="236"/>
      <c r="F213" s="236"/>
      <c r="G213" s="236"/>
      <c r="H213" s="236"/>
      <c r="I213" s="236"/>
      <c r="J213" s="236"/>
      <c r="K213" s="236"/>
      <c r="L213" s="236"/>
      <c r="M213" s="235"/>
    </row>
    <row r="214" spans="3:18" ht="35.25" hidden="1" customHeight="1" thickBot="1" x14ac:dyDescent="0.2">
      <c r="C214" s="234" t="s">
        <v>74</v>
      </c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2"/>
    </row>
    <row r="215" spans="3:18" ht="20.100000000000001" hidden="1" customHeight="1" thickBot="1" x14ac:dyDescent="0.25">
      <c r="C215" s="231" t="str">
        <f>I2</f>
        <v>acumulado marzo 2022</v>
      </c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29"/>
    </row>
    <row r="216" spans="3:18" ht="13.5" hidden="1" customHeight="1" thickBot="1" x14ac:dyDescent="0.25">
      <c r="C216" s="226"/>
      <c r="D216" s="228" t="s">
        <v>73</v>
      </c>
      <c r="E216" s="227"/>
      <c r="F216" s="228" t="s">
        <v>72</v>
      </c>
      <c r="G216" s="227"/>
      <c r="H216" s="228" t="s">
        <v>71</v>
      </c>
      <c r="I216" s="227"/>
      <c r="J216" s="228" t="s">
        <v>70</v>
      </c>
      <c r="K216" s="227"/>
      <c r="L216" s="228" t="s">
        <v>69</v>
      </c>
      <c r="M216" s="227"/>
      <c r="N216" s="228" t="s">
        <v>68</v>
      </c>
      <c r="O216" s="227"/>
      <c r="P216" s="228" t="s">
        <v>67</v>
      </c>
      <c r="Q216" s="227"/>
    </row>
    <row r="217" spans="3:18" ht="28.5" hidden="1" customHeight="1" thickBot="1" x14ac:dyDescent="0.25">
      <c r="C217" s="226"/>
      <c r="D217" s="225" t="s">
        <v>66</v>
      </c>
      <c r="E217" s="225" t="s">
        <v>65</v>
      </c>
      <c r="F217" s="225" t="s">
        <v>66</v>
      </c>
      <c r="G217" s="225"/>
      <c r="H217" s="225" t="s">
        <v>66</v>
      </c>
      <c r="I217" s="225" t="s">
        <v>65</v>
      </c>
      <c r="J217" s="225" t="s">
        <v>66</v>
      </c>
      <c r="K217" s="225" t="s">
        <v>65</v>
      </c>
      <c r="L217" s="225" t="s">
        <v>66</v>
      </c>
      <c r="M217" s="225" t="s">
        <v>65</v>
      </c>
      <c r="N217" s="225" t="s">
        <v>66</v>
      </c>
      <c r="O217" s="225" t="s">
        <v>65</v>
      </c>
      <c r="P217" s="225" t="s">
        <v>66</v>
      </c>
      <c r="Q217" s="225" t="s">
        <v>65</v>
      </c>
    </row>
    <row r="218" spans="3:18" ht="24" hidden="1" customHeight="1" thickBot="1" x14ac:dyDescent="0.25">
      <c r="C218" s="223" t="s">
        <v>56</v>
      </c>
      <c r="D218" s="222" t="e">
        <f>VLOOKUP("españa",#REF!,6,FALSE)/VLOOKUP("españa",#REF!,6,FALSE)-1</f>
        <v>#REF!</v>
      </c>
      <c r="E218" s="221" t="e">
        <f>VLOOKUP("españa",#REF!,6,FALSE)</f>
        <v>#REF!</v>
      </c>
      <c r="F218" s="222" t="e">
        <f>VLOOKUP("españa",#REF!,5,FALSE)/VLOOKUP("españa",#REF!,5,FALSE)-1</f>
        <v>#REF!</v>
      </c>
      <c r="G218" s="222"/>
      <c r="H218" s="222" t="e">
        <f>VLOOKUP("españa",#REF!,4,FALSE)/VLOOKUP("españa",#REF!,4,FALSE)-1</f>
        <v>#REF!</v>
      </c>
      <c r="I218" s="221" t="e">
        <f>VLOOKUP("españa",#REF!,4,FALSE)</f>
        <v>#REF!</v>
      </c>
      <c r="J218" s="222" t="e">
        <f>VLOOKUP("españa",#REF!,3,FALSE)/VLOOKUP("españa",#REF!,3,FALSE)-1</f>
        <v>#REF!</v>
      </c>
      <c r="K218" s="221" t="e">
        <f>VLOOKUP("españa",#REF!,3,FALSE)</f>
        <v>#REF!</v>
      </c>
      <c r="L218" s="222" t="e">
        <f>VLOOKUP("españa",#REF!,2,FALSE)/VLOOKUP("españa",#REF!,2,FALSE)-1</f>
        <v>#REF!</v>
      </c>
      <c r="M218" s="221" t="e">
        <f>VLOOKUP("españa",#REF!,2,FALSE)</f>
        <v>#REF!</v>
      </c>
      <c r="N218" s="222" t="e">
        <f>VLOOKUP("españa",#REF!,7,FALSE)/VLOOKUP("españa",#REF!,7,FALSE)-1</f>
        <v>#REF!</v>
      </c>
      <c r="O218" s="221" t="e">
        <f>VLOOKUP("españa",#REF!,7,FALSE)</f>
        <v>#REF!</v>
      </c>
      <c r="P218" s="222" t="e">
        <f>VLOOKUP("españa",#REF!,8,FALSE)/VLOOKUP("españa",#REF!,8,FALSE)-1</f>
        <v>#REF!</v>
      </c>
      <c r="Q218" s="221" t="e">
        <f>VLOOKUP("españa",#REF!,8,FALSE)</f>
        <v>#REF!</v>
      </c>
    </row>
    <row r="219" spans="3:18" ht="24" hidden="1" customHeight="1" thickBot="1" x14ac:dyDescent="0.25">
      <c r="C219" s="223" t="s">
        <v>52</v>
      </c>
      <c r="D219" s="222" t="e">
        <f>VLOOKUP("holanda",#REF!,6,FALSE)/VLOOKUP("holanda",#REF!,6,FALSE)-1</f>
        <v>#REF!</v>
      </c>
      <c r="E219" s="221" t="e">
        <f>VLOOKUP("holanda",#REF!,6,FALSE)</f>
        <v>#REF!</v>
      </c>
      <c r="F219" s="222" t="e">
        <f>VLOOKUP("holanda",#REF!,5,FALSE)/VLOOKUP("holanda",#REF!,5,FALSE)-1</f>
        <v>#REF!</v>
      </c>
      <c r="G219" s="222"/>
      <c r="H219" s="222" t="e">
        <f>VLOOKUP("holanda",#REF!,4,FALSE)/VLOOKUP("holanda",#REF!,4,FALSE)-1</f>
        <v>#REF!</v>
      </c>
      <c r="I219" s="221" t="e">
        <f>VLOOKUP("holanda",#REF!,4,FALSE)</f>
        <v>#REF!</v>
      </c>
      <c r="J219" s="222" t="e">
        <f>VLOOKUP("holanda",#REF!,3,FALSE)/VLOOKUP("holanda",#REF!,3,FALSE)-1</f>
        <v>#REF!</v>
      </c>
      <c r="K219" s="221" t="e">
        <f>VLOOKUP("holanda",#REF!,3,FALSE)</f>
        <v>#REF!</v>
      </c>
      <c r="L219" s="222" t="e">
        <f>VLOOKUP("holanda",#REF!,2,FALSE)/VLOOKUP("holanda",#REF!,2,FALSE)-1</f>
        <v>#REF!</v>
      </c>
      <c r="M219" s="221" t="e">
        <f>VLOOKUP("holanda",#REF!,2,FALSE)</f>
        <v>#REF!</v>
      </c>
      <c r="N219" s="222" t="e">
        <f>VLOOKUP("holanda",#REF!,7,FALSE)/VLOOKUP("holanda",#REF!,7,FALSE)-1</f>
        <v>#REF!</v>
      </c>
      <c r="O219" s="221" t="e">
        <f>VLOOKUP("holanda",#REF!,7,FALSE)</f>
        <v>#REF!</v>
      </c>
      <c r="P219" s="222" t="e">
        <f>VLOOKUP("holanda",#REF!,8,FALSE)/VLOOKUP("holanda",#REF!,8,FALSE)-1</f>
        <v>#REF!</v>
      </c>
      <c r="Q219" s="221" t="e">
        <f>VLOOKUP("holanda",#REF!,8,FALSE)</f>
        <v>#REF!</v>
      </c>
    </row>
    <row r="220" spans="3:18" ht="24" hidden="1" customHeight="1" thickBot="1" x14ac:dyDescent="0.25">
      <c r="C220" s="223" t="s">
        <v>51</v>
      </c>
      <c r="D220" s="222" t="e">
        <f>VLOOKUP("belgica",#REF!,6,FALSE)/VLOOKUP("belgica",#REF!,6,FALSE)-1</f>
        <v>#REF!</v>
      </c>
      <c r="E220" s="221" t="e">
        <f>VLOOKUP("belgica",#REF!,6,FALSE)</f>
        <v>#REF!</v>
      </c>
      <c r="F220" s="222" t="e">
        <f>VLOOKUP("belgica",#REF!,5,FALSE)/VLOOKUP("belgica",#REF!,5,FALSE)-1</f>
        <v>#REF!</v>
      </c>
      <c r="G220" s="222"/>
      <c r="H220" s="222" t="e">
        <f>VLOOKUP("belgica",#REF!,4,FALSE)/VLOOKUP("belgica",#REF!,4,FALSE)-1</f>
        <v>#REF!</v>
      </c>
      <c r="I220" s="221" t="e">
        <f>VLOOKUP("belgica",#REF!,4,FALSE)</f>
        <v>#REF!</v>
      </c>
      <c r="J220" s="222" t="e">
        <f>VLOOKUP("belgica",#REF!,3,FALSE)/VLOOKUP("belgica",#REF!,3,FALSE)-1</f>
        <v>#REF!</v>
      </c>
      <c r="K220" s="221" t="e">
        <f>VLOOKUP("belgica",#REF!,3,FALSE)</f>
        <v>#REF!</v>
      </c>
      <c r="L220" s="222" t="e">
        <f>VLOOKUP("belgica",#REF!,2,FALSE)/VLOOKUP("belgica",#REF!,2,FALSE)-1</f>
        <v>#REF!</v>
      </c>
      <c r="M220" s="221" t="e">
        <f>VLOOKUP("belgica",#REF!,2,FALSE)</f>
        <v>#REF!</v>
      </c>
      <c r="N220" s="222" t="e">
        <f>VLOOKUP("belgica",#REF!,7,FALSE)/VLOOKUP("belgica",#REF!,7,FALSE)-1</f>
        <v>#REF!</v>
      </c>
      <c r="O220" s="221" t="e">
        <f>VLOOKUP("belgica",#REF!,7,FALSE)</f>
        <v>#REF!</v>
      </c>
      <c r="P220" s="222" t="e">
        <f>VLOOKUP("belgica",#REF!,8,FALSE)/VLOOKUP("belgica",#REF!,8,FALSE)-1</f>
        <v>#REF!</v>
      </c>
      <c r="Q220" s="221" t="e">
        <f>VLOOKUP("belgica",#REF!,8,FALSE)</f>
        <v>#REF!</v>
      </c>
    </row>
    <row r="221" spans="3:18" ht="24" hidden="1" customHeight="1" thickBot="1" x14ac:dyDescent="0.25">
      <c r="C221" s="223" t="s">
        <v>50</v>
      </c>
      <c r="D221" s="222" t="e">
        <f>VLOOKUP("alemania",#REF!,6,FALSE)/VLOOKUP("alemania",#REF!,6,FALSE)-1</f>
        <v>#REF!</v>
      </c>
      <c r="E221" s="221" t="e">
        <f>VLOOKUP("alemania",#REF!,6,FALSE)</f>
        <v>#REF!</v>
      </c>
      <c r="F221" s="222" t="e">
        <f>VLOOKUP("alemania",#REF!,5,FALSE)/VLOOKUP("alemania",#REF!,5,FALSE)-1</f>
        <v>#REF!</v>
      </c>
      <c r="G221" s="222"/>
      <c r="H221" s="222" t="e">
        <f>VLOOKUP("alemania",#REF!,4,FALSE)/VLOOKUP("alemania",#REF!,4,FALSE)-1</f>
        <v>#REF!</v>
      </c>
      <c r="I221" s="221" t="e">
        <f>VLOOKUP("alemania",#REF!,4,FALSE)</f>
        <v>#REF!</v>
      </c>
      <c r="J221" s="222" t="e">
        <f>VLOOKUP("alemania",#REF!,3,FALSE)/VLOOKUP("alemania",#REF!,3,FALSE)-1</f>
        <v>#REF!</v>
      </c>
      <c r="K221" s="221" t="e">
        <f>VLOOKUP("alemania",#REF!,3,FALSE)</f>
        <v>#REF!</v>
      </c>
      <c r="L221" s="222" t="e">
        <f>VLOOKUP("alemania",#REF!,2,FALSE)/VLOOKUP("alemania",#REF!,2,FALSE)-1</f>
        <v>#REF!</v>
      </c>
      <c r="M221" s="221" t="e">
        <f>VLOOKUP("alemania",#REF!,2,FALSE)</f>
        <v>#REF!</v>
      </c>
      <c r="N221" s="222" t="e">
        <f>VLOOKUP("alemania",#REF!,7,FALSE)/VLOOKUP("alemania",#REF!,7,FALSE)-1</f>
        <v>#REF!</v>
      </c>
      <c r="O221" s="221" t="e">
        <f>VLOOKUP("alemania",#REF!,7,FALSE)</f>
        <v>#REF!</v>
      </c>
      <c r="P221" s="222" t="e">
        <f>VLOOKUP("alemania",#REF!,8,FALSE)/VLOOKUP("alemania",#REF!,8,FALSE)-1</f>
        <v>#REF!</v>
      </c>
      <c r="Q221" s="221" t="e">
        <f>VLOOKUP("alemania",#REF!,8,FALSE)</f>
        <v>#REF!</v>
      </c>
    </row>
    <row r="222" spans="3:18" ht="24" hidden="1" customHeight="1" thickBot="1" x14ac:dyDescent="0.25">
      <c r="C222" s="223" t="s">
        <v>49</v>
      </c>
      <c r="D222" s="222" t="e">
        <f>VLOOKUP("francia",#REF!,6,FALSE)/VLOOKUP("francia",#REF!,6,FALSE)-1</f>
        <v>#REF!</v>
      </c>
      <c r="E222" s="221" t="e">
        <f>VLOOKUP("francia",#REF!,6,FALSE)</f>
        <v>#REF!</v>
      </c>
      <c r="F222" s="222" t="e">
        <f>VLOOKUP("francia",#REF!,5,FALSE)/VLOOKUP("francia",#REF!,5,FALSE)-1</f>
        <v>#REF!</v>
      </c>
      <c r="G222" s="222"/>
      <c r="H222" s="222" t="e">
        <f>VLOOKUP("francia",#REF!,4,FALSE)/VLOOKUP("francia",#REF!,4,FALSE)-1</f>
        <v>#REF!</v>
      </c>
      <c r="I222" s="221" t="e">
        <f>VLOOKUP("francia",#REF!,4,FALSE)</f>
        <v>#REF!</v>
      </c>
      <c r="J222" s="222" t="e">
        <f>VLOOKUP("francia",#REF!,3,FALSE)/VLOOKUP("francia",#REF!,3,FALSE)-1</f>
        <v>#REF!</v>
      </c>
      <c r="K222" s="221" t="e">
        <f>VLOOKUP("francia",#REF!,3,FALSE)</f>
        <v>#REF!</v>
      </c>
      <c r="L222" s="222" t="e">
        <f>VLOOKUP("francia",#REF!,2,FALSE)/VLOOKUP("francia",#REF!,2,FALSE)-1</f>
        <v>#REF!</v>
      </c>
      <c r="M222" s="221" t="e">
        <f>VLOOKUP("francia",#REF!,2,FALSE)</f>
        <v>#REF!</v>
      </c>
      <c r="N222" s="222" t="e">
        <f>VLOOKUP("francia",#REF!,7,FALSE)/VLOOKUP("francia",#REF!,7,FALSE)-1</f>
        <v>#REF!</v>
      </c>
      <c r="O222" s="221" t="e">
        <f>VLOOKUP("francia",#REF!,7,FALSE)</f>
        <v>#REF!</v>
      </c>
      <c r="P222" s="222" t="e">
        <f>VLOOKUP("francia",#REF!,8,FALSE)/VLOOKUP("francia",#REF!,8,FALSE)-1</f>
        <v>#REF!</v>
      </c>
      <c r="Q222" s="221" t="e">
        <f>VLOOKUP("francia",#REF!,8,FALSE)</f>
        <v>#REF!</v>
      </c>
    </row>
    <row r="223" spans="3:18" ht="24" hidden="1" customHeight="1" thickBot="1" x14ac:dyDescent="0.25">
      <c r="C223" s="223" t="s">
        <v>48</v>
      </c>
      <c r="D223" s="222" t="e">
        <f>VLOOKUP("reino unido",#REF!,6,FALSE)/VLOOKUP("reino unido",#REF!,6,FALSE)-1</f>
        <v>#REF!</v>
      </c>
      <c r="E223" s="221" t="e">
        <f>VLOOKUP("reino unido",#REF!,6,FALSE)</f>
        <v>#REF!</v>
      </c>
      <c r="F223" s="222" t="e">
        <f>VLOOKUP("reino unido",#REF!,5,FALSE)/VLOOKUP("reino unido",#REF!,5,FALSE)-1</f>
        <v>#REF!</v>
      </c>
      <c r="G223" s="222"/>
      <c r="H223" s="222" t="e">
        <f>VLOOKUP("reino unido",#REF!,4,FALSE)/VLOOKUP("reino unido",#REF!,4,FALSE)-1</f>
        <v>#REF!</v>
      </c>
      <c r="I223" s="221" t="e">
        <f>VLOOKUP("reino unido",#REF!,4,FALSE)</f>
        <v>#REF!</v>
      </c>
      <c r="J223" s="222" t="e">
        <f>VLOOKUP("reino unido",#REF!,3,FALSE)/VLOOKUP("reino unido",#REF!,3,FALSE)-1</f>
        <v>#REF!</v>
      </c>
      <c r="K223" s="221" t="e">
        <f>VLOOKUP("reino unido",#REF!,3,FALSE)</f>
        <v>#REF!</v>
      </c>
      <c r="L223" s="222" t="e">
        <f>VLOOKUP("reino unido",#REF!,2,FALSE)/VLOOKUP("reino unido",#REF!,2,FALSE)-1</f>
        <v>#REF!</v>
      </c>
      <c r="M223" s="221" t="e">
        <f>VLOOKUP("reino unido",#REF!,2,FALSE)</f>
        <v>#REF!</v>
      </c>
      <c r="N223" s="222" t="e">
        <f>VLOOKUP("reino unido",#REF!,7,FALSE)/VLOOKUP("reino unido",#REF!,7,FALSE)-1</f>
        <v>#REF!</v>
      </c>
      <c r="O223" s="221" t="e">
        <f>VLOOKUP("reino unido",#REF!,7,FALSE)</f>
        <v>#REF!</v>
      </c>
      <c r="P223" s="222" t="e">
        <f>VLOOKUP("reino unido",#REF!,8,FALSE)/VLOOKUP("reino unido",#REF!,8,FALSE)-1</f>
        <v>#REF!</v>
      </c>
      <c r="Q223" s="221" t="e">
        <f>VLOOKUP("reino unido",#REF!,8,FALSE)</f>
        <v>#REF!</v>
      </c>
    </row>
    <row r="224" spans="3:18" ht="24" hidden="1" customHeight="1" thickBot="1" x14ac:dyDescent="0.25">
      <c r="C224" s="223" t="s">
        <v>47</v>
      </c>
      <c r="D224" s="222" t="e">
        <f>VLOOKUP("irlanda",#REF!,6,FALSE)/VLOOKUP("irlanda",#REF!,6,FALSE)-1</f>
        <v>#REF!</v>
      </c>
      <c r="E224" s="221" t="e">
        <f>VLOOKUP("irlanda",#REF!,6,FALSE)</f>
        <v>#REF!</v>
      </c>
      <c r="F224" s="222" t="e">
        <f>VLOOKUP("irlanda",#REF!,5,FALSE)/VLOOKUP("irlanda",#REF!,5,FALSE)-1</f>
        <v>#REF!</v>
      </c>
      <c r="G224" s="222"/>
      <c r="H224" s="222" t="e">
        <f>VLOOKUP("irlanda",#REF!,4,FALSE)/VLOOKUP("irlanda",#REF!,4,FALSE)-1</f>
        <v>#REF!</v>
      </c>
      <c r="I224" s="221" t="e">
        <f>VLOOKUP("irlanda",#REF!,4,FALSE)</f>
        <v>#REF!</v>
      </c>
      <c r="J224" s="222" t="e">
        <f>VLOOKUP("irlanda",#REF!,3,FALSE)/VLOOKUP("irlanda",#REF!,3,FALSE)-1</f>
        <v>#REF!</v>
      </c>
      <c r="K224" s="221" t="e">
        <f>VLOOKUP("irlanda",#REF!,3,FALSE)</f>
        <v>#REF!</v>
      </c>
      <c r="L224" s="222" t="e">
        <f>VLOOKUP("irlanda",#REF!,2,FALSE)/VLOOKUP("irlanda",#REF!,2,FALSE)-1</f>
        <v>#REF!</v>
      </c>
      <c r="M224" s="221" t="e">
        <f>VLOOKUP("irlanda",#REF!,2,FALSE)</f>
        <v>#REF!</v>
      </c>
      <c r="N224" s="222" t="e">
        <f>VLOOKUP("irlanda",#REF!,7,FALSE)/VLOOKUP("irlanda",#REF!,7,FALSE)-1</f>
        <v>#REF!</v>
      </c>
      <c r="O224" s="221" t="e">
        <f>VLOOKUP("irlanda",#REF!,7,FALSE)</f>
        <v>#REF!</v>
      </c>
      <c r="P224" s="222" t="e">
        <f>VLOOKUP("irlanda",#REF!,8,FALSE)/VLOOKUP("irlanda",#REF!,8,FALSE)-1</f>
        <v>#REF!</v>
      </c>
      <c r="Q224" s="221" t="e">
        <f>VLOOKUP("irlanda",#REF!,8,FALSE)</f>
        <v>#REF!</v>
      </c>
    </row>
    <row r="225" spans="3:17" ht="24" hidden="1" customHeight="1" thickBot="1" x14ac:dyDescent="0.25">
      <c r="C225" s="223" t="s">
        <v>46</v>
      </c>
      <c r="D225" s="222" t="e">
        <f>VLOOKUP("italia",#REF!,6,FALSE)/VLOOKUP("italia",#REF!,6,FALSE)-1</f>
        <v>#REF!</v>
      </c>
      <c r="E225" s="221" t="e">
        <f>VLOOKUP("italia",#REF!,6,FALSE)</f>
        <v>#REF!</v>
      </c>
      <c r="F225" s="222" t="e">
        <f>VLOOKUP("italia",#REF!,5,FALSE)/VLOOKUP("italia",#REF!,5,FALSE)-1</f>
        <v>#REF!</v>
      </c>
      <c r="G225" s="222"/>
      <c r="H225" s="222" t="e">
        <f>VLOOKUP("italia",#REF!,4,FALSE)/VLOOKUP("italia",#REF!,4,FALSE)-1</f>
        <v>#REF!</v>
      </c>
      <c r="I225" s="221" t="e">
        <f>VLOOKUP("italia",#REF!,4,FALSE)</f>
        <v>#REF!</v>
      </c>
      <c r="J225" s="222" t="e">
        <f>VLOOKUP("italia",#REF!,3,FALSE)/VLOOKUP("italia",#REF!,3,FALSE)-1</f>
        <v>#REF!</v>
      </c>
      <c r="K225" s="221" t="e">
        <f>VLOOKUP("italia",#REF!,3,FALSE)</f>
        <v>#REF!</v>
      </c>
      <c r="L225" s="222" t="e">
        <f>VLOOKUP("italia",#REF!,2,FALSE)/VLOOKUP("italia",#REF!,2,FALSE)-1</f>
        <v>#REF!</v>
      </c>
      <c r="M225" s="221" t="e">
        <f>VLOOKUP("italia",#REF!,2,FALSE)</f>
        <v>#REF!</v>
      </c>
      <c r="N225" s="222" t="e">
        <f>VLOOKUP("italia",#REF!,7,FALSE)/VLOOKUP("italia",#REF!,7,FALSE)-1</f>
        <v>#REF!</v>
      </c>
      <c r="O225" s="221" t="e">
        <f>VLOOKUP("italia",#REF!,7,FALSE)</f>
        <v>#REF!</v>
      </c>
      <c r="P225" s="222" t="e">
        <f>VLOOKUP("italia",#REF!,8,FALSE)/VLOOKUP("italia",#REF!,8,FALSE)-1</f>
        <v>#REF!</v>
      </c>
      <c r="Q225" s="221" t="e">
        <f>VLOOKUP("italia",#REF!,8,FALSE)</f>
        <v>#REF!</v>
      </c>
    </row>
    <row r="226" spans="3:17" ht="24" hidden="1" customHeight="1" thickBot="1" x14ac:dyDescent="0.25">
      <c r="C226" s="223" t="s">
        <v>45</v>
      </c>
      <c r="D226" s="222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221" t="e">
        <f>(VLOOKUP("suecia",#REF!,6,FALSE)+VLOOKUP("noruega",#REF!,6,FALSE)+VLOOKUP("dinamarca",#REF!,6,FALSE)+VLOOKUP("finlandia",#REF!,6,FALSE))</f>
        <v>#REF!</v>
      </c>
      <c r="F226" s="222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222"/>
      <c r="H226" s="222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221" t="e">
        <f>(VLOOKUP("suecia",#REF!,4,FALSE)+VLOOKUP("noruega",#REF!,4,FALSE)+VLOOKUP("dinamarca",#REF!,4,FALSE)+VLOOKUP("finlandia",#REF!,4,FALSE))</f>
        <v>#REF!</v>
      </c>
      <c r="J226" s="222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221" t="e">
        <f>(VLOOKUP("suecia",#REF!,3,FALSE)+VLOOKUP("noruega",#REF!,3,FALSE)+VLOOKUP("dinamarca",#REF!,3,FALSE)+VLOOKUP("finlandia",#REF!,3,FALSE))</f>
        <v>#REF!</v>
      </c>
      <c r="L226" s="222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221" t="e">
        <f>(VLOOKUP("suecia",#REF!,2,FALSE)+VLOOKUP("noruega",#REF!,2,FALSE)+VLOOKUP("dinamarca",#REF!,2,FALSE)+VLOOKUP("finlandia",#REF!,2,FALSE))</f>
        <v>#REF!</v>
      </c>
      <c r="N226" s="222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221" t="e">
        <f>(VLOOKUP("suecia",#REF!,7,FALSE)+VLOOKUP("noruega",#REF!,7,FALSE)+VLOOKUP("dinamarca",#REF!,7,FALSE)+VLOOKUP("finlandia",#REF!,7,FALSE))</f>
        <v>#REF!</v>
      </c>
      <c r="P226" s="222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221" t="e">
        <f>(VLOOKUP("suecia",#REF!,8,FALSE)+VLOOKUP("noruega",#REF!,8,FALSE)+VLOOKUP("dinamarca",#REF!,8,FALSE)+VLOOKUP("finlandia",#REF!,8,FALSE))</f>
        <v>#REF!</v>
      </c>
    </row>
    <row r="227" spans="3:17" ht="24" hidden="1" customHeight="1" thickBot="1" x14ac:dyDescent="0.25">
      <c r="C227" s="224" t="s">
        <v>44</v>
      </c>
      <c r="D227" s="222" t="e">
        <f>VLOOKUP("suecia",#REF!,6,FALSE)/VLOOKUP("suecia",#REF!,6,FALSE)-1</f>
        <v>#REF!</v>
      </c>
      <c r="E227" s="221" t="e">
        <f>VLOOKUP("suecia",#REF!,6,FALSE)</f>
        <v>#REF!</v>
      </c>
      <c r="F227" s="222" t="e">
        <f>VLOOKUP("suecia",#REF!,5,FALSE)/VLOOKUP("suecia",#REF!,5,FALSE)-1</f>
        <v>#REF!</v>
      </c>
      <c r="G227" s="222"/>
      <c r="H227" s="222" t="e">
        <f>VLOOKUP("suecia",#REF!,4,FALSE)/VLOOKUP("suecia",#REF!,4,FALSE)-1</f>
        <v>#REF!</v>
      </c>
      <c r="I227" s="221" t="e">
        <f>VLOOKUP("suecia",#REF!,4,FALSE)</f>
        <v>#REF!</v>
      </c>
      <c r="J227" s="222" t="e">
        <f>VLOOKUP("suecia",#REF!,3,FALSE)/VLOOKUP("suecia",#REF!,3,FALSE)-1</f>
        <v>#REF!</v>
      </c>
      <c r="K227" s="221" t="e">
        <f>VLOOKUP("suecia",#REF!,3,FALSE)</f>
        <v>#REF!</v>
      </c>
      <c r="L227" s="222" t="e">
        <f>VLOOKUP("suecia",#REF!,2,FALSE)/VLOOKUP("suecia",#REF!,2,FALSE)-1</f>
        <v>#REF!</v>
      </c>
      <c r="M227" s="221" t="e">
        <f>VLOOKUP("suecia",#REF!,2,FALSE)</f>
        <v>#REF!</v>
      </c>
      <c r="N227" s="222" t="e">
        <f>VLOOKUP("suecia",#REF!,7,FALSE)/VLOOKUP("suecia",#REF!,7,FALSE)-1</f>
        <v>#REF!</v>
      </c>
      <c r="O227" s="221" t="e">
        <f>VLOOKUP("suecia",#REF!,7,FALSE)</f>
        <v>#REF!</v>
      </c>
      <c r="P227" s="222" t="e">
        <f>VLOOKUP("suecia",#REF!,8,FALSE)/VLOOKUP("suecia",#REF!,8,FALSE)-1</f>
        <v>#REF!</v>
      </c>
      <c r="Q227" s="221" t="e">
        <f>VLOOKUP("suecia",#REF!,8,FALSE)</f>
        <v>#REF!</v>
      </c>
    </row>
    <row r="228" spans="3:17" ht="24" hidden="1" customHeight="1" thickBot="1" x14ac:dyDescent="0.25">
      <c r="C228" s="224" t="s">
        <v>43</v>
      </c>
      <c r="D228" s="222" t="e">
        <f>VLOOKUP("noruega",#REF!,6,FALSE)/VLOOKUP("noruega",#REF!,6,FALSE)-1</f>
        <v>#REF!</v>
      </c>
      <c r="E228" s="221" t="e">
        <f>VLOOKUP("noruega",#REF!,6,FALSE)</f>
        <v>#REF!</v>
      </c>
      <c r="F228" s="222" t="e">
        <f>VLOOKUP("noruega",#REF!,5,FALSE)/VLOOKUP("noruega",#REF!,5,FALSE)-1</f>
        <v>#REF!</v>
      </c>
      <c r="G228" s="222"/>
      <c r="H228" s="222" t="e">
        <f>VLOOKUP("noruega",#REF!,4,FALSE)/VLOOKUP("noruega",#REF!,4,FALSE)-1</f>
        <v>#REF!</v>
      </c>
      <c r="I228" s="221" t="e">
        <f>VLOOKUP("noruega",#REF!,4,FALSE)</f>
        <v>#REF!</v>
      </c>
      <c r="J228" s="222" t="e">
        <f>VLOOKUP("noruega",#REF!,3,FALSE)/VLOOKUP("noruega",#REF!,3,FALSE)-1</f>
        <v>#REF!</v>
      </c>
      <c r="K228" s="221" t="e">
        <f>VLOOKUP("noruega",#REF!,3,FALSE)</f>
        <v>#REF!</v>
      </c>
      <c r="L228" s="222" t="e">
        <f>VLOOKUP("noruega",#REF!,2,FALSE)/VLOOKUP("noruega",#REF!,2,FALSE)-1</f>
        <v>#REF!</v>
      </c>
      <c r="M228" s="221" t="e">
        <f>VLOOKUP("noruega",#REF!,2,FALSE)</f>
        <v>#REF!</v>
      </c>
      <c r="N228" s="222" t="e">
        <f>VLOOKUP("noruega",#REF!,7,FALSE)/VLOOKUP("noruega",#REF!,7,FALSE)-1</f>
        <v>#REF!</v>
      </c>
      <c r="O228" s="221" t="e">
        <f>VLOOKUP("noruega",#REF!,7,FALSE)</f>
        <v>#REF!</v>
      </c>
      <c r="P228" s="222" t="e">
        <f>VLOOKUP("noruega",#REF!,8,FALSE)/VLOOKUP("noruega",#REF!,8,FALSE)-1</f>
        <v>#REF!</v>
      </c>
      <c r="Q228" s="221" t="e">
        <f>VLOOKUP("noruega",#REF!,8,FALSE)</f>
        <v>#REF!</v>
      </c>
    </row>
    <row r="229" spans="3:17" ht="24" hidden="1" customHeight="1" thickBot="1" x14ac:dyDescent="0.25">
      <c r="C229" s="224" t="s">
        <v>42</v>
      </c>
      <c r="D229" s="222" t="e">
        <f>VLOOKUP("dinamarca",#REF!,6,FALSE)/VLOOKUP("dinamarca",#REF!,6,FALSE)-1</f>
        <v>#REF!</v>
      </c>
      <c r="E229" s="221" t="e">
        <f>VLOOKUP("dinamarca",#REF!,6,FALSE)</f>
        <v>#REF!</v>
      </c>
      <c r="F229" s="222" t="e">
        <f>VLOOKUP("dinamarca",#REF!,5,FALSE)/VLOOKUP("dinamarca",#REF!,5,FALSE)-1</f>
        <v>#REF!</v>
      </c>
      <c r="G229" s="222"/>
      <c r="H229" s="222" t="e">
        <f>VLOOKUP("dinamarca",#REF!,4,FALSE)/VLOOKUP("dinamarca",#REF!,4,FALSE)-1</f>
        <v>#REF!</v>
      </c>
      <c r="I229" s="221" t="e">
        <f>VLOOKUP("dinamarca",#REF!,4,FALSE)</f>
        <v>#REF!</v>
      </c>
      <c r="J229" s="222" t="e">
        <f>VLOOKUP("dinamarca",#REF!,3,FALSE)/VLOOKUP("dinamarca",#REF!,3,FALSE)-1</f>
        <v>#REF!</v>
      </c>
      <c r="K229" s="221" t="e">
        <f>VLOOKUP("dinamarca",#REF!,3,FALSE)</f>
        <v>#REF!</v>
      </c>
      <c r="L229" s="222" t="e">
        <f>VLOOKUP("dinamarca",#REF!,2,FALSE)/VLOOKUP("dinamarca",#REF!,2,FALSE)-1</f>
        <v>#REF!</v>
      </c>
      <c r="M229" s="221" t="e">
        <f>VLOOKUP("dinamarca",#REF!,2,FALSE)</f>
        <v>#REF!</v>
      </c>
      <c r="N229" s="222" t="e">
        <f>VLOOKUP("dinamarca",#REF!,7,FALSE)/VLOOKUP("dinamarca",#REF!,7,FALSE)-1</f>
        <v>#REF!</v>
      </c>
      <c r="O229" s="221" t="e">
        <f>VLOOKUP("dinamarca",#REF!,7,FALSE)</f>
        <v>#REF!</v>
      </c>
      <c r="P229" s="222" t="e">
        <f>VLOOKUP("dinamarca",#REF!,8,FALSE)/VLOOKUP("dinamarca",#REF!,8,FALSE)-1</f>
        <v>#REF!</v>
      </c>
      <c r="Q229" s="221" t="e">
        <f>VLOOKUP("dinamarca",#REF!,8,FALSE)</f>
        <v>#REF!</v>
      </c>
    </row>
    <row r="230" spans="3:17" ht="24" hidden="1" customHeight="1" thickBot="1" x14ac:dyDescent="0.25">
      <c r="C230" s="224" t="s">
        <v>41</v>
      </c>
      <c r="D230" s="222" t="s">
        <v>64</v>
      </c>
      <c r="E230" s="221" t="e">
        <f>VLOOKUP("finlandia",#REF!,6,FALSE)</f>
        <v>#REF!</v>
      </c>
      <c r="F230" s="222" t="e">
        <f>VLOOKUP("finlandia",#REF!,5,FALSE)/VLOOKUP("finlandia",#REF!,5,FALSE)-1</f>
        <v>#REF!</v>
      </c>
      <c r="G230" s="222"/>
      <c r="H230" s="222" t="e">
        <f>VLOOKUP("finlandia",#REF!,4,FALSE)/VLOOKUP("finlandia",#REF!,4,FALSE)-1</f>
        <v>#REF!</v>
      </c>
      <c r="I230" s="221" t="e">
        <f>VLOOKUP("finlandia",#REF!,4,FALSE)</f>
        <v>#REF!</v>
      </c>
      <c r="J230" s="222" t="e">
        <f>VLOOKUP("finlandia",#REF!,3,FALSE)/VLOOKUP("finlandia",#REF!,3,FALSE)-1</f>
        <v>#REF!</v>
      </c>
      <c r="K230" s="221" t="e">
        <f>VLOOKUP("finlandia",#REF!,3,FALSE)</f>
        <v>#REF!</v>
      </c>
      <c r="L230" s="222" t="s">
        <v>64</v>
      </c>
      <c r="M230" s="221" t="e">
        <f>VLOOKUP("finlandia",#REF!,2,FALSE)</f>
        <v>#REF!</v>
      </c>
      <c r="N230" s="222" t="e">
        <f>VLOOKUP("finlandia",#REF!,7,FALSE)/VLOOKUP("finlandia",#REF!,7,FALSE)-1</f>
        <v>#REF!</v>
      </c>
      <c r="O230" s="221" t="e">
        <f>VLOOKUP("finlandia",#REF!,7,FALSE)</f>
        <v>#REF!</v>
      </c>
      <c r="P230" s="222" t="e">
        <f>VLOOKUP("finlandia",#REF!,8,FALSE)/VLOOKUP("finlandia",#REF!,8,FALSE)-1</f>
        <v>#REF!</v>
      </c>
      <c r="Q230" s="221" t="e">
        <f>VLOOKUP("finlandia",#REF!,8,FALSE)</f>
        <v>#REF!</v>
      </c>
    </row>
    <row r="231" spans="3:17" ht="24" hidden="1" customHeight="1" thickBot="1" x14ac:dyDescent="0.25">
      <c r="C231" s="223" t="s">
        <v>40</v>
      </c>
      <c r="D231" s="222" t="e">
        <f>VLOOKUP("suiza",#REF!,6,FALSE)/VLOOKUP("suiza",#REF!,6,FALSE)-1</f>
        <v>#REF!</v>
      </c>
      <c r="E231" s="221" t="e">
        <f>VLOOKUP("suiza",#REF!,6,FALSE)</f>
        <v>#REF!</v>
      </c>
      <c r="F231" s="222" t="e">
        <f>VLOOKUP("suiza",#REF!,5,FALSE)/VLOOKUP("suiza",#REF!,5,FALSE)-1</f>
        <v>#REF!</v>
      </c>
      <c r="G231" s="222"/>
      <c r="H231" s="222" t="e">
        <f>VLOOKUP("suiza",#REF!,4,FALSE)/VLOOKUP("suiza",#REF!,4,FALSE)-1</f>
        <v>#REF!</v>
      </c>
      <c r="I231" s="221" t="e">
        <f>VLOOKUP("suiza",#REF!,4,FALSE)</f>
        <v>#REF!</v>
      </c>
      <c r="J231" s="222" t="e">
        <f>VLOOKUP("suiza",#REF!,3,FALSE)/VLOOKUP("suiza",#REF!,3,FALSE)-1</f>
        <v>#REF!</v>
      </c>
      <c r="K231" s="221" t="e">
        <f>VLOOKUP("suiza",#REF!,3,FALSE)</f>
        <v>#REF!</v>
      </c>
      <c r="L231" s="222" t="e">
        <f>VLOOKUP("suiza",#REF!,2,FALSE)/VLOOKUP("suiza",#REF!,2,FALSE)-1</f>
        <v>#REF!</v>
      </c>
      <c r="M231" s="221" t="e">
        <f>VLOOKUP("suiza",#REF!,2,FALSE)</f>
        <v>#REF!</v>
      </c>
      <c r="N231" s="222" t="e">
        <f>VLOOKUP("suiza",#REF!,7,FALSE)/VLOOKUP("suiza",#REF!,7,FALSE)-1</f>
        <v>#REF!</v>
      </c>
      <c r="O231" s="221" t="e">
        <f>VLOOKUP("suiza",#REF!,7,FALSE)</f>
        <v>#REF!</v>
      </c>
      <c r="P231" s="222" t="e">
        <f>VLOOKUP("suiza",#REF!,8,FALSE)/VLOOKUP("suiza",#REF!,8,FALSE)-1</f>
        <v>#REF!</v>
      </c>
      <c r="Q231" s="221" t="e">
        <f>VLOOKUP("suiza",#REF!,8,FALSE)</f>
        <v>#REF!</v>
      </c>
    </row>
    <row r="232" spans="3:17" ht="24" hidden="1" customHeight="1" thickBot="1" x14ac:dyDescent="0.25">
      <c r="C232" s="223" t="s">
        <v>39</v>
      </c>
      <c r="D232" s="222" t="e">
        <f>VLOOKUP("austria",#REF!,6,FALSE)/VLOOKUP("austria",#REF!,6,FALSE)-1</f>
        <v>#REF!</v>
      </c>
      <c r="E232" s="221" t="e">
        <f>VLOOKUP("austria",#REF!,6,FALSE)</f>
        <v>#REF!</v>
      </c>
      <c r="F232" s="222" t="e">
        <f>VLOOKUP("austria",#REF!,5,FALSE)/VLOOKUP("austria",#REF!,5,FALSE)-1</f>
        <v>#REF!</v>
      </c>
      <c r="G232" s="222"/>
      <c r="H232" s="222" t="e">
        <f>VLOOKUP("austria",#REF!,4,FALSE)/VLOOKUP("austria",#REF!,4,FALSE)-1</f>
        <v>#REF!</v>
      </c>
      <c r="I232" s="221" t="e">
        <f>VLOOKUP("austria",#REF!,4,FALSE)</f>
        <v>#REF!</v>
      </c>
      <c r="J232" s="222" t="e">
        <f>VLOOKUP("austria",#REF!,3,FALSE)/VLOOKUP("austria",#REF!,3,FALSE)-1</f>
        <v>#REF!</v>
      </c>
      <c r="K232" s="221" t="e">
        <f>VLOOKUP("austria",#REF!,3,FALSE)</f>
        <v>#REF!</v>
      </c>
      <c r="L232" s="222" t="e">
        <f>VLOOKUP("austria",#REF!,2,FALSE)/VLOOKUP("austria",#REF!,2,FALSE)-1</f>
        <v>#REF!</v>
      </c>
      <c r="M232" s="221" t="e">
        <f>VLOOKUP("austria",#REF!,2,FALSE)</f>
        <v>#REF!</v>
      </c>
      <c r="N232" s="222" t="e">
        <f>VLOOKUP("austria",#REF!,7,FALSE)/VLOOKUP("austria",#REF!,7,FALSE)-1</f>
        <v>#REF!</v>
      </c>
      <c r="O232" s="221" t="e">
        <f>VLOOKUP("austria",#REF!,7,FALSE)</f>
        <v>#REF!</v>
      </c>
      <c r="P232" s="222" t="e">
        <f>VLOOKUP("austria",#REF!,8,FALSE)/VLOOKUP("austria",#REF!,8,FALSE)-1</f>
        <v>#REF!</v>
      </c>
      <c r="Q232" s="221" t="e">
        <f>VLOOKUP("austria",#REF!,8,FALSE)</f>
        <v>#REF!</v>
      </c>
    </row>
    <row r="233" spans="3:17" ht="24" hidden="1" customHeight="1" thickBot="1" x14ac:dyDescent="0.25">
      <c r="C233" s="223" t="s">
        <v>38</v>
      </c>
      <c r="D233" s="222" t="e">
        <f>VLOOKUP("rusia",#REF!,6,FALSE)/VLOOKUP("rusia",#REF!,6,FALSE)-1</f>
        <v>#REF!</v>
      </c>
      <c r="E233" s="221" t="e">
        <f>VLOOKUP("rusia",#REF!,6,FALSE)</f>
        <v>#REF!</v>
      </c>
      <c r="F233" s="222" t="e">
        <f>VLOOKUP("rusia",#REF!,5,FALSE)/VLOOKUP("rusia",#REF!,5,FALSE)-1</f>
        <v>#REF!</v>
      </c>
      <c r="G233" s="222"/>
      <c r="H233" s="222" t="e">
        <f>VLOOKUP("rusia",#REF!,4,FALSE)/VLOOKUP("rusia",#REF!,4,FALSE)-1</f>
        <v>#REF!</v>
      </c>
      <c r="I233" s="221" t="e">
        <f>VLOOKUP("rusia",#REF!,4,FALSE)</f>
        <v>#REF!</v>
      </c>
      <c r="J233" s="222" t="e">
        <f>VLOOKUP("rusia",#REF!,3,FALSE)/VLOOKUP("rusia",#REF!,3,FALSE)-1</f>
        <v>#REF!</v>
      </c>
      <c r="K233" s="221" t="e">
        <f>VLOOKUP("rusia",#REF!,3,FALSE)</f>
        <v>#REF!</v>
      </c>
      <c r="L233" s="222" t="e">
        <f>VLOOKUP("rusia",#REF!,2,FALSE)/VLOOKUP("rusia",#REF!,2,FALSE)-1</f>
        <v>#REF!</v>
      </c>
      <c r="M233" s="221" t="e">
        <f>VLOOKUP("rusia",#REF!,2,FALSE)</f>
        <v>#REF!</v>
      </c>
      <c r="N233" s="222" t="e">
        <f>VLOOKUP("rusia",#REF!,7,FALSE)/VLOOKUP("rusia",#REF!,7,FALSE)-1</f>
        <v>#REF!</v>
      </c>
      <c r="O233" s="221" t="e">
        <f>VLOOKUP("rusia",#REF!,7,FALSE)</f>
        <v>#REF!</v>
      </c>
      <c r="P233" s="222" t="e">
        <f>VLOOKUP("rusia",#REF!,8,FALSE)/VLOOKUP("rusia",#REF!,8,FALSE)-1</f>
        <v>#REF!</v>
      </c>
      <c r="Q233" s="221" t="e">
        <f>VLOOKUP("rusia",#REF!,8,FALSE)</f>
        <v>#REF!</v>
      </c>
    </row>
    <row r="234" spans="3:17" ht="24" hidden="1" customHeight="1" thickBot="1" x14ac:dyDescent="0.25">
      <c r="C234" s="223" t="s">
        <v>37</v>
      </c>
      <c r="D234" s="222" t="e">
        <f>VLOOKUP("paises del este",#REF!,6,FALSE)/VLOOKUP("paises del este",#REF!,6,FALSE)-1</f>
        <v>#REF!</v>
      </c>
      <c r="E234" s="221" t="e">
        <f>VLOOKUP("paises del este",#REF!,6,FALSE)</f>
        <v>#REF!</v>
      </c>
      <c r="F234" s="222" t="e">
        <f>VLOOKUP("paises del este",#REF!,5,FALSE)/VLOOKUP("paises del este",#REF!,5,FALSE)-1</f>
        <v>#REF!</v>
      </c>
      <c r="G234" s="222"/>
      <c r="H234" s="222" t="e">
        <f>VLOOKUP("paises del este",#REF!,4,FALSE)/VLOOKUP("paises del este",#REF!,4,FALSE)-1</f>
        <v>#REF!</v>
      </c>
      <c r="I234" s="221" t="e">
        <f>VLOOKUP("paises del este",#REF!,4,FALSE)</f>
        <v>#REF!</v>
      </c>
      <c r="J234" s="222" t="e">
        <f>VLOOKUP("paises del este",#REF!,3,FALSE)/VLOOKUP("paises del este",#REF!,3,FALSE)-1</f>
        <v>#REF!</v>
      </c>
      <c r="K234" s="221" t="e">
        <f>VLOOKUP("paises del este",#REF!,3,FALSE)</f>
        <v>#REF!</v>
      </c>
      <c r="L234" s="222" t="e">
        <f>VLOOKUP("paises del este",#REF!,2,FALSE)/VLOOKUP("paises del este",#REF!,2,FALSE)-1</f>
        <v>#REF!</v>
      </c>
      <c r="M234" s="221" t="e">
        <f>VLOOKUP("paises del este",#REF!,2,FALSE)</f>
        <v>#REF!</v>
      </c>
      <c r="N234" s="222" t="e">
        <f>VLOOKUP("paises del este",#REF!,7,FALSE)/VLOOKUP("paises del este",#REF!,7,FALSE)-1</f>
        <v>#REF!</v>
      </c>
      <c r="O234" s="221" t="e">
        <f>VLOOKUP("paises del este",#REF!,7,FALSE)</f>
        <v>#REF!</v>
      </c>
      <c r="P234" s="222" t="e">
        <f>VLOOKUP("paises del este",#REF!,8,FALSE)/VLOOKUP("paises del este",#REF!,8,FALSE)-1</f>
        <v>#REF!</v>
      </c>
      <c r="Q234" s="221" t="e">
        <f>VLOOKUP("paises del este",#REF!,8,FALSE)</f>
        <v>#REF!</v>
      </c>
    </row>
    <row r="235" spans="3:17" ht="24" hidden="1" customHeight="1" thickBot="1" x14ac:dyDescent="0.25">
      <c r="C235" s="223" t="s">
        <v>36</v>
      </c>
      <c r="D235" s="222" t="e">
        <f>VLOOKUP("resto de europa",#REF!,6,FALSE)/VLOOKUP("resto de europa",#REF!,6,FALSE)-1</f>
        <v>#REF!</v>
      </c>
      <c r="E235" s="221" t="e">
        <f>VLOOKUP("resto de europa",#REF!,6,FALSE)</f>
        <v>#REF!</v>
      </c>
      <c r="F235" s="222" t="e">
        <f>VLOOKUP("resto de europa",#REF!,5,FALSE)/VLOOKUP("resto de europa",#REF!,5,FALSE)-1</f>
        <v>#REF!</v>
      </c>
      <c r="G235" s="222"/>
      <c r="H235" s="222" t="e">
        <f>VLOOKUP("resto de europa",#REF!,4,FALSE)/VLOOKUP("resto de europa",#REF!,4,FALSE)-1</f>
        <v>#REF!</v>
      </c>
      <c r="I235" s="221" t="e">
        <f>VLOOKUP("resto de europa",#REF!,4,FALSE)</f>
        <v>#REF!</v>
      </c>
      <c r="J235" s="222" t="e">
        <f>VLOOKUP("resto de europa",#REF!,3,FALSE)/VLOOKUP("resto de europa",#REF!,3,FALSE)-1</f>
        <v>#REF!</v>
      </c>
      <c r="K235" s="221" t="e">
        <f>VLOOKUP("resto de europa",#REF!,3,FALSE)</f>
        <v>#REF!</v>
      </c>
      <c r="L235" s="222" t="e">
        <f>VLOOKUP("resto de europa",#REF!,2,FALSE)/VLOOKUP("resto de europa",#REF!,2,FALSE)-1</f>
        <v>#REF!</v>
      </c>
      <c r="M235" s="221" t="e">
        <f>VLOOKUP("resto de europa",#REF!,2,FALSE)</f>
        <v>#REF!</v>
      </c>
      <c r="N235" s="222" t="e">
        <f>VLOOKUP("resto de europa",#REF!,7,FALSE)/VLOOKUP("resto de europa",#REF!,7,FALSE)-1</f>
        <v>#REF!</v>
      </c>
      <c r="O235" s="221" t="e">
        <f>VLOOKUP("resto de europa",#REF!,7,FALSE)</f>
        <v>#REF!</v>
      </c>
      <c r="P235" s="222" t="e">
        <f>VLOOKUP("resto de europa",#REF!,8,FALSE)/VLOOKUP("resto de europa",#REF!,8,FALSE)-1</f>
        <v>#REF!</v>
      </c>
      <c r="Q235" s="221" t="e">
        <f>VLOOKUP("resto de europa",#REF!,8,FALSE)</f>
        <v>#REF!</v>
      </c>
    </row>
    <row r="236" spans="3:17" ht="24" hidden="1" customHeight="1" thickBot="1" x14ac:dyDescent="0.25">
      <c r="C236" s="223" t="s">
        <v>35</v>
      </c>
      <c r="D236" s="222" t="e">
        <f>VLOOKUP("usa",#REF!,6,FALSE)/VLOOKUP("usa",#REF!,6,FALSE)-1</f>
        <v>#REF!</v>
      </c>
      <c r="E236" s="221" t="e">
        <f>VLOOKUP("usa",#REF!,6,FALSE)</f>
        <v>#REF!</v>
      </c>
      <c r="F236" s="222" t="e">
        <f>VLOOKUP("usa",#REF!,5,FALSE)/VLOOKUP("usa",#REF!,5,FALSE)-1</f>
        <v>#REF!</v>
      </c>
      <c r="G236" s="222"/>
      <c r="H236" s="222" t="e">
        <f>VLOOKUP("usa",#REF!,4,FALSE)/VLOOKUP("usa",#REF!,4,FALSE)-1</f>
        <v>#REF!</v>
      </c>
      <c r="I236" s="221" t="e">
        <f>VLOOKUP("usa",#REF!,4,FALSE)</f>
        <v>#REF!</v>
      </c>
      <c r="J236" s="222" t="e">
        <f>VLOOKUP("usa",#REF!,3,FALSE)/VLOOKUP("usa",#REF!,3,FALSE)-1</f>
        <v>#REF!</v>
      </c>
      <c r="K236" s="221" t="e">
        <f>VLOOKUP("usa",#REF!,3,FALSE)</f>
        <v>#REF!</v>
      </c>
      <c r="L236" s="222" t="e">
        <f>VLOOKUP("usa",#REF!,2,FALSE)/VLOOKUP("usa",#REF!,2,FALSE)-1</f>
        <v>#REF!</v>
      </c>
      <c r="M236" s="221" t="e">
        <f>VLOOKUP("usa",#REF!,2,FALSE)</f>
        <v>#REF!</v>
      </c>
      <c r="N236" s="222" t="e">
        <f>VLOOKUP("usa",#REF!,7,FALSE)/VLOOKUP("usa",#REF!,7,FALSE)-1</f>
        <v>#REF!</v>
      </c>
      <c r="O236" s="221" t="e">
        <f>VLOOKUP("usa",#REF!,7,FALSE)</f>
        <v>#REF!</v>
      </c>
      <c r="P236" s="222" t="e">
        <f>VLOOKUP("usa",#REF!,8,FALSE)/VLOOKUP("usa",#REF!,8,FALSE)-1</f>
        <v>#REF!</v>
      </c>
      <c r="Q236" s="221" t="e">
        <f>VLOOKUP("usa",#REF!,8,FALSE)</f>
        <v>#REF!</v>
      </c>
    </row>
    <row r="237" spans="3:17" ht="24" hidden="1" customHeight="1" thickBot="1" x14ac:dyDescent="0.25">
      <c r="C237" s="223" t="s">
        <v>34</v>
      </c>
      <c r="D237" s="222" t="e">
        <f>VLOOKUP("resto de america",#REF!,6,FALSE)/VLOOKUP("resto de america",#REF!,6,FALSE)-1</f>
        <v>#REF!</v>
      </c>
      <c r="E237" s="221" t="e">
        <f>VLOOKUP("resto de america",#REF!,6,FALSE)</f>
        <v>#REF!</v>
      </c>
      <c r="F237" s="222" t="e">
        <f>VLOOKUP("resto de america",#REF!,5,FALSE)/VLOOKUP("resto de america",#REF!,5,FALSE)-1</f>
        <v>#REF!</v>
      </c>
      <c r="G237" s="222"/>
      <c r="H237" s="222" t="e">
        <f>VLOOKUP("resto de america",#REF!,4,FALSE)/VLOOKUP("resto de america",#REF!,4,FALSE)-1</f>
        <v>#REF!</v>
      </c>
      <c r="I237" s="221" t="e">
        <f>VLOOKUP("resto de america",#REF!,4,FALSE)</f>
        <v>#REF!</v>
      </c>
      <c r="J237" s="222" t="e">
        <f>VLOOKUP("resto de america",#REF!,3,FALSE)/VLOOKUP("resto de america",#REF!,3,FALSE)-1</f>
        <v>#REF!</v>
      </c>
      <c r="K237" s="221" t="e">
        <f>VLOOKUP("resto de america",#REF!,3,FALSE)</f>
        <v>#REF!</v>
      </c>
      <c r="L237" s="222" t="e">
        <f>VLOOKUP("resto de america",#REF!,2,FALSE)/VLOOKUP("resto de america",#REF!,2,FALSE)-1</f>
        <v>#REF!</v>
      </c>
      <c r="M237" s="221" t="e">
        <f>VLOOKUP("resto de america",#REF!,2,FALSE)</f>
        <v>#REF!</v>
      </c>
      <c r="N237" s="222" t="e">
        <f>VLOOKUP("resto de america",#REF!,7,FALSE)/VLOOKUP("resto de america",#REF!,7,FALSE)-1</f>
        <v>#REF!</v>
      </c>
      <c r="O237" s="221" t="e">
        <f>VLOOKUP("resto de america",#REF!,7,FALSE)</f>
        <v>#REF!</v>
      </c>
      <c r="P237" s="222" t="e">
        <f>VLOOKUP("resto de america",#REF!,8,FALSE)/VLOOKUP("resto de america",#REF!,8,FALSE)-1</f>
        <v>#REF!</v>
      </c>
      <c r="Q237" s="221" t="e">
        <f>VLOOKUP("resto de america",#REF!,8,FALSE)</f>
        <v>#REF!</v>
      </c>
    </row>
    <row r="238" spans="3:17" ht="24" hidden="1" customHeight="1" thickBot="1" x14ac:dyDescent="0.25">
      <c r="C238" s="223" t="s">
        <v>33</v>
      </c>
      <c r="D238" s="222" t="e">
        <f>VLOOKUP("resto del mundo",#REF!,6,FALSE)/VLOOKUP("resto del mundo",#REF!,6,FALSE)-1</f>
        <v>#REF!</v>
      </c>
      <c r="E238" s="221" t="e">
        <f>VLOOKUP("resto del mundo",#REF!,6,FALSE)</f>
        <v>#REF!</v>
      </c>
      <c r="F238" s="222" t="e">
        <f>VLOOKUP("resto del mundo",#REF!,5,FALSE)/VLOOKUP("resto del mundo",#REF!,5,FALSE)-1</f>
        <v>#REF!</v>
      </c>
      <c r="G238" s="222"/>
      <c r="H238" s="222" t="e">
        <f>VLOOKUP("resto del mundo",#REF!,4,FALSE)/VLOOKUP("resto del mundo",#REF!,4,FALSE)-1</f>
        <v>#REF!</v>
      </c>
      <c r="I238" s="221" t="e">
        <f>VLOOKUP("resto del mundo",#REF!,4,FALSE)</f>
        <v>#REF!</v>
      </c>
      <c r="J238" s="222" t="e">
        <f>VLOOKUP("resto del mundo",#REF!,3,FALSE)/VLOOKUP("resto del mundo",#REF!,3,FALSE)-1</f>
        <v>#REF!</v>
      </c>
      <c r="K238" s="221" t="e">
        <f>VLOOKUP("resto del mundo",#REF!,3,FALSE)</f>
        <v>#REF!</v>
      </c>
      <c r="L238" s="222" t="e">
        <f>VLOOKUP("resto del mundo",#REF!,2,FALSE)/VLOOKUP("resto del mundo",#REF!,2,FALSE)-1</f>
        <v>#REF!</v>
      </c>
      <c r="M238" s="221" t="e">
        <f>VLOOKUP("resto del mundo",#REF!,2,FALSE)</f>
        <v>#REF!</v>
      </c>
      <c r="N238" s="222" t="e">
        <f>VLOOKUP("resto del mundo",#REF!,7,FALSE)/VLOOKUP("resto del mundo",#REF!,7,FALSE)-1</f>
        <v>#REF!</v>
      </c>
      <c r="O238" s="221" t="e">
        <f>VLOOKUP("resto del mundo",#REF!,7,FALSE)</f>
        <v>#REF!</v>
      </c>
      <c r="P238" s="222" t="e">
        <f>VLOOKUP("resto del mundo",#REF!,8,FALSE)/VLOOKUP("resto del mundo",#REF!,8,FALSE)-1</f>
        <v>#REF!</v>
      </c>
      <c r="Q238" s="221" t="e">
        <f>VLOOKUP("resto del mundo",#REF!,8,FALSE)</f>
        <v>#REF!</v>
      </c>
    </row>
    <row r="239" spans="3:17" ht="24" hidden="1" customHeight="1" thickBot="1" x14ac:dyDescent="0.25">
      <c r="C239" s="223" t="s">
        <v>32</v>
      </c>
      <c r="D239" s="222" t="e">
        <f>(VLOOKUP("total",#REF!,6,FALSE)-VLOOKUP("españa",#REF!,6,FALSE))/(VLOOKUP("total",#REF!,6,FALSE)-VLOOKUP("españa",#REF!,6,FALSE))-1</f>
        <v>#REF!</v>
      </c>
      <c r="E239" s="221" t="e">
        <f>VLOOKUP("total",#REF!,6,FALSE)-VLOOKUP("españa",#REF!,6,FALSE)</f>
        <v>#REF!</v>
      </c>
      <c r="F239" s="222" t="e">
        <f>(VLOOKUP("total",#REF!,5,FALSE)-VLOOKUP("españa",#REF!,5,FALSE))/(VLOOKUP("total",#REF!,5,FALSE)-VLOOKUP("españa",#REF!,5,FALSE))-1</f>
        <v>#REF!</v>
      </c>
      <c r="G239" s="222"/>
      <c r="H239" s="222" t="e">
        <f>(VLOOKUP("total",#REF!,4,FALSE)-VLOOKUP("españa",#REF!,4,FALSE))/(VLOOKUP("total",#REF!,4,FALSE)-VLOOKUP("españa",#REF!,4,FALSE))-1</f>
        <v>#REF!</v>
      </c>
      <c r="I239" s="221" t="e">
        <f>VLOOKUP("total",#REF!,4,FALSE)-VLOOKUP("españa",#REF!,4,FALSE)</f>
        <v>#REF!</v>
      </c>
      <c r="J239" s="222" t="e">
        <f>(VLOOKUP("total",#REF!,3,FALSE)-VLOOKUP("españa",#REF!,3,FALSE))/(VLOOKUP("total",#REF!,3,FALSE)-VLOOKUP("españa",#REF!,3,FALSE))-1</f>
        <v>#REF!</v>
      </c>
      <c r="K239" s="221" t="e">
        <f>VLOOKUP("total",#REF!,3,FALSE)-VLOOKUP("españa",#REF!,3,FALSE)</f>
        <v>#REF!</v>
      </c>
      <c r="L239" s="222" t="e">
        <f>(VLOOKUP("total",#REF!,2,FALSE)-VLOOKUP("españa",#REF!,2,FALSE))/(VLOOKUP("total",#REF!,2,FALSE)-VLOOKUP("españa",#REF!,2,FALSE))-1</f>
        <v>#REF!</v>
      </c>
      <c r="M239" s="221" t="e">
        <f>VLOOKUP("total",#REF!,2,FALSE)-VLOOKUP("españa",#REF!,2,FALSE)</f>
        <v>#REF!</v>
      </c>
      <c r="N239" s="222" t="e">
        <f>(VLOOKUP("total",#REF!,7,FALSE)-VLOOKUP("españa",#REF!,7,FALSE))/(VLOOKUP("total",#REF!,7,FALSE)-VLOOKUP("españa",#REF!,7,FALSE))-1</f>
        <v>#REF!</v>
      </c>
      <c r="O239" s="221" t="e">
        <f>VLOOKUP("total",#REF!,7,FALSE)-VLOOKUP("españa",#REF!,7,FALSE)</f>
        <v>#REF!</v>
      </c>
      <c r="P239" s="222" t="e">
        <f>(VLOOKUP("total",#REF!,8,FALSE)-VLOOKUP("españa",#REF!,8,FALSE))/(VLOOKUP("total",#REF!,8,FALSE)-VLOOKUP("españa",#REF!,8,FALSE))-1</f>
        <v>#REF!</v>
      </c>
      <c r="Q239" s="221" t="e">
        <f>VLOOKUP("total",#REF!,8,FALSE)-VLOOKUP("españa",#REF!,8,FALSE)</f>
        <v>#REF!</v>
      </c>
    </row>
    <row r="240" spans="3:17" ht="24" hidden="1" customHeight="1" thickBot="1" x14ac:dyDescent="0.25">
      <c r="C240" s="223" t="s">
        <v>7</v>
      </c>
      <c r="D240" s="222" t="e">
        <f>VLOOKUP("total",#REF!,6,FALSE)/VLOOKUP("total",#REF!,6,FALSE)-1</f>
        <v>#REF!</v>
      </c>
      <c r="E240" s="221" t="e">
        <f>VLOOKUP("total",#REF!,6,FALSE)</f>
        <v>#REF!</v>
      </c>
      <c r="F240" s="222" t="e">
        <f>VLOOKUP("total",#REF!,5,FALSE)/VLOOKUP("total",#REF!,5,FALSE)-1</f>
        <v>#REF!</v>
      </c>
      <c r="G240" s="222"/>
      <c r="H240" s="222" t="e">
        <f>VLOOKUP("total",#REF!,4,FALSE)/VLOOKUP("total",#REF!,4,FALSE)-1</f>
        <v>#REF!</v>
      </c>
      <c r="I240" s="221" t="e">
        <f>VLOOKUP("total",#REF!,4,FALSE)</f>
        <v>#REF!</v>
      </c>
      <c r="J240" s="222" t="e">
        <f>VLOOKUP("total",#REF!,3,FALSE)/VLOOKUP("total",#REF!,3,FALSE)-1</f>
        <v>#REF!</v>
      </c>
      <c r="K240" s="221" t="e">
        <f>VLOOKUP("total",#REF!,3,FALSE)</f>
        <v>#REF!</v>
      </c>
      <c r="L240" s="222" t="e">
        <f>VLOOKUP("total",#REF!,2,FALSE)/VLOOKUP("total",#REF!,2,FALSE)-1</f>
        <v>#REF!</v>
      </c>
      <c r="M240" s="221" t="e">
        <f>VLOOKUP("total",#REF!,2,FALSE)</f>
        <v>#REF!</v>
      </c>
      <c r="N240" s="222" t="e">
        <f>VLOOKUP("total",#REF!,7,FALSE)/VLOOKUP("total",#REF!,7,FALSE)-1</f>
        <v>#REF!</v>
      </c>
      <c r="O240" s="221" t="e">
        <f>VLOOKUP("total",#REF!,7,FALSE)</f>
        <v>#REF!</v>
      </c>
      <c r="P240" s="222" t="e">
        <f>VLOOKUP("total",#REF!,8,FALSE)/VLOOKUP("total",#REF!,8,FALSE)-1</f>
        <v>#REF!</v>
      </c>
      <c r="Q240" s="221" t="e">
        <f>VLOOKUP("total",#REF!,8,FALSE)</f>
        <v>#REF!</v>
      </c>
    </row>
    <row r="241" spans="3:13" ht="18" customHeight="1" thickBot="1" x14ac:dyDescent="0.25"/>
    <row r="242" spans="3:13" ht="50.25" customHeight="1" thickBot="1" x14ac:dyDescent="0.25">
      <c r="C242" s="122"/>
      <c r="D242" s="122"/>
      <c r="E242" s="123" t="str">
        <f>$E$1</f>
        <v>INDICADORES TURÍSTICOS DE TENERIFE definitivo</v>
      </c>
      <c r="F242" s="123"/>
      <c r="G242" s="123"/>
      <c r="H242" s="123"/>
      <c r="I242" s="123"/>
      <c r="J242" s="123"/>
      <c r="K242" s="123"/>
      <c r="L242" s="122"/>
      <c r="M242" s="122"/>
    </row>
    <row r="243" spans="3:13" ht="5.25" customHeight="1" thickBot="1" x14ac:dyDescent="0.25"/>
    <row r="244" spans="3:13" ht="28.5" customHeight="1" thickBot="1" x14ac:dyDescent="0.25">
      <c r="C244" s="121" t="s">
        <v>63</v>
      </c>
      <c r="D244" s="120"/>
      <c r="E244" s="120"/>
      <c r="F244" s="120"/>
      <c r="G244" s="120"/>
      <c r="H244" s="120"/>
      <c r="I244" s="120"/>
      <c r="J244" s="120"/>
      <c r="K244" s="120"/>
      <c r="L244" s="120"/>
      <c r="M244" s="119"/>
    </row>
    <row r="245" spans="3:13" ht="5.25" customHeight="1" thickBot="1" x14ac:dyDescent="0.25">
      <c r="C245" s="220"/>
      <c r="D245" s="218"/>
      <c r="E245" s="218"/>
      <c r="F245" s="218"/>
      <c r="G245" s="218"/>
      <c r="H245" s="219"/>
      <c r="I245" s="219"/>
      <c r="J245" s="218"/>
      <c r="K245" s="218"/>
      <c r="L245" s="218"/>
      <c r="M245" s="217"/>
    </row>
    <row r="246" spans="3:13" ht="32.25" customHeight="1" thickTop="1" thickBot="1" x14ac:dyDescent="0.25">
      <c r="C246" s="216"/>
      <c r="D246" s="214" t="s">
        <v>13</v>
      </c>
      <c r="E246" s="215"/>
      <c r="F246" s="214" t="s">
        <v>62</v>
      </c>
      <c r="G246" s="215"/>
      <c r="H246" s="214" t="s">
        <v>61</v>
      </c>
      <c r="I246" s="215"/>
      <c r="J246" s="214" t="s">
        <v>60</v>
      </c>
      <c r="K246" s="215"/>
      <c r="L246" s="214" t="s">
        <v>59</v>
      </c>
      <c r="M246" s="213"/>
    </row>
    <row r="247" spans="3:13" ht="31.5" customHeight="1" thickBot="1" x14ac:dyDescent="0.25">
      <c r="C247" s="212"/>
      <c r="D247" s="209" t="s">
        <v>58</v>
      </c>
      <c r="E247" s="210" t="s">
        <v>57</v>
      </c>
      <c r="F247" s="211" t="s">
        <v>58</v>
      </c>
      <c r="G247" s="210" t="s">
        <v>57</v>
      </c>
      <c r="H247" s="209" t="s">
        <v>58</v>
      </c>
      <c r="I247" s="210" t="s">
        <v>57</v>
      </c>
      <c r="J247" s="209" t="s">
        <v>58</v>
      </c>
      <c r="K247" s="210" t="s">
        <v>57</v>
      </c>
      <c r="L247" s="209" t="s">
        <v>58</v>
      </c>
      <c r="M247" s="208" t="s">
        <v>57</v>
      </c>
    </row>
    <row r="248" spans="3:13" ht="19.5" thickTop="1" thickBot="1" x14ac:dyDescent="0.25">
      <c r="C248" s="207" t="s">
        <v>56</v>
      </c>
      <c r="D248" s="205">
        <v>0.17154548227134611</v>
      </c>
      <c r="E248" s="204">
        <v>0.17530922035959928</v>
      </c>
      <c r="F248" s="206">
        <v>0.63037458857948903</v>
      </c>
      <c r="G248" s="204">
        <v>0.59425151143872901</v>
      </c>
      <c r="H248" s="205">
        <v>0.49768378650553879</v>
      </c>
      <c r="I248" s="204">
        <v>0.48054285071605307</v>
      </c>
      <c r="J248" s="205">
        <v>0.39392439084768538</v>
      </c>
      <c r="K248" s="204">
        <v>0.39474954820731423</v>
      </c>
      <c r="L248" s="203">
        <v>8.7516821719033411E-2</v>
      </c>
      <c r="M248" s="202">
        <v>9.677736334761157E-2</v>
      </c>
    </row>
    <row r="249" spans="3:13" ht="26.25" thickBot="1" x14ac:dyDescent="0.25">
      <c r="C249" s="198" t="s">
        <v>55</v>
      </c>
      <c r="D249" s="186">
        <v>4.5340746765737613E-2</v>
      </c>
      <c r="E249" s="185">
        <v>5.2266983943889754E-2</v>
      </c>
      <c r="F249" s="201"/>
      <c r="G249" s="185"/>
      <c r="H249" s="186"/>
      <c r="I249" s="185"/>
      <c r="J249" s="186"/>
      <c r="K249" s="185"/>
      <c r="L249" s="200"/>
      <c r="M249" s="195"/>
    </row>
    <row r="250" spans="3:13" ht="26.25" thickBot="1" x14ac:dyDescent="0.25">
      <c r="C250" s="198" t="s">
        <v>54</v>
      </c>
      <c r="D250" s="186">
        <v>2.0931362872283223E-2</v>
      </c>
      <c r="E250" s="185">
        <v>2.2388340487692133E-2</v>
      </c>
      <c r="F250" s="197"/>
      <c r="G250" s="185"/>
      <c r="H250" s="186"/>
      <c r="I250" s="185"/>
      <c r="J250" s="186"/>
      <c r="K250" s="185"/>
      <c r="L250" s="196"/>
      <c r="M250" s="195"/>
    </row>
    <row r="251" spans="3:13" ht="18.75" thickBot="1" x14ac:dyDescent="0.25">
      <c r="C251" s="198" t="s">
        <v>53</v>
      </c>
      <c r="D251" s="186">
        <v>0.10527337263332527</v>
      </c>
      <c r="E251" s="185">
        <v>0.10065389592795536</v>
      </c>
      <c r="F251" s="197"/>
      <c r="G251" s="185"/>
      <c r="H251" s="186"/>
      <c r="I251" s="185"/>
      <c r="J251" s="186"/>
      <c r="K251" s="185"/>
      <c r="L251" s="196"/>
      <c r="M251" s="195"/>
    </row>
    <row r="252" spans="3:13" ht="18.75" thickBot="1" x14ac:dyDescent="0.25">
      <c r="C252" s="194" t="s">
        <v>52</v>
      </c>
      <c r="D252" s="192">
        <v>3.6917281342836811E-2</v>
      </c>
      <c r="E252" s="191">
        <v>4.4759183664697784E-2</v>
      </c>
      <c r="F252" s="193">
        <v>1.0553262629956638E-2</v>
      </c>
      <c r="G252" s="191">
        <v>1.4441520878944302E-2</v>
      </c>
      <c r="H252" s="192">
        <v>3.3836858006042296E-2</v>
      </c>
      <c r="I252" s="191">
        <v>3.5015370773037416E-2</v>
      </c>
      <c r="J252" s="192">
        <v>1.3456165788449976E-2</v>
      </c>
      <c r="K252" s="191">
        <v>1.8064809833216074E-2</v>
      </c>
      <c r="L252" s="190">
        <v>4.3670645368907614E-2</v>
      </c>
      <c r="M252" s="189">
        <v>5.2384280563840313E-2</v>
      </c>
    </row>
    <row r="253" spans="3:13" ht="24" customHeight="1" thickBot="1" x14ac:dyDescent="0.25">
      <c r="C253" s="188" t="s">
        <v>51</v>
      </c>
      <c r="D253" s="186">
        <v>3.3856137536852328E-2</v>
      </c>
      <c r="E253" s="185">
        <v>3.9862590219492462E-2</v>
      </c>
      <c r="F253" s="197">
        <v>9.9785800114936523E-3</v>
      </c>
      <c r="G253" s="185">
        <v>1.0605178058529336E-2</v>
      </c>
      <c r="H253" s="186">
        <v>1.6918429003021148E-2</v>
      </c>
      <c r="I253" s="185">
        <v>2.1219164729699334E-2</v>
      </c>
      <c r="J253" s="186">
        <v>1.0520918060614634E-2</v>
      </c>
      <c r="K253" s="185">
        <v>1.4015919656775511E-2</v>
      </c>
      <c r="L253" s="196">
        <v>4.0661020420104145E-2</v>
      </c>
      <c r="M253" s="195">
        <v>4.7408811907908847E-2</v>
      </c>
    </row>
    <row r="254" spans="3:13" ht="24" customHeight="1" thickBot="1" x14ac:dyDescent="0.25">
      <c r="C254" s="194" t="s">
        <v>50</v>
      </c>
      <c r="D254" s="192">
        <v>9.8244642998339529E-2</v>
      </c>
      <c r="E254" s="191">
        <v>9.0909872379108303E-2</v>
      </c>
      <c r="F254" s="193">
        <v>5.5169531372446581E-2</v>
      </c>
      <c r="G254" s="191">
        <v>5.6922489806576014E-2</v>
      </c>
      <c r="H254" s="192">
        <v>0.10694864048338369</v>
      </c>
      <c r="I254" s="191">
        <v>0.10527105046112319</v>
      </c>
      <c r="J254" s="192">
        <v>0.20698801145807547</v>
      </c>
      <c r="K254" s="191">
        <v>0.18526948916387315</v>
      </c>
      <c r="L254" s="190">
        <v>7.8612281317652563E-2</v>
      </c>
      <c r="M254" s="189">
        <v>7.4053519157976325E-2</v>
      </c>
    </row>
    <row r="255" spans="3:13" ht="24" customHeight="1" thickBot="1" x14ac:dyDescent="0.25">
      <c r="C255" s="188" t="s">
        <v>49</v>
      </c>
      <c r="D255" s="186">
        <v>4.0867964169933019E-2</v>
      </c>
      <c r="E255" s="185">
        <v>4.5302891429295965E-2</v>
      </c>
      <c r="F255" s="197">
        <v>4.5608902356198737E-2</v>
      </c>
      <c r="G255" s="185">
        <v>4.6859621989676019E-2</v>
      </c>
      <c r="H255" s="186">
        <v>9.1037260825780467E-2</v>
      </c>
      <c r="I255" s="185">
        <v>9.6123566019344686E-2</v>
      </c>
      <c r="J255" s="186">
        <v>6.1251193549527884E-2</v>
      </c>
      <c r="K255" s="185">
        <v>6.1423112472237168E-2</v>
      </c>
      <c r="L255" s="196">
        <v>3.5409718565326778E-2</v>
      </c>
      <c r="M255" s="195">
        <v>4.1023050467444935E-2</v>
      </c>
    </row>
    <row r="256" spans="3:13" ht="24" customHeight="1" thickBot="1" x14ac:dyDescent="0.25">
      <c r="C256" s="194" t="s">
        <v>48</v>
      </c>
      <c r="D256" s="192">
        <v>0.37104508127280328</v>
      </c>
      <c r="E256" s="191">
        <v>0.33324772980517853</v>
      </c>
      <c r="F256" s="193">
        <v>3.9235149678700169E-2</v>
      </c>
      <c r="G256" s="191">
        <v>4.3947215136481414E-2</v>
      </c>
      <c r="H256" s="192">
        <v>6.8882175226586101E-2</v>
      </c>
      <c r="I256" s="191">
        <v>7.4904401289645345E-2</v>
      </c>
      <c r="J256" s="192">
        <v>0.11099126498567741</v>
      </c>
      <c r="K256" s="191">
        <v>0.1003048738429279</v>
      </c>
      <c r="L256" s="190">
        <v>0.45353914340881163</v>
      </c>
      <c r="M256" s="189">
        <v>0.40469036530596708</v>
      </c>
    </row>
    <row r="257" spans="3:13" ht="24" customHeight="1" thickBot="1" x14ac:dyDescent="0.25">
      <c r="C257" s="188" t="s">
        <v>47</v>
      </c>
      <c r="D257" s="186">
        <v>3.2308622033457961E-2</v>
      </c>
      <c r="E257" s="185">
        <v>3.4586690764597104E-2</v>
      </c>
      <c r="F257" s="197">
        <v>4.7541925709210595E-3</v>
      </c>
      <c r="G257" s="185">
        <v>1.1167573864663466E-2</v>
      </c>
      <c r="H257" s="186">
        <v>5.8408862034239678E-3</v>
      </c>
      <c r="I257" s="185">
        <v>7.1230411636799881E-3</v>
      </c>
      <c r="J257" s="186">
        <v>8.0984545743890794E-3</v>
      </c>
      <c r="K257" s="185">
        <v>8.635793016871526E-3</v>
      </c>
      <c r="L257" s="196">
        <v>3.9724855186940494E-2</v>
      </c>
      <c r="M257" s="195">
        <v>4.1914344435294688E-2</v>
      </c>
    </row>
    <row r="258" spans="3:13" ht="24" customHeight="1" thickBot="1" x14ac:dyDescent="0.25">
      <c r="C258" s="194" t="s">
        <v>46</v>
      </c>
      <c r="D258" s="192">
        <v>3.4149826610489216E-2</v>
      </c>
      <c r="E258" s="191">
        <v>3.4645789434662122E-2</v>
      </c>
      <c r="F258" s="193">
        <v>2.9465545164829424E-2</v>
      </c>
      <c r="G258" s="191">
        <v>2.8722357241850283E-2</v>
      </c>
      <c r="H258" s="192">
        <v>3.8469284994964756E-2</v>
      </c>
      <c r="I258" s="191">
        <v>3.2391092449576366E-2</v>
      </c>
      <c r="J258" s="192">
        <v>2.3676486190189906E-2</v>
      </c>
      <c r="K258" s="191">
        <v>2.4914124901709224E-2</v>
      </c>
      <c r="L258" s="190">
        <v>3.6565297525013161E-2</v>
      </c>
      <c r="M258" s="189">
        <v>3.7048211530077708E-2</v>
      </c>
    </row>
    <row r="259" spans="3:13" ht="24" customHeight="1" thickBot="1" x14ac:dyDescent="0.25">
      <c r="C259" s="188" t="s">
        <v>45</v>
      </c>
      <c r="D259" s="186">
        <v>6.0166725027956933E-2</v>
      </c>
      <c r="E259" s="185">
        <v>7.0447763760050811E-2</v>
      </c>
      <c r="F259" s="197">
        <v>2.7741497309440467E-2</v>
      </c>
      <c r="G259" s="185">
        <v>3.7278807720890997E-2</v>
      </c>
      <c r="H259" s="186">
        <v>1.8328298086606243E-2</v>
      </c>
      <c r="I259" s="185">
        <v>2.7442453325335531E-2</v>
      </c>
      <c r="J259" s="186">
        <v>6.2294444247975395E-2</v>
      </c>
      <c r="K259" s="185">
        <v>7.2342010511939739E-2</v>
      </c>
      <c r="L259" s="196">
        <v>6.2755982680943179E-2</v>
      </c>
      <c r="M259" s="195">
        <v>7.3147001224837208E-2</v>
      </c>
    </row>
    <row r="260" spans="3:13" ht="24" customHeight="1" thickBot="1" x14ac:dyDescent="0.25">
      <c r="C260" s="199" t="s">
        <v>44</v>
      </c>
      <c r="D260" s="192">
        <v>1.4947079488077353E-2</v>
      </c>
      <c r="E260" s="191">
        <v>1.7386828733128672E-2</v>
      </c>
      <c r="F260" s="193">
        <v>9.0381902721905858E-3</v>
      </c>
      <c r="G260" s="191">
        <v>1.3156044750637717E-2</v>
      </c>
      <c r="H260" s="192">
        <v>4.6324269889224572E-3</v>
      </c>
      <c r="I260" s="191">
        <v>7.1230411636799881E-3</v>
      </c>
      <c r="J260" s="192">
        <v>1.6904197757895111E-2</v>
      </c>
      <c r="K260" s="191">
        <v>1.8540744112899889E-2</v>
      </c>
      <c r="L260" s="190">
        <v>1.5143204025510502E-2</v>
      </c>
      <c r="M260" s="189">
        <v>1.7636271789300322E-2</v>
      </c>
    </row>
    <row r="261" spans="3:13" ht="24" customHeight="1" thickBot="1" x14ac:dyDescent="0.25">
      <c r="C261" s="198" t="s">
        <v>43</v>
      </c>
      <c r="D261" s="186">
        <v>9.4121700233821687E-3</v>
      </c>
      <c r="E261" s="185">
        <v>1.1269579120762223E-2</v>
      </c>
      <c r="F261" s="197">
        <v>7.4186301656130821E-3</v>
      </c>
      <c r="G261" s="185">
        <v>8.5162793500311324E-3</v>
      </c>
      <c r="H261" s="186">
        <v>1.6112789526686808E-3</v>
      </c>
      <c r="I261" s="185">
        <v>3.5990102721751519E-3</v>
      </c>
      <c r="J261" s="186">
        <v>6.7015595713831025E-3</v>
      </c>
      <c r="K261" s="185">
        <v>7.6908220557601846E-3</v>
      </c>
      <c r="L261" s="196">
        <v>1.0253934819495641E-2</v>
      </c>
      <c r="M261" s="195">
        <v>1.2318955912780519E-2</v>
      </c>
    </row>
    <row r="262" spans="3:13" ht="24" customHeight="1" thickBot="1" x14ac:dyDescent="0.25">
      <c r="C262" s="199" t="s">
        <v>42</v>
      </c>
      <c r="D262" s="192">
        <v>1.8440285104316098E-2</v>
      </c>
      <c r="E262" s="191">
        <v>2.1667721488383886E-2</v>
      </c>
      <c r="F262" s="193">
        <v>5.694582310224126E-3</v>
      </c>
      <c r="G262" s="191">
        <v>7.4316588667724505E-3</v>
      </c>
      <c r="H262" s="192">
        <v>8.8620342396777442E-3</v>
      </c>
      <c r="I262" s="191">
        <v>1.2596535952613031E-2</v>
      </c>
      <c r="J262" s="192">
        <v>1.6921879973123034E-2</v>
      </c>
      <c r="K262" s="191">
        <v>1.868559367628192E-2</v>
      </c>
      <c r="L262" s="190">
        <v>1.9820373295886724E-2</v>
      </c>
      <c r="M262" s="189">
        <v>2.3414458615034359E-2</v>
      </c>
    </row>
    <row r="263" spans="3:13" ht="24" customHeight="1" thickBot="1" x14ac:dyDescent="0.25">
      <c r="C263" s="198" t="s">
        <v>41</v>
      </c>
      <c r="D263" s="186">
        <v>1.7367190412181318E-2</v>
      </c>
      <c r="E263" s="185">
        <v>2.012363441777602E-2</v>
      </c>
      <c r="F263" s="197">
        <v>5.5900945614126745E-3</v>
      </c>
      <c r="G263" s="185">
        <v>8.1748247534496957E-3</v>
      </c>
      <c r="H263" s="186">
        <v>3.2225579053373615E-3</v>
      </c>
      <c r="I263" s="185">
        <v>4.1238659368673615E-3</v>
      </c>
      <c r="J263" s="186">
        <v>2.1766806945574143E-2</v>
      </c>
      <c r="K263" s="185">
        <v>2.7424850666997753E-2</v>
      </c>
      <c r="L263" s="196">
        <v>1.7538470540050317E-2</v>
      </c>
      <c r="M263" s="195">
        <v>1.9777314907722009E-2</v>
      </c>
    </row>
    <row r="264" spans="3:13" ht="24" customHeight="1" thickBot="1" x14ac:dyDescent="0.25">
      <c r="C264" s="194" t="s">
        <v>40</v>
      </c>
      <c r="D264" s="192">
        <v>8.8445594099108762E-3</v>
      </c>
      <c r="E264" s="191">
        <v>9.0646614667000483E-3</v>
      </c>
      <c r="F264" s="193">
        <v>9.6651167650592968E-3</v>
      </c>
      <c r="G264" s="191">
        <v>8.8577339466125692E-3</v>
      </c>
      <c r="H264" s="192">
        <v>2.6183282980866064E-2</v>
      </c>
      <c r="I264" s="191">
        <v>2.2868711104446278E-2</v>
      </c>
      <c r="J264" s="192">
        <v>7.8332213459702225E-3</v>
      </c>
      <c r="K264" s="191">
        <v>8.5392266412835059E-3</v>
      </c>
      <c r="L264" s="190">
        <v>8.6814697794160671E-3</v>
      </c>
      <c r="M264" s="189">
        <v>8.929547640631379E-3</v>
      </c>
    </row>
    <row r="265" spans="3:13" ht="24" customHeight="1" thickBot="1" x14ac:dyDescent="0.25">
      <c r="C265" s="188" t="s">
        <v>39</v>
      </c>
      <c r="D265" s="186">
        <v>5.2412203910582973E-3</v>
      </c>
      <c r="E265" s="185">
        <v>6.7436955150556544E-3</v>
      </c>
      <c r="F265" s="197">
        <v>4.1272660780523485E-3</v>
      </c>
      <c r="G265" s="185">
        <v>6.1060116094562838E-3</v>
      </c>
      <c r="H265" s="186">
        <v>8.459214501510574E-3</v>
      </c>
      <c r="I265" s="185">
        <v>1.019719577116293E-2</v>
      </c>
      <c r="J265" s="186">
        <v>7.5326236870955189E-3</v>
      </c>
      <c r="K265" s="185">
        <v>9.5393783884451435E-3</v>
      </c>
      <c r="L265" s="196">
        <v>4.7868761336375869E-3</v>
      </c>
      <c r="M265" s="195">
        <v>6.1629379485014773E-3</v>
      </c>
    </row>
    <row r="266" spans="3:13" ht="24" customHeight="1" thickBot="1" x14ac:dyDescent="0.25">
      <c r="C266" s="194" t="s">
        <v>38</v>
      </c>
      <c r="D266" s="192">
        <v>1.4232624337787618E-3</v>
      </c>
      <c r="E266" s="191">
        <v>2.8936857906381262E-3</v>
      </c>
      <c r="F266" s="193">
        <v>2.1419988506347631E-3</v>
      </c>
      <c r="G266" s="191">
        <v>4.6799365296161652E-3</v>
      </c>
      <c r="H266" s="192">
        <v>1.6112789526686808E-3</v>
      </c>
      <c r="I266" s="191">
        <v>2.3993401814501013E-3</v>
      </c>
      <c r="J266" s="192">
        <v>1.8919970293878416E-3</v>
      </c>
      <c r="K266" s="191">
        <v>3.0142504379974894E-3</v>
      </c>
      <c r="L266" s="190">
        <v>1.2725996138318414E-3</v>
      </c>
      <c r="M266" s="189">
        <v>2.7555377173740046E-3</v>
      </c>
    </row>
    <row r="267" spans="3:13" ht="24" customHeight="1" thickBot="1" x14ac:dyDescent="0.25">
      <c r="C267" s="188" t="s">
        <v>37</v>
      </c>
      <c r="D267" s="186">
        <v>3.1458618079951199E-2</v>
      </c>
      <c r="E267" s="185">
        <v>3.5789080070101766E-2</v>
      </c>
      <c r="F267" s="197">
        <v>1.8755550911655608E-2</v>
      </c>
      <c r="G267" s="185">
        <v>2.4142848534758069E-2</v>
      </c>
      <c r="H267" s="186">
        <v>1.6314199395770394E-2</v>
      </c>
      <c r="I267" s="185">
        <v>2.0844267826347754E-2</v>
      </c>
      <c r="J267" s="186">
        <v>2.5338614421614739E-2</v>
      </c>
      <c r="K267" s="185">
        <v>2.8493978396722262E-2</v>
      </c>
      <c r="L267" s="196">
        <v>3.3888450061435843E-2</v>
      </c>
      <c r="M267" s="195">
        <v>3.833117660491734E-2</v>
      </c>
    </row>
    <row r="268" spans="3:13" ht="24" customHeight="1" thickBot="1" x14ac:dyDescent="0.25">
      <c r="C268" s="194" t="s">
        <v>36</v>
      </c>
      <c r="D268" s="192">
        <v>4.3717312970890897E-2</v>
      </c>
      <c r="E268" s="191">
        <v>4.8719869080327986E-2</v>
      </c>
      <c r="F268" s="193">
        <v>3.1032861397001201E-2</v>
      </c>
      <c r="G268" s="191">
        <v>3.470785546427782E-2</v>
      </c>
      <c r="H268" s="192">
        <v>2.6183282980866064E-2</v>
      </c>
      <c r="I268" s="191">
        <v>2.4218339956511958E-2</v>
      </c>
      <c r="J268" s="192">
        <v>4.4594546804823706E-2</v>
      </c>
      <c r="K268" s="191">
        <v>4.6938156134034133E-2</v>
      </c>
      <c r="L268" s="190">
        <v>4.474211573342695E-2</v>
      </c>
      <c r="M268" s="189">
        <v>5.0495124871115293E-2</v>
      </c>
    </row>
    <row r="269" spans="3:13" ht="24" customHeight="1" thickBot="1" x14ac:dyDescent="0.25">
      <c r="C269" s="188" t="s">
        <v>35</v>
      </c>
      <c r="D269" s="186">
        <v>6.9384043646714636E-3</v>
      </c>
      <c r="E269" s="185">
        <v>5.4908037096772456E-3</v>
      </c>
      <c r="F269" s="197">
        <v>8.7247270257562303E-3</v>
      </c>
      <c r="G269" s="185">
        <v>9.520557575270653E-3</v>
      </c>
      <c r="H269" s="186">
        <v>1.5911379657603222E-2</v>
      </c>
      <c r="I269" s="185">
        <v>1.3271350378645873E-2</v>
      </c>
      <c r="J269" s="186">
        <v>3.8724051349153022E-3</v>
      </c>
      <c r="K269" s="185">
        <v>3.7453958531639283E-3</v>
      </c>
      <c r="L269" s="196">
        <v>7.2845357205546775E-3</v>
      </c>
      <c r="M269" s="195">
        <v>5.4197316430118535E-3</v>
      </c>
    </row>
    <row r="270" spans="3:13" ht="24" customHeight="1" thickBot="1" x14ac:dyDescent="0.25">
      <c r="C270" s="194" t="s">
        <v>34</v>
      </c>
      <c r="D270" s="192">
        <v>4.1398863649199698E-3</v>
      </c>
      <c r="E270" s="191">
        <v>4.2411354681205658E-3</v>
      </c>
      <c r="F270" s="193">
        <v>1.8024136669975446E-2</v>
      </c>
      <c r="G270" s="191">
        <v>1.8257778134854481E-2</v>
      </c>
      <c r="H270" s="192">
        <v>9.6676737160120846E-3</v>
      </c>
      <c r="I270" s="191">
        <v>1.0797030816525456E-2</v>
      </c>
      <c r="J270" s="192">
        <v>5.9058598861265335E-3</v>
      </c>
      <c r="K270" s="191">
        <v>7.0700382126943394E-3</v>
      </c>
      <c r="L270" s="190">
        <v>2.7024457316716399E-3</v>
      </c>
      <c r="M270" s="189">
        <v>2.5866901023465665E-3</v>
      </c>
    </row>
    <row r="271" spans="3:13" ht="24" customHeight="1" thickBot="1" x14ac:dyDescent="0.25">
      <c r="C271" s="188" t="s">
        <v>33</v>
      </c>
      <c r="D271" s="186">
        <v>1.9134972720803351E-2</v>
      </c>
      <c r="E271" s="185">
        <v>1.7985337082696232E-2</v>
      </c>
      <c r="F271" s="187">
        <v>5.4647092628389321E-2</v>
      </c>
      <c r="G271" s="185">
        <v>4.9531002068813147E-2</v>
      </c>
      <c r="H271" s="186">
        <v>1.7724068479355488E-2</v>
      </c>
      <c r="I271" s="185">
        <v>1.5370773037414711E-2</v>
      </c>
      <c r="J271" s="186">
        <v>1.1829401987480991E-2</v>
      </c>
      <c r="K271" s="185">
        <v>1.2939894328794714E-2</v>
      </c>
      <c r="L271" s="184">
        <v>1.8185741033292378E-2</v>
      </c>
      <c r="M271" s="183">
        <v>1.687230553114339E-2</v>
      </c>
    </row>
    <row r="272" spans="3:13" ht="30.75" customHeight="1" thickBot="1" x14ac:dyDescent="0.25">
      <c r="C272" s="182" t="s">
        <v>32</v>
      </c>
      <c r="D272" s="180">
        <v>0.82845451772865386</v>
      </c>
      <c r="E272" s="179">
        <v>0.82469077964040072</v>
      </c>
      <c r="F272" s="181">
        <v>0.36962541142051097</v>
      </c>
      <c r="G272" s="179">
        <v>0.40574848856127099</v>
      </c>
      <c r="H272" s="180">
        <v>0.50231621349446121</v>
      </c>
      <c r="I272" s="179">
        <v>0.51945714928394693</v>
      </c>
      <c r="J272" s="180">
        <v>0.60607560915231462</v>
      </c>
      <c r="K272" s="179">
        <v>0.60525045179268577</v>
      </c>
      <c r="L272" s="178">
        <v>0.91248317828096659</v>
      </c>
      <c r="M272" s="177">
        <v>0.90322263665238844</v>
      </c>
    </row>
    <row r="273" spans="3:18" ht="24" customHeight="1" thickBot="1" x14ac:dyDescent="0.25">
      <c r="C273" s="176" t="s">
        <v>7</v>
      </c>
      <c r="D273" s="174">
        <v>1</v>
      </c>
      <c r="E273" s="173">
        <v>1</v>
      </c>
      <c r="F273" s="175">
        <v>1</v>
      </c>
      <c r="G273" s="173">
        <v>1</v>
      </c>
      <c r="H273" s="174">
        <v>1</v>
      </c>
      <c r="I273" s="173">
        <v>1</v>
      </c>
      <c r="J273" s="174">
        <v>1</v>
      </c>
      <c r="K273" s="173">
        <v>1</v>
      </c>
      <c r="L273" s="172">
        <v>1</v>
      </c>
      <c r="M273" s="171">
        <v>1</v>
      </c>
    </row>
    <row r="274" spans="3:18" ht="18" customHeight="1" x14ac:dyDescent="0.2">
      <c r="C274" s="170"/>
      <c r="D274" s="169"/>
      <c r="E274" s="168"/>
      <c r="F274" s="169"/>
      <c r="G274" s="169"/>
      <c r="H274" s="169"/>
      <c r="I274" s="168"/>
      <c r="J274" s="169"/>
      <c r="K274" s="168"/>
      <c r="L274" s="169"/>
      <c r="M274" s="168"/>
    </row>
    <row r="275" spans="3:18" ht="5.25" customHeight="1" thickBot="1" x14ac:dyDescent="0.25"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</row>
    <row r="276" spans="3:18" ht="20.100000000000001" customHeight="1" thickBot="1" x14ac:dyDescent="0.25">
      <c r="C276" s="30" t="s">
        <v>31</v>
      </c>
      <c r="D276" s="29"/>
      <c r="E276" s="29"/>
      <c r="F276" s="29"/>
      <c r="G276" s="29"/>
      <c r="H276" s="29"/>
      <c r="I276" s="29"/>
      <c r="J276" s="29"/>
      <c r="K276" s="29"/>
      <c r="L276" s="29"/>
      <c r="M276" s="28"/>
    </row>
    <row r="277" spans="3:18" ht="5.25" customHeight="1" thickBot="1" x14ac:dyDescent="0.25"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6"/>
    </row>
    <row r="278" spans="3:18" ht="45.75" customHeight="1" thickBot="1" x14ac:dyDescent="0.25">
      <c r="C278" s="156" t="s">
        <v>13</v>
      </c>
      <c r="D278" s="166" t="s">
        <v>30</v>
      </c>
      <c r="E278" s="164" t="s">
        <v>26</v>
      </c>
      <c r="F278" s="163"/>
      <c r="G278" s="162"/>
      <c r="H278" s="161">
        <v>1242.1500000000001</v>
      </c>
      <c r="I278" s="19">
        <v>0</v>
      </c>
      <c r="J278" s="160"/>
      <c r="K278" s="160"/>
      <c r="L278" s="160"/>
      <c r="M278" s="167" t="s">
        <v>29</v>
      </c>
      <c r="N278" s="148"/>
      <c r="O278" s="147"/>
      <c r="P278" s="146"/>
      <c r="R278" s="25"/>
    </row>
    <row r="279" spans="3:18" ht="45.75" customHeight="1" thickTop="1" thickBot="1" x14ac:dyDescent="0.25">
      <c r="C279" s="156"/>
      <c r="D279" s="166"/>
      <c r="E279" s="164" t="s">
        <v>25</v>
      </c>
      <c r="F279" s="163"/>
      <c r="G279" s="162"/>
      <c r="H279" s="161">
        <v>316.63</v>
      </c>
      <c r="I279" s="19">
        <v>0.157</v>
      </c>
      <c r="J279" s="160"/>
      <c r="K279" s="160"/>
      <c r="L279" s="160"/>
      <c r="M279" s="157"/>
      <c r="N279" s="148"/>
      <c r="O279" s="147"/>
      <c r="P279" s="146"/>
    </row>
    <row r="280" spans="3:18" ht="45.75" customHeight="1" thickTop="1" thickBot="1" x14ac:dyDescent="0.25">
      <c r="C280" s="156"/>
      <c r="D280" s="166"/>
      <c r="E280" s="164" t="s">
        <v>24</v>
      </c>
      <c r="F280" s="163"/>
      <c r="G280" s="162"/>
      <c r="H280" s="161">
        <v>541.49</v>
      </c>
      <c r="I280" s="19">
        <v>0.104</v>
      </c>
      <c r="J280" s="160"/>
      <c r="K280" s="160" t="s">
        <v>28</v>
      </c>
      <c r="L280" s="160"/>
      <c r="M280" s="157"/>
      <c r="N280" s="148"/>
      <c r="O280" s="147"/>
      <c r="P280" s="146"/>
    </row>
    <row r="281" spans="3:18" ht="45.75" customHeight="1" thickTop="1" thickBot="1" x14ac:dyDescent="0.25">
      <c r="C281" s="156"/>
      <c r="D281" s="166"/>
      <c r="E281" s="164" t="s">
        <v>23</v>
      </c>
      <c r="F281" s="163"/>
      <c r="G281" s="162"/>
      <c r="H281" s="161">
        <v>194.47</v>
      </c>
      <c r="I281" s="19">
        <v>-0.16500000000000001</v>
      </c>
      <c r="J281" s="160"/>
      <c r="K281" s="160"/>
      <c r="L281" s="160"/>
      <c r="M281" s="157"/>
      <c r="N281" s="148"/>
      <c r="O281" s="147"/>
      <c r="P281" s="146"/>
    </row>
    <row r="282" spans="3:18" ht="45.75" customHeight="1" thickTop="1" thickBot="1" x14ac:dyDescent="0.25">
      <c r="C282" s="156"/>
      <c r="D282" s="165"/>
      <c r="E282" s="164" t="s">
        <v>22</v>
      </c>
      <c r="F282" s="163"/>
      <c r="G282" s="162"/>
      <c r="H282" s="161">
        <v>189.55</v>
      </c>
      <c r="I282" s="19">
        <v>-0.22900000000000001</v>
      </c>
      <c r="J282" s="160"/>
      <c r="K282" s="160"/>
      <c r="L282" s="160"/>
      <c r="M282" s="157"/>
      <c r="N282" s="148"/>
      <c r="O282" s="147"/>
      <c r="P282" s="146"/>
      <c r="R282" s="25"/>
    </row>
    <row r="283" spans="3:18" ht="45.75" customHeight="1" thickTop="1" thickBot="1" x14ac:dyDescent="0.25">
      <c r="C283" s="156"/>
      <c r="D283" s="159" t="s">
        <v>27</v>
      </c>
      <c r="E283" s="154" t="s">
        <v>26</v>
      </c>
      <c r="F283" s="153"/>
      <c r="G283" s="152"/>
      <c r="H283" s="151">
        <v>151.29</v>
      </c>
      <c r="I283" s="150">
        <v>0.20499999999999999</v>
      </c>
      <c r="J283" s="158"/>
      <c r="K283" s="158"/>
      <c r="L283" s="158"/>
      <c r="M283" s="157"/>
      <c r="N283" s="148"/>
      <c r="O283" s="147"/>
      <c r="P283" s="146"/>
      <c r="R283" s="25"/>
    </row>
    <row r="284" spans="3:18" ht="45.75" customHeight="1" thickTop="1" thickBot="1" x14ac:dyDescent="0.25">
      <c r="C284" s="156"/>
      <c r="D284" s="155"/>
      <c r="E284" s="154" t="s">
        <v>25</v>
      </c>
      <c r="F284" s="153"/>
      <c r="G284" s="152"/>
      <c r="H284" s="151">
        <v>38.79</v>
      </c>
      <c r="I284" s="150">
        <v>0.36599999999999999</v>
      </c>
      <c r="J284" s="158"/>
      <c r="K284" s="158"/>
      <c r="L284" s="158"/>
      <c r="M284" s="157"/>
      <c r="N284" s="148"/>
      <c r="O284" s="147"/>
      <c r="P284" s="146"/>
      <c r="R284" s="25"/>
    </row>
    <row r="285" spans="3:18" ht="45.75" customHeight="1" thickTop="1" thickBot="1" x14ac:dyDescent="0.25">
      <c r="C285" s="156"/>
      <c r="D285" s="155"/>
      <c r="E285" s="154" t="s">
        <v>24</v>
      </c>
      <c r="F285" s="153"/>
      <c r="G285" s="152"/>
      <c r="H285" s="151">
        <v>66.89</v>
      </c>
      <c r="I285" s="150">
        <v>0.32700000000000001</v>
      </c>
      <c r="J285" s="158"/>
      <c r="K285" s="158"/>
      <c r="L285" s="158"/>
      <c r="M285" s="157"/>
      <c r="N285" s="148"/>
      <c r="O285" s="147"/>
      <c r="P285" s="146"/>
      <c r="R285" s="25"/>
    </row>
    <row r="286" spans="3:18" ht="45.75" customHeight="1" thickTop="1" thickBot="1" x14ac:dyDescent="0.25">
      <c r="C286" s="156"/>
      <c r="D286" s="155"/>
      <c r="E286" s="154" t="s">
        <v>23</v>
      </c>
      <c r="F286" s="153"/>
      <c r="G286" s="152"/>
      <c r="H286" s="151">
        <v>22.31</v>
      </c>
      <c r="I286" s="150">
        <v>1.2E-2</v>
      </c>
      <c r="M286" s="157"/>
      <c r="N286" s="148"/>
      <c r="O286" s="147"/>
      <c r="P286" s="146"/>
      <c r="R286" s="25"/>
    </row>
    <row r="287" spans="3:18" ht="45.75" customHeight="1" thickTop="1" thickBot="1" x14ac:dyDescent="0.25">
      <c r="C287" s="156"/>
      <c r="D287" s="155"/>
      <c r="E287" s="154" t="s">
        <v>22</v>
      </c>
      <c r="F287" s="153"/>
      <c r="G287" s="152"/>
      <c r="H287" s="151">
        <f>H283-H284-H285-H286</f>
        <v>23.3</v>
      </c>
      <c r="I287" s="150">
        <v>-5.8999999999999997E-2</v>
      </c>
      <c r="M287" s="149"/>
      <c r="N287" s="148"/>
      <c r="O287" s="147"/>
      <c r="P287" s="146"/>
    </row>
    <row r="288" spans="3:18" ht="5.25" customHeight="1" thickTop="1" thickBot="1" x14ac:dyDescent="0.2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1"/>
      <c r="O288" s="25"/>
      <c r="R288" s="25"/>
    </row>
    <row r="289" spans="3:20" ht="19.5" customHeight="1" thickBot="1" x14ac:dyDescent="0.25">
      <c r="C289" s="30" t="s">
        <v>21</v>
      </c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O289" s="25"/>
      <c r="P289" s="25"/>
      <c r="Q289" s="25"/>
    </row>
    <row r="290" spans="3:20" ht="5.25" customHeight="1" x14ac:dyDescent="0.2"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6"/>
      <c r="O290" s="25"/>
      <c r="P290" s="25"/>
      <c r="Q290" s="25"/>
    </row>
    <row r="291" spans="3:20" s="25" customFormat="1" ht="47.25" customHeight="1" thickBot="1" x14ac:dyDescent="0.25">
      <c r="C291" s="24" t="s">
        <v>13</v>
      </c>
      <c r="D291" s="135"/>
      <c r="E291" s="145" t="s">
        <v>7</v>
      </c>
      <c r="F291" s="144">
        <v>164411</v>
      </c>
      <c r="G291" s="143"/>
      <c r="H291" s="19">
        <v>7.8402765858323065E-3</v>
      </c>
      <c r="I291" s="142" t="s">
        <v>104</v>
      </c>
      <c r="J291" s="94"/>
      <c r="K291" s="94"/>
      <c r="L291" s="93"/>
      <c r="M291" s="15" t="s">
        <v>110</v>
      </c>
      <c r="Q291" s="127"/>
    </row>
    <row r="292" spans="3:20" s="25" customFormat="1" ht="47.25" customHeight="1" thickTop="1" thickBot="1" x14ac:dyDescent="0.25">
      <c r="C292" s="24"/>
      <c r="D292" s="135"/>
      <c r="E292" s="134" t="s">
        <v>20</v>
      </c>
      <c r="F292" s="133">
        <v>87426</v>
      </c>
      <c r="G292" s="132"/>
      <c r="H292" s="19">
        <v>1.8452505766408001E-2</v>
      </c>
      <c r="I292" s="131" t="s">
        <v>105</v>
      </c>
      <c r="J292" s="137"/>
      <c r="K292" s="137"/>
      <c r="L292" s="136"/>
      <c r="M292" s="15"/>
      <c r="O292" s="128"/>
      <c r="Q292" s="127"/>
    </row>
    <row r="293" spans="3:20" s="25" customFormat="1" ht="47.25" customHeight="1" thickTop="1" thickBot="1" x14ac:dyDescent="0.25">
      <c r="C293" s="24"/>
      <c r="D293" s="135"/>
      <c r="E293" s="141" t="s">
        <v>19</v>
      </c>
      <c r="F293" s="140">
        <v>47319</v>
      </c>
      <c r="G293" s="139"/>
      <c r="H293" s="19">
        <v>-6.8631154766402025E-3</v>
      </c>
      <c r="I293" s="138" t="s">
        <v>106</v>
      </c>
      <c r="J293" s="137"/>
      <c r="K293" s="137"/>
      <c r="L293" s="136"/>
      <c r="M293" s="15"/>
      <c r="O293" s="128"/>
      <c r="Q293" s="127"/>
    </row>
    <row r="294" spans="3:20" s="25" customFormat="1" ht="47.25" customHeight="1" thickTop="1" thickBot="1" x14ac:dyDescent="0.25">
      <c r="C294" s="24"/>
      <c r="D294" s="135"/>
      <c r="E294" s="134" t="s">
        <v>18</v>
      </c>
      <c r="F294" s="133">
        <v>28047</v>
      </c>
      <c r="G294" s="132"/>
      <c r="H294" s="19">
        <v>-1.4259741185695951E-4</v>
      </c>
      <c r="I294" s="131" t="s">
        <v>107</v>
      </c>
      <c r="J294" s="137"/>
      <c r="K294" s="137"/>
      <c r="L294" s="136"/>
      <c r="M294" s="15"/>
      <c r="O294" s="128"/>
      <c r="Q294" s="127"/>
    </row>
    <row r="295" spans="3:20" s="25" customFormat="1" ht="47.25" customHeight="1" thickTop="1" thickBot="1" x14ac:dyDescent="0.25">
      <c r="C295" s="24"/>
      <c r="D295" s="135"/>
      <c r="E295" s="141" t="s">
        <v>17</v>
      </c>
      <c r="F295" s="140">
        <v>543</v>
      </c>
      <c r="G295" s="139"/>
      <c r="H295" s="19">
        <v>0</v>
      </c>
      <c r="I295" s="138" t="s">
        <v>108</v>
      </c>
      <c r="J295" s="137"/>
      <c r="K295" s="137"/>
      <c r="L295" s="136"/>
      <c r="M295" s="15"/>
      <c r="O295" s="128"/>
      <c r="Q295" s="127"/>
    </row>
    <row r="296" spans="3:20" s="25" customFormat="1" ht="47.25" customHeight="1" thickTop="1" thickBot="1" x14ac:dyDescent="0.25">
      <c r="C296" s="24"/>
      <c r="D296" s="135"/>
      <c r="E296" s="134" t="s">
        <v>16</v>
      </c>
      <c r="F296" s="133">
        <v>1076</v>
      </c>
      <c r="G296" s="132"/>
      <c r="H296" s="19">
        <v>2.4761904761904763E-2</v>
      </c>
      <c r="I296" s="131" t="s">
        <v>109</v>
      </c>
      <c r="J296" s="130"/>
      <c r="K296" s="130"/>
      <c r="L296" s="129"/>
      <c r="M296" s="15"/>
      <c r="O296" s="128"/>
      <c r="Q296" s="127"/>
    </row>
    <row r="297" spans="3:20" ht="5.25" customHeight="1" thickTop="1" x14ac:dyDescent="0.2">
      <c r="C297" s="126" t="s">
        <v>15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4"/>
      <c r="P297" s="25"/>
      <c r="Q297" s="25"/>
      <c r="R297" s="25"/>
    </row>
    <row r="298" spans="3:20" ht="18.75" customHeight="1" thickBot="1" x14ac:dyDescent="0.25"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4"/>
      <c r="P298" s="25"/>
      <c r="Q298" s="25"/>
      <c r="R298" s="25"/>
    </row>
    <row r="299" spans="3:20" ht="50.25" customHeight="1" thickBot="1" x14ac:dyDescent="0.25">
      <c r="C299" s="122"/>
      <c r="D299" s="122"/>
      <c r="E299" s="123" t="str">
        <f>E242</f>
        <v>INDICADORES TURÍSTICOS DE TENERIFE definitivo</v>
      </c>
      <c r="F299" s="123"/>
      <c r="G299" s="123"/>
      <c r="H299" s="123"/>
      <c r="I299" s="123"/>
      <c r="J299" s="123"/>
      <c r="K299" s="123"/>
      <c r="L299" s="122"/>
      <c r="M299" s="122"/>
      <c r="O299" s="25"/>
      <c r="P299" s="25"/>
      <c r="Q299" s="25"/>
      <c r="R299" s="25"/>
      <c r="S299" s="25"/>
      <c r="T299" s="25"/>
    </row>
    <row r="300" spans="3:20" ht="5.25" customHeight="1" thickBot="1" x14ac:dyDescent="0.25">
      <c r="O300" s="25"/>
      <c r="P300" s="25"/>
      <c r="Q300" s="25"/>
      <c r="R300" s="25"/>
      <c r="S300" s="25"/>
      <c r="T300" s="25"/>
    </row>
    <row r="301" spans="3:20" ht="18" customHeight="1" thickBot="1" x14ac:dyDescent="0.25">
      <c r="C301" s="121" t="s">
        <v>14</v>
      </c>
      <c r="D301" s="120"/>
      <c r="E301" s="120"/>
      <c r="F301" s="120"/>
      <c r="G301" s="120"/>
      <c r="H301" s="120"/>
      <c r="I301" s="120"/>
      <c r="J301" s="120"/>
      <c r="K301" s="120"/>
      <c r="L301" s="120"/>
      <c r="M301" s="119"/>
      <c r="O301" s="25"/>
      <c r="P301" s="25"/>
      <c r="Q301" s="25"/>
      <c r="R301" s="25"/>
      <c r="S301" s="25"/>
      <c r="T301" s="25"/>
    </row>
    <row r="302" spans="3:20" ht="5.25" customHeight="1" x14ac:dyDescent="0.2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6"/>
      <c r="O302" s="25"/>
      <c r="P302" s="25"/>
      <c r="Q302" s="25"/>
      <c r="R302" s="25"/>
      <c r="S302" s="25"/>
      <c r="T302" s="25"/>
    </row>
    <row r="303" spans="3:20" ht="39.75" customHeight="1" x14ac:dyDescent="0.2">
      <c r="C303" s="111" t="s">
        <v>13</v>
      </c>
      <c r="D303" s="110"/>
      <c r="E303" s="118" t="s">
        <v>7</v>
      </c>
      <c r="F303" s="117">
        <v>114419</v>
      </c>
      <c r="G303" s="116"/>
      <c r="H303" s="115">
        <v>1.541797178718205</v>
      </c>
      <c r="I303" s="114" t="s">
        <v>98</v>
      </c>
      <c r="J303" s="113"/>
      <c r="K303" s="113"/>
      <c r="L303" s="112"/>
      <c r="M303" s="15" t="s">
        <v>12</v>
      </c>
      <c r="O303" s="25"/>
      <c r="P303" s="25"/>
      <c r="Q303" s="25"/>
      <c r="R303" s="25"/>
      <c r="S303" s="25"/>
      <c r="T303" s="25"/>
    </row>
    <row r="304" spans="3:20" ht="50.25" customHeight="1" x14ac:dyDescent="0.2">
      <c r="C304" s="111"/>
      <c r="D304" s="110"/>
      <c r="E304" s="109" t="s">
        <v>6</v>
      </c>
      <c r="F304" s="108">
        <v>80441</v>
      </c>
      <c r="G304" s="107"/>
      <c r="H304" s="45">
        <v>2.2386262984137208</v>
      </c>
      <c r="I304" s="106" t="str">
        <f>CONCATENATE("La oferta hotelera estimada por el STDE del Cabildo de Tenerife se sitúa en ",FIXED(F304,0)," plazas, un ",FIXED(F304/F303*100,1),"% del total de plazas. ",IF(H304&gt;0,"Aumentan un ","Disminuyen un "),FIXED(H304*100,1),"% respecto al mismo periodo del año anterior.")</f>
        <v>La oferta hotelera estimada por el STDE del Cabildo de Tenerife se sitúa en 80.441 plazas, un 70,3% del total de plazas. Aumentan un 223,9% respecto al mismo periodo del año anterior.</v>
      </c>
      <c r="J304" s="43"/>
      <c r="K304" s="43"/>
      <c r="L304" s="42"/>
      <c r="M304" s="15"/>
      <c r="O304" s="25"/>
      <c r="P304" s="25"/>
      <c r="Q304" s="25"/>
      <c r="R304" s="25"/>
      <c r="S304" s="25"/>
      <c r="T304" s="25"/>
    </row>
    <row r="305" spans="3:18" ht="56.25" customHeight="1" thickBot="1" x14ac:dyDescent="0.25">
      <c r="C305" s="105"/>
      <c r="D305" s="104"/>
      <c r="E305" s="103" t="s">
        <v>5</v>
      </c>
      <c r="F305" s="102">
        <v>33978</v>
      </c>
      <c r="G305" s="101"/>
      <c r="H305" s="61">
        <v>0.68399662982603959</v>
      </c>
      <c r="I305" s="100" t="s">
        <v>99</v>
      </c>
      <c r="J305" s="59"/>
      <c r="K305" s="59"/>
      <c r="L305" s="58"/>
      <c r="M305" s="15"/>
      <c r="Q305" s="95"/>
    </row>
    <row r="306" spans="3:18" ht="9" hidden="1" customHeight="1" thickTop="1" x14ac:dyDescent="0.2">
      <c r="C306" s="76" t="s">
        <v>11</v>
      </c>
      <c r="D306" s="75"/>
      <c r="E306" s="74" t="s">
        <v>7</v>
      </c>
      <c r="F306" s="99">
        <v>2381</v>
      </c>
      <c r="G306" s="99"/>
      <c r="H306" s="52">
        <v>-0.42805668988710066</v>
      </c>
      <c r="I306" s="98" t="str">
        <f>CONCATENATE("Las plazas estimadas por el STDE  del Cabildo de Tenerife en la zona de Santa Cruz, ascienden a ",FIXED(F307,0),", todas ellas pertenecientes a la tipología hotelera. Se registra un ",IF(H307&gt;0,"incremento ","descenso "),"con respecto al año anterior del ",FIXED(H307*100,1),"%.")</f>
        <v>Las plazas estimadas por el STDE  del Cabildo de Tenerife en la zona de Santa Cruz, ascienden a 2.373, todas ellas pertenecientes a la tipología hotelera. Se registra un incremento con respecto al año anterior del 18,2%.</v>
      </c>
      <c r="J306" s="97"/>
      <c r="K306" s="97"/>
      <c r="L306" s="96"/>
      <c r="M306" s="15"/>
      <c r="Q306" s="95"/>
    </row>
    <row r="307" spans="3:18" ht="48.75" customHeight="1" thickTop="1" thickBot="1" x14ac:dyDescent="0.25">
      <c r="C307" s="66"/>
      <c r="D307" s="65"/>
      <c r="E307" s="64" t="s">
        <v>6</v>
      </c>
      <c r="F307" s="63">
        <v>2373</v>
      </c>
      <c r="G307" s="62"/>
      <c r="H307" s="61">
        <v>0.18177290836653381</v>
      </c>
      <c r="I307" s="18" t="str">
        <f>CONCATENATE("Las plazas estimadas por el STDE  del Cabildo de Tenerife en la zona de Santa Cruz, ascienden a ",FIXED(F307,0),", todas ellas pertenecientes a la tipología hotelera. Se registra un ",IF(H307&gt;0,"incremento ","descenso "),"con respecto al año anterior del ",FIXED(H307*100,1),"%.")</f>
        <v>Las plazas estimadas por el STDE  del Cabildo de Tenerife en la zona de Santa Cruz, ascienden a 2.373, todas ellas pertenecientes a la tipología hotelera. Se registra un incremento con respecto al año anterior del 18,2%.</v>
      </c>
      <c r="J307" s="94"/>
      <c r="K307" s="94"/>
      <c r="L307" s="93"/>
      <c r="M307" s="15"/>
    </row>
    <row r="308" spans="3:18" ht="42" customHeight="1" thickTop="1" x14ac:dyDescent="0.2">
      <c r="C308" s="92" t="s">
        <v>10</v>
      </c>
      <c r="D308" s="91"/>
      <c r="E308" s="90" t="s">
        <v>7</v>
      </c>
      <c r="F308" s="89">
        <v>823</v>
      </c>
      <c r="G308" s="88"/>
      <c r="H308" s="52">
        <v>0.39728353140916806</v>
      </c>
      <c r="I308" s="51" t="s">
        <v>100</v>
      </c>
      <c r="J308" s="50"/>
      <c r="K308" s="50"/>
      <c r="L308" s="49"/>
      <c r="M308" s="15"/>
    </row>
    <row r="309" spans="3:18" ht="34.5" customHeight="1" x14ac:dyDescent="0.2">
      <c r="C309" s="87"/>
      <c r="D309" s="86"/>
      <c r="E309" s="85" t="s">
        <v>6</v>
      </c>
      <c r="F309" s="84">
        <v>625</v>
      </c>
      <c r="G309" s="83"/>
      <c r="H309" s="45">
        <v>0.17041198501872667</v>
      </c>
      <c r="I309" s="44" t="str">
        <f>CONCATENATE("Las plazas hoteleras estimadas se sitúan en ",FIXED(F309,0)," plazas, registrando un ",IF(H309&gt;0,"incremento del ","descenso del "),FIXED(H309*100,1),"%.")</f>
        <v>Las plazas hoteleras estimadas se sitúan en 625 plazas, registrando un incremento del 17,0%.</v>
      </c>
      <c r="J309" s="43"/>
      <c r="K309" s="43"/>
      <c r="L309" s="42"/>
      <c r="M309" s="15"/>
    </row>
    <row r="310" spans="3:18" ht="34.5" customHeight="1" thickBot="1" x14ac:dyDescent="0.25">
      <c r="C310" s="82"/>
      <c r="D310" s="81"/>
      <c r="E310" s="80" t="s">
        <v>5</v>
      </c>
      <c r="F310" s="79">
        <v>198</v>
      </c>
      <c r="G310" s="78"/>
      <c r="H310" s="61">
        <v>2.6</v>
      </c>
      <c r="I310" s="77" t="s">
        <v>101</v>
      </c>
      <c r="J310" s="59"/>
      <c r="K310" s="59"/>
      <c r="L310" s="58"/>
      <c r="M310" s="15"/>
    </row>
    <row r="311" spans="3:18" ht="39.75" customHeight="1" thickTop="1" x14ac:dyDescent="0.2">
      <c r="C311" s="76" t="s">
        <v>9</v>
      </c>
      <c r="D311" s="75"/>
      <c r="E311" s="74" t="s">
        <v>7</v>
      </c>
      <c r="F311" s="73">
        <v>19276</v>
      </c>
      <c r="G311" s="72"/>
      <c r="H311" s="52">
        <v>1.6543651886532635</v>
      </c>
      <c r="I311" s="71" t="s">
        <v>102</v>
      </c>
      <c r="J311" s="50"/>
      <c r="K311" s="50"/>
      <c r="L311" s="49"/>
      <c r="M311" s="15"/>
    </row>
    <row r="312" spans="3:18" ht="34.5" customHeight="1" x14ac:dyDescent="0.2">
      <c r="C312" s="24"/>
      <c r="D312" s="23"/>
      <c r="E312" s="70" t="s">
        <v>6</v>
      </c>
      <c r="F312" s="69">
        <v>14441</v>
      </c>
      <c r="G312" s="68"/>
      <c r="H312" s="45">
        <v>2.9903288201160541</v>
      </c>
      <c r="I312" s="67" t="str">
        <f>CONCATENATE("La oferta hotelera asciende a ",FIXED(F312,0),", cifra que se ",IF(H312&gt;0,"incrementa un ","reduce un "),FIXED(H312*100,1),"% respecto al año anterior.")</f>
        <v>La oferta hotelera asciende a 14.441, cifra que se incrementa un 299,0% respecto al año anterior.</v>
      </c>
      <c r="J312" s="43"/>
      <c r="K312" s="43"/>
      <c r="L312" s="42"/>
      <c r="M312" s="15"/>
    </row>
    <row r="313" spans="3:18" ht="34.5" customHeight="1" thickBot="1" x14ac:dyDescent="0.25">
      <c r="C313" s="66"/>
      <c r="D313" s="65"/>
      <c r="E313" s="64" t="s">
        <v>5</v>
      </c>
      <c r="F313" s="63">
        <v>4835</v>
      </c>
      <c r="G313" s="62"/>
      <c r="H313" s="61">
        <v>0.32720285479000832</v>
      </c>
      <c r="I313" s="60" t="str">
        <f>CONCATENATE("Las plazas extrahoteras estimadas ascienden a ",FIXED(F313,0),", las cuales ",IF(H313&gt;0,"se incrementan un ","descienden un "),FIXED(H313*100,1),"%.")</f>
        <v>Las plazas extrahoteras estimadas ascienden a 4.835, las cuales se incrementan un 32,7%.</v>
      </c>
      <c r="J313" s="59"/>
      <c r="K313" s="59"/>
      <c r="L313" s="58"/>
      <c r="M313" s="15"/>
    </row>
    <row r="314" spans="3:18" ht="34.5" customHeight="1" thickTop="1" x14ac:dyDescent="0.2">
      <c r="C314" s="57" t="s">
        <v>8</v>
      </c>
      <c r="D314" s="56"/>
      <c r="E314" s="55" t="s">
        <v>7</v>
      </c>
      <c r="F314" s="54">
        <v>91939</v>
      </c>
      <c r="G314" s="53"/>
      <c r="H314" s="52">
        <v>1.615767611243883</v>
      </c>
      <c r="I314" s="51" t="str">
        <f>CONCATENATE("Las plazas estimadas para la zona Sur por el STDE del Cabildo ascienden a ",FIXED(F314,0)," experimentando un ",IF(H314&gt;0,"incremento interanual del ","descenso interanual del "),FIXED(H314*100,1),"%.")</f>
        <v>Las plazas estimadas para la zona Sur por el STDE del Cabildo ascienden a 91.939 experimentando un incremento interanual del 161,6%.</v>
      </c>
      <c r="J314" s="50"/>
      <c r="K314" s="50"/>
      <c r="L314" s="49"/>
      <c r="M314" s="15"/>
    </row>
    <row r="315" spans="3:18" ht="34.5" customHeight="1" x14ac:dyDescent="0.2">
      <c r="C315" s="41"/>
      <c r="D315" s="40"/>
      <c r="E315" s="48" t="s">
        <v>6</v>
      </c>
      <c r="F315" s="47">
        <v>63002</v>
      </c>
      <c r="G315" s="46"/>
      <c r="H315" s="45">
        <v>2.3732398136745729</v>
      </c>
      <c r="I315" s="44" t="str">
        <f>CONCATENATE("Las plazas hoteleras, con un oferta de ",FIXED(F315,0)," plazas, se ",IF(H315&gt;0,"incrementan un ","reducen un "),FIXED(H315*100,1),"% respecto al mismo período del año anterior.")</f>
        <v>Las plazas hoteleras, con un oferta de 63.002 plazas, se incrementan un 237,3% respecto al mismo período del año anterior.</v>
      </c>
      <c r="J315" s="43"/>
      <c r="K315" s="43"/>
      <c r="L315" s="42"/>
      <c r="M315" s="15"/>
    </row>
    <row r="316" spans="3:18" ht="34.5" customHeight="1" x14ac:dyDescent="0.2">
      <c r="C316" s="41"/>
      <c r="D316" s="40"/>
      <c r="E316" s="39" t="s">
        <v>5</v>
      </c>
      <c r="F316" s="38">
        <v>28937</v>
      </c>
      <c r="G316" s="37"/>
      <c r="H316" s="36">
        <v>0.75684536458017115</v>
      </c>
      <c r="I316" s="35" t="s">
        <v>103</v>
      </c>
      <c r="J316" s="34"/>
      <c r="K316" s="34"/>
      <c r="L316" s="33"/>
      <c r="M316" s="15"/>
    </row>
    <row r="317" spans="3:18" ht="5.25" customHeight="1" thickBot="1" x14ac:dyDescent="0.2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1"/>
      <c r="O317" s="25"/>
      <c r="R317" s="25"/>
    </row>
    <row r="318" spans="3:18" ht="19.5" customHeight="1" thickBot="1" x14ac:dyDescent="0.25">
      <c r="C318" s="30" t="s">
        <v>4</v>
      </c>
      <c r="D318" s="29"/>
      <c r="E318" s="29"/>
      <c r="F318" s="29"/>
      <c r="G318" s="29"/>
      <c r="H318" s="29"/>
      <c r="I318" s="29"/>
      <c r="J318" s="29"/>
      <c r="K318" s="29"/>
      <c r="L318" s="29"/>
      <c r="M318" s="28"/>
      <c r="O318" s="25"/>
      <c r="P318" s="25"/>
      <c r="Q318" s="25"/>
    </row>
    <row r="319" spans="3:18" ht="5.25" customHeight="1" x14ac:dyDescent="0.2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6"/>
      <c r="O319" s="25"/>
      <c r="P319" s="25"/>
      <c r="Q319" s="25"/>
    </row>
    <row r="320" spans="3:18" ht="44.25" customHeight="1" thickBot="1" x14ac:dyDescent="0.25">
      <c r="C320" s="24" t="s">
        <v>3</v>
      </c>
      <c r="D320" s="23"/>
      <c r="E320" s="22" t="s">
        <v>2</v>
      </c>
      <c r="F320" s="21">
        <v>141996</v>
      </c>
      <c r="G320" s="20"/>
      <c r="H320" s="19">
        <v>5.4614124499453949</v>
      </c>
      <c r="I320" s="18" t="s">
        <v>95</v>
      </c>
      <c r="J320" s="17"/>
      <c r="K320" s="17"/>
      <c r="L320" s="16"/>
      <c r="M320" s="15" t="s">
        <v>97</v>
      </c>
    </row>
    <row r="321" spans="3:13" ht="40.5" customHeight="1" thickTop="1" thickBot="1" x14ac:dyDescent="0.25">
      <c r="C321" s="14"/>
      <c r="D321" s="13"/>
      <c r="E321" s="12" t="s">
        <v>1</v>
      </c>
      <c r="F321" s="11">
        <v>123</v>
      </c>
      <c r="G321" s="10"/>
      <c r="H321" s="9">
        <v>0.80882352941176472</v>
      </c>
      <c r="I321" s="8" t="s">
        <v>96</v>
      </c>
      <c r="J321" s="7"/>
      <c r="K321" s="7"/>
      <c r="L321" s="6"/>
      <c r="M321" s="5"/>
    </row>
    <row r="322" spans="3:13" ht="13.5" thickTop="1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3:13" ht="29.25" customHeight="1" x14ac:dyDescent="0.2"/>
    <row r="324" spans="3:13" ht="18" customHeight="1" x14ac:dyDescent="0.2">
      <c r="C324" s="3" t="s">
        <v>0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6" spans="3:13" ht="6.75" customHeight="1" x14ac:dyDescent="0.2"/>
    <row r="328" spans="3:13" ht="8.25" customHeight="1" x14ac:dyDescent="0.2"/>
    <row r="331" spans="3:13" x14ac:dyDescent="0.2">
      <c r="E331" s="2"/>
      <c r="F331" s="2"/>
      <c r="G331" s="2"/>
    </row>
    <row r="332" spans="3:13" x14ac:dyDescent="0.2">
      <c r="E332" s="2"/>
      <c r="F332" s="2"/>
      <c r="G332" s="2"/>
    </row>
    <row r="335" spans="3:13" ht="21.75" customHeight="1" x14ac:dyDescent="0.2"/>
    <row r="337" s="1" customFormat="1" ht="6" customHeight="1" x14ac:dyDescent="0.2"/>
  </sheetData>
  <mergeCells count="189"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  <mergeCell ref="C15:D17"/>
    <mergeCell ref="I15:I17"/>
    <mergeCell ref="C18:D20"/>
    <mergeCell ref="I18:I20"/>
    <mergeCell ref="C21:D23"/>
    <mergeCell ref="I21:I2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54:D56"/>
    <mergeCell ref="I54:I56"/>
    <mergeCell ref="C57:D59"/>
    <mergeCell ref="I57:I59"/>
    <mergeCell ref="C60:M60"/>
    <mergeCell ref="E61:K61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I74:I76"/>
    <mergeCell ref="C77:D79"/>
    <mergeCell ref="I77:I79"/>
    <mergeCell ref="C80:D82"/>
    <mergeCell ref="I80:I82"/>
    <mergeCell ref="C84:M84"/>
    <mergeCell ref="C86:D90"/>
    <mergeCell ref="I86:I90"/>
    <mergeCell ref="M86:M90"/>
    <mergeCell ref="C92:M92"/>
    <mergeCell ref="C94:D98"/>
    <mergeCell ref="I94:I98"/>
    <mergeCell ref="M94:M98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116:M116"/>
    <mergeCell ref="E117:K117"/>
    <mergeCell ref="C119:M119"/>
    <mergeCell ref="H120:I120"/>
    <mergeCell ref="D122:E122"/>
    <mergeCell ref="F122:G122"/>
    <mergeCell ref="H122:I122"/>
    <mergeCell ref="J122:K122"/>
    <mergeCell ref="L122:M122"/>
    <mergeCell ref="C151:M151"/>
    <mergeCell ref="H152:I152"/>
    <mergeCell ref="D154:E154"/>
    <mergeCell ref="F154:G154"/>
    <mergeCell ref="H154:I154"/>
    <mergeCell ref="J154:K154"/>
    <mergeCell ref="L154:M154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E242:K242"/>
    <mergeCell ref="C244:M244"/>
    <mergeCell ref="D246:E246"/>
    <mergeCell ref="F246:G246"/>
    <mergeCell ref="H246:I246"/>
    <mergeCell ref="J246:K246"/>
    <mergeCell ref="L246:M246"/>
    <mergeCell ref="C276:M276"/>
    <mergeCell ref="C278:C287"/>
    <mergeCell ref="D278:D282"/>
    <mergeCell ref="E278:G278"/>
    <mergeCell ref="M278:M287"/>
    <mergeCell ref="E279:G279"/>
    <mergeCell ref="E280:G280"/>
    <mergeCell ref="E281:G281"/>
    <mergeCell ref="E282:G282"/>
    <mergeCell ref="D283:D287"/>
    <mergeCell ref="E283:G283"/>
    <mergeCell ref="E284:G284"/>
    <mergeCell ref="E285:G285"/>
    <mergeCell ref="E286:G286"/>
    <mergeCell ref="E287:G287"/>
    <mergeCell ref="C289:M289"/>
    <mergeCell ref="F292:G292"/>
    <mergeCell ref="I292:L292"/>
    <mergeCell ref="F293:G293"/>
    <mergeCell ref="I293:L293"/>
    <mergeCell ref="F294:G294"/>
    <mergeCell ref="I294:L294"/>
    <mergeCell ref="F295:G295"/>
    <mergeCell ref="I295:L295"/>
    <mergeCell ref="F296:G296"/>
    <mergeCell ref="I296:L296"/>
    <mergeCell ref="E299:K299"/>
    <mergeCell ref="C301:M301"/>
    <mergeCell ref="C291:D296"/>
    <mergeCell ref="F291:G291"/>
    <mergeCell ref="I291:L291"/>
    <mergeCell ref="M291:M296"/>
    <mergeCell ref="C303:D305"/>
    <mergeCell ref="F303:G303"/>
    <mergeCell ref="I303:L303"/>
    <mergeCell ref="M303:M316"/>
    <mergeCell ref="F304:G304"/>
    <mergeCell ref="I304:L304"/>
    <mergeCell ref="F305:G305"/>
    <mergeCell ref="I305:L305"/>
    <mergeCell ref="C306:D307"/>
    <mergeCell ref="I306:L306"/>
    <mergeCell ref="F307:G307"/>
    <mergeCell ref="I307:L307"/>
    <mergeCell ref="C308:D310"/>
    <mergeCell ref="F308:G308"/>
    <mergeCell ref="I308:L308"/>
    <mergeCell ref="F309:G309"/>
    <mergeCell ref="I309:L309"/>
    <mergeCell ref="F310:G310"/>
    <mergeCell ref="I310:L310"/>
    <mergeCell ref="C311:D313"/>
    <mergeCell ref="F311:G311"/>
    <mergeCell ref="I311:L311"/>
    <mergeCell ref="F312:G312"/>
    <mergeCell ref="I312:L312"/>
    <mergeCell ref="F313:G313"/>
    <mergeCell ref="I313:L313"/>
    <mergeCell ref="C314:D316"/>
    <mergeCell ref="F314:G314"/>
    <mergeCell ref="I314:L314"/>
    <mergeCell ref="F315:G315"/>
    <mergeCell ref="I315:L315"/>
    <mergeCell ref="F316:G316"/>
    <mergeCell ref="I316:L316"/>
    <mergeCell ref="C324:M324"/>
    <mergeCell ref="C318:M318"/>
    <mergeCell ref="C320:D321"/>
    <mergeCell ref="F320:G320"/>
    <mergeCell ref="I320:L320"/>
    <mergeCell ref="M320:M321"/>
    <mergeCell ref="F321:G321"/>
    <mergeCell ref="I321:L321"/>
  </mergeCells>
  <conditionalFormatting sqref="N278">
    <cfRule type="expression" dxfId="40" priority="39">
      <formula>$C287="Todos los países"</formula>
    </cfRule>
  </conditionalFormatting>
  <conditionalFormatting sqref="O11:O13 L9:L23">
    <cfRule type="expression" dxfId="39" priority="37">
      <formula>L9&lt;0</formula>
    </cfRule>
    <cfRule type="expression" dxfId="38" priority="38">
      <formula>L9&gt;=0</formula>
    </cfRule>
  </conditionalFormatting>
  <conditionalFormatting sqref="L27:L41">
    <cfRule type="expression" dxfId="37" priority="35">
      <formula>L27&gt;=0</formula>
    </cfRule>
    <cfRule type="expression" dxfId="36" priority="36">
      <formula>L27&lt;0</formula>
    </cfRule>
  </conditionalFormatting>
  <conditionalFormatting sqref="L45:L59">
    <cfRule type="expression" dxfId="35" priority="33">
      <formula>L45&lt;0</formula>
    </cfRule>
    <cfRule type="expression" dxfId="34" priority="34">
      <formula>L45&gt;=0</formula>
    </cfRule>
  </conditionalFormatting>
  <conditionalFormatting sqref="L68:L82">
    <cfRule type="expression" dxfId="33" priority="31">
      <formula>L68&lt;0</formula>
    </cfRule>
    <cfRule type="expression" dxfId="32" priority="32">
      <formula>L68&gt;=0</formula>
    </cfRule>
  </conditionalFormatting>
  <conditionalFormatting sqref="L86:L90 L94:L98">
    <cfRule type="expression" dxfId="31" priority="29">
      <formula>L86&lt;0</formula>
    </cfRule>
    <cfRule type="expression" dxfId="30" priority="30">
      <formula>L86&gt;=0</formula>
    </cfRule>
  </conditionalFormatting>
  <conditionalFormatting sqref="L102:L106 L110:L114">
    <cfRule type="expression" dxfId="29" priority="27">
      <formula>L102&lt;0</formula>
    </cfRule>
    <cfRule type="expression" dxfId="28" priority="28">
      <formula>L102&gt;=0</formula>
    </cfRule>
  </conditionalFormatting>
  <conditionalFormatting sqref="E124:E149 G124:G149 I124:I149 K124:K149 M124:M149">
    <cfRule type="expression" dxfId="27" priority="25">
      <formula>E124&lt;0</formula>
    </cfRule>
    <cfRule type="expression" dxfId="26" priority="26">
      <formula>E124&gt;=0</formula>
    </cfRule>
  </conditionalFormatting>
  <conditionalFormatting sqref="E156:E181 G156:G181 I156:I181 K156:K181 M156:M181">
    <cfRule type="expression" dxfId="25" priority="23">
      <formula>E156&lt;0</formula>
    </cfRule>
    <cfRule type="expression" dxfId="24" priority="24">
      <formula>E156&gt;0</formula>
    </cfRule>
  </conditionalFormatting>
  <conditionalFormatting sqref="H303:H316 H320:H321">
    <cfRule type="expression" dxfId="23" priority="21">
      <formula>H303&lt;0</formula>
    </cfRule>
    <cfRule type="expression" dxfId="22" priority="22">
      <formula>H303&gt;0</formula>
    </cfRule>
  </conditionalFormatting>
  <conditionalFormatting sqref="H291:H296">
    <cfRule type="expression" dxfId="21" priority="19">
      <formula>H291&lt;0</formula>
    </cfRule>
    <cfRule type="expression" dxfId="20" priority="20">
      <formula>H291&gt;0</formula>
    </cfRule>
  </conditionalFormatting>
  <conditionalFormatting sqref="I278:I287">
    <cfRule type="expression" dxfId="19" priority="17">
      <formula>I278&lt;0</formula>
    </cfRule>
    <cfRule type="expression" dxfId="18" priority="18">
      <formula>I278&gt;0</formula>
    </cfRule>
  </conditionalFormatting>
  <conditionalFormatting sqref="G9:G23">
    <cfRule type="expression" dxfId="17" priority="15">
      <formula>G9&lt;0</formula>
    </cfRule>
    <cfRule type="expression" dxfId="16" priority="16">
      <formula>G9&gt;=0</formula>
    </cfRule>
  </conditionalFormatting>
  <conditionalFormatting sqref="G27:G41">
    <cfRule type="expression" dxfId="15" priority="13">
      <formula>G27&gt;=0</formula>
    </cfRule>
    <cfRule type="expression" dxfId="14" priority="14">
      <formula>G27&lt;0</formula>
    </cfRule>
  </conditionalFormatting>
  <conditionalFormatting sqref="G45:G59">
    <cfRule type="expression" dxfId="13" priority="11">
      <formula>G45&lt;0</formula>
    </cfRule>
    <cfRule type="expression" dxfId="12" priority="12">
      <formula>G45&gt;=0</formula>
    </cfRule>
  </conditionalFormatting>
  <conditionalFormatting sqref="G68:G82">
    <cfRule type="expression" dxfId="11" priority="9">
      <formula>G68&lt;0</formula>
    </cfRule>
    <cfRule type="expression" dxfId="10" priority="10">
      <formula>G68&gt;=0</formula>
    </cfRule>
  </conditionalFormatting>
  <conditionalFormatting sqref="G86:G90">
    <cfRule type="expression" dxfId="9" priority="7">
      <formula>G86&lt;0</formula>
    </cfRule>
    <cfRule type="expression" dxfId="8" priority="8">
      <formula>G86&gt;=0</formula>
    </cfRule>
  </conditionalFormatting>
  <conditionalFormatting sqref="G94:G98">
    <cfRule type="expression" dxfId="7" priority="5">
      <formula>G94&lt;0</formula>
    </cfRule>
    <cfRule type="expression" dxfId="6" priority="6">
      <formula>G94&gt;=0</formula>
    </cfRule>
  </conditionalFormatting>
  <conditionalFormatting sqref="G102:G106">
    <cfRule type="expression" dxfId="5" priority="3">
      <formula>G102&lt;0</formula>
    </cfRule>
    <cfRule type="expression" dxfId="4" priority="4">
      <formula>G102&gt;=0</formula>
    </cfRule>
  </conditionalFormatting>
  <conditionalFormatting sqref="G110:G114">
    <cfRule type="expression" dxfId="3" priority="1">
      <formula>G110&lt;0</formula>
    </cfRule>
    <cfRule type="expression" dxfId="2" priority="2">
      <formula>G110&gt;=0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7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Props1.xml><?xml version="1.0" encoding="utf-8"?>
<ds:datastoreItem xmlns:ds="http://schemas.openxmlformats.org/officeDocument/2006/customXml" ds:itemID="{19EE00ED-594C-4411-8B0A-1F3FFB4933C8}"/>
</file>

<file path=customXml/itemProps2.xml><?xml version="1.0" encoding="utf-8"?>
<ds:datastoreItem xmlns:ds="http://schemas.openxmlformats.org/officeDocument/2006/customXml" ds:itemID="{9FA39DCF-FE0D-40B2-B3CF-719ABA5ED230}"/>
</file>

<file path=customXml/itemProps3.xml><?xml version="1.0" encoding="utf-8"?>
<ds:datastoreItem xmlns:ds="http://schemas.openxmlformats.org/officeDocument/2006/customXml" ds:itemID="{EF881CD7-D20B-4ED4-9523-703F06BEB0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2022</vt:lpstr>
      <vt:lpstr>'marzo 2022'!Área_de_impresión</vt:lpstr>
      <vt:lpstr>'marzo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Marjorie Perez Garcia</cp:lastModifiedBy>
  <dcterms:created xsi:type="dcterms:W3CDTF">2022-06-24T08:58:08Z</dcterms:created>
  <dcterms:modified xsi:type="dcterms:W3CDTF">2022-06-24T09:00:22Z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