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turismodetenerife.sharepoint.com/sites/INVESTIGACION/Documentos compartidos/General/BOLETIN ESTADÍSTICO SPET/INDICADORES TURISTICOS DE TENERIFE/2022/"/>
    </mc:Choice>
  </mc:AlternateContent>
  <xr:revisionPtr revIDLastSave="2" documentId="8_{8701F03A-03BC-4310-B486-5788751E7BE7}" xr6:coauthVersionLast="47" xr6:coauthVersionMax="47" xr10:uidLastSave="{CC245604-8ADA-4CB3-A3C0-1D3B318AF2E2}"/>
  <bookViews>
    <workbookView xWindow="-120" yWindow="-120" windowWidth="29040" windowHeight="15720" xr2:uid="{428CB1F6-A292-4676-80E3-5D6FB6391AE0}"/>
  </bookViews>
  <sheets>
    <sheet name="febrero 2022" sheetId="1" r:id="rId1"/>
  </sheets>
  <externalReferences>
    <externalReference r:id="rId2"/>
  </externalReferences>
  <definedNames>
    <definedName name="_xlnm.Print_Area" localSheetId="0">'febrero 2022'!$C$1:$M$324</definedName>
    <definedName name="imagen100">OFFSET('[1]para grafico de camas'!$A$10,'[1]para grafico de camas'!$K$1-1,0)</definedName>
    <definedName name="imagen110">OFFSET('[1]para grafico de camas'!$A$10,'[1]para grafico de camas'!$B$1-1,0)</definedName>
    <definedName name="imagen120">OFFSET('[1]para grafico de camas'!$A$10,'[1]para grafico de camas'!$C$1-1,0)</definedName>
    <definedName name="imagen130">OFFSET('[1]para grafico de camas'!$A$10,'[1]para grafico de camas'!$D$1-1,0)</definedName>
    <definedName name="imagen140">OFFSET('[1]para grafico de camas'!$A$10,'[1]para grafico de camas'!$E$1-1,0)</definedName>
    <definedName name="imagen150">OFFSET('[1]para grafico de camas'!$A$10,'[1]para grafico de camas'!$F$1-1,0)</definedName>
    <definedName name="imagen160">OFFSET('[1]para grafico de camas'!$A$10,'[1]para grafico de camas'!$G$1-1,0)</definedName>
    <definedName name="imagen170">OFFSET('[1]para grafico de camas'!$A$10,'[1]para grafico de camas'!$H$1-1,0)</definedName>
    <definedName name="imagen180">OFFSET('[1]para grafico de camas'!$A$10,'[1]para grafico de camas'!$I$1-1,0)</definedName>
    <definedName name="imagen190">OFFSET('[1]para grafico de camas'!$A$10,'[1]para grafico de camas'!$J$1-1,0)</definedName>
    <definedName name="imagen200">OFFSET('[1]para grafico de camas'!$A$10,'[1]para grafico de camas'!$K$2-1,0)</definedName>
    <definedName name="imagen210">OFFSET('[1]para grafico de camas'!$A$10,'[1]para grafico de camas'!$B$2-1,0)</definedName>
    <definedName name="imagen220">OFFSET('[1]para grafico de camas'!$A$10,'[1]para grafico de camas'!$C$2-1,0)</definedName>
    <definedName name="imagen230">OFFSET('[1]para grafico de camas'!$A$10,'[1]para grafico de camas'!$D$2-1,0)</definedName>
    <definedName name="imagen240">OFFSET('[1]para grafico de camas'!$A$10,'[1]para grafico de camas'!$E$2-1,0)</definedName>
    <definedName name="imagen250">OFFSET('[1]para grafico de camas'!$A$10,'[1]para grafico de camas'!$F$2-1,0)</definedName>
    <definedName name="imagen260">OFFSET('[1]para grafico de camas'!$A$10,'[1]para grafico de camas'!$G$2-1,0)</definedName>
    <definedName name="imagen270">OFFSET('[1]para grafico de camas'!$A$10,'[1]para grafico de camas'!$H$2-1,0)</definedName>
    <definedName name="imagen280">OFFSET('[1]para grafico de camas'!$A$10,'[1]para grafico de camas'!$I$2-1,0)</definedName>
    <definedName name="imagen290">OFFSET('[1]para grafico de camas'!$A$10,'[1]para grafico de camas'!$J$2-1,0)</definedName>
    <definedName name="imagen300">OFFSET('[1]para grafico de camas'!$A$10,'[1]para grafico de camas'!$K$3-1,0)</definedName>
    <definedName name="imagen310">OFFSET('[1]para grafico de camas'!$A$10,'[1]para grafico de camas'!$B$3-1,0)</definedName>
    <definedName name="imagen320">OFFSET('[1]para grafico de camas'!$A$10,'[1]para grafico de camas'!$C$3-1,0)</definedName>
    <definedName name="imagen330">OFFSET('[1]para grafico de camas'!$A$10,'[1]para grafico de camas'!$D$3-1,0)</definedName>
    <definedName name="imagen340">OFFSET('[1]para grafico de camas'!$A$10,'[1]para grafico de camas'!$E$3-1,0)</definedName>
    <definedName name="imagen350">OFFSET('[1]para grafico de camas'!$A$10,'[1]para grafico de camas'!$F$3-1,0)</definedName>
    <definedName name="imagen360">OFFSET('[1]para grafico de camas'!$A$10,'[1]para grafico de camas'!$G$3-1,0)</definedName>
    <definedName name="imagen370">OFFSET('[1]para grafico de camas'!$A$10,'[1]para grafico de camas'!$H$3-1,0)</definedName>
    <definedName name="imagen380">OFFSET('[1]para grafico de camas'!$A$10,'[1]para grafico de camas'!$I$3-1,0)</definedName>
    <definedName name="imagen390">OFFSET('[1]para grafico de camas'!$A$10,'[1]para grafico de camas'!$J$3-1,0)</definedName>
    <definedName name="imagen400">OFFSET('[1]para grafico de camas'!$A$10,'[1]para grafico de camas'!$K$4-1,0)</definedName>
    <definedName name="imagen410">OFFSET('[1]para grafico de camas'!$A$10,'[1]para grafico de camas'!$B$4-1,0)</definedName>
    <definedName name="imagen420">OFFSET('[1]para grafico de camas'!$A$10,'[1]para grafico de camas'!$C$4-1,0)</definedName>
    <definedName name="imagen430">OFFSET('[1]para grafico de camas'!$A$10,'[1]para grafico de camas'!$D$4-1,0)</definedName>
    <definedName name="imagen440">OFFSET('[1]para grafico de camas'!$A$10,'[1]para grafico de camas'!$E$4-1,0)</definedName>
    <definedName name="imagen450">OFFSET('[1]para grafico de camas'!$A$10,'[1]para grafico de camas'!$F$4-1,0)</definedName>
    <definedName name="imagen460">OFFSET('[1]para grafico de camas'!$A$10,'[1]para grafico de camas'!$G$4-1,0)</definedName>
    <definedName name="imagen470">OFFSET('[1]para grafico de camas'!$A$10,'[1]para grafico de camas'!$H$4-1,0)</definedName>
    <definedName name="imagen480">OFFSET('[1]para grafico de camas'!$A$10,'[1]para grafico de camas'!$I$4-1,0)</definedName>
    <definedName name="imagen490">OFFSET('[1]para grafico de camas'!$A$10,'[1]para grafico de camas'!$J$4-1,0)</definedName>
    <definedName name="imagen500">OFFSET('[1]para grafico de camas'!$A$10,'[1]para grafico de camas'!$K$5-1,0)</definedName>
    <definedName name="imagen510">OFFSET('[1]para grafico de camas'!$A$10,'[1]para grafico de camas'!$B$5-1,0)</definedName>
    <definedName name="imagen520">OFFSET('[1]para grafico de camas'!$A$10,'[1]para grafico de camas'!$C$5-1,0)</definedName>
    <definedName name="imagen530">OFFSET('[1]para grafico de camas'!$A$10,'[1]para grafico de camas'!$D$5-1,0)</definedName>
    <definedName name="imagen540">OFFSET('[1]para grafico de camas'!$A$10,'[1]para grafico de camas'!$E$5-1,0)</definedName>
    <definedName name="imagen550">OFFSET('[1]para grafico de camas'!$A$10,'[1]para grafico de camas'!$F$5-1,0)</definedName>
    <definedName name="imagen560">OFFSET('[1]para grafico de camas'!$A$10,'[1]para grafico de camas'!$G$5-1,0)</definedName>
    <definedName name="imagen570">OFFSET('[1]para grafico de camas'!$A$10,'[1]para grafico de camas'!$H$5-1,0)</definedName>
    <definedName name="imagen580">OFFSET('[1]para grafico de camas'!$A$10,'[1]para grafico de camas'!$I$5-1,0)</definedName>
    <definedName name="imagen590">OFFSET('[1]para grafico de camas'!$A$10,'[1]para grafico de camas'!$J$5-1,0)</definedName>
    <definedName name="imagen600">OFFSET('[1]para grafico de camas'!$A$10,'[1]para grafico de camas'!$K$6-1,0)</definedName>
    <definedName name="imagen610">OFFSET('[1]para grafico de camas'!$A$10,'[1]para grafico de camas'!$B$6-1,0)</definedName>
    <definedName name="imagen620">OFFSET('[1]para grafico de camas'!$A$10,'[1]para grafico de camas'!$C$6-1,0)</definedName>
    <definedName name="imagen630">OFFSET('[1]para grafico de camas'!$A$10,'[1]para grafico de camas'!$D$6-1,0)</definedName>
    <definedName name="imagen640">OFFSET('[1]para grafico de camas'!$A$10,'[1]para grafico de camas'!$E$6-1,0)</definedName>
    <definedName name="imagen650">OFFSET('[1]para grafico de camas'!$A$10,'[1]para grafico de camas'!$F$6-1,0)</definedName>
    <definedName name="imagen660">OFFSET('[1]para grafico de camas'!$A$10,'[1]para grafico de camas'!$G$6-1,0)</definedName>
    <definedName name="imagen670">OFFSET('[1]para grafico de camas'!$A$10,'[1]para grafico de camas'!$H$6-1,0)</definedName>
    <definedName name="imagen680">OFFSET('[1]para grafico de camas'!$A$10,'[1]para grafico de camas'!$I$6-1,0)</definedName>
    <definedName name="imagen690">OFFSET('[1]para grafico de camas'!$A$10,'[1]para grafico de camas'!$J$6-1,0)</definedName>
    <definedName name="Print_Area" localSheetId="0">'febrero 2022'!$C$1:$M$326</definedName>
    <definedName name="Z_B161D6A3_44F3_469D_B50D_76D907B3525C_.wvu.Cols" localSheetId="0" hidden="1">'febrero 2022'!#REF!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1" i="1" l="1"/>
  <c r="Q240" i="1"/>
  <c r="P240" i="1"/>
  <c r="O240" i="1"/>
  <c r="N240" i="1"/>
  <c r="M240" i="1"/>
  <c r="L240" i="1"/>
  <c r="K240" i="1"/>
  <c r="J240" i="1"/>
  <c r="I240" i="1"/>
  <c r="H240" i="1"/>
  <c r="F240" i="1"/>
  <c r="E240" i="1"/>
  <c r="D240" i="1"/>
  <c r="Q239" i="1"/>
  <c r="P239" i="1"/>
  <c r="O239" i="1"/>
  <c r="N239" i="1"/>
  <c r="M239" i="1"/>
  <c r="L239" i="1"/>
  <c r="K239" i="1"/>
  <c r="J239" i="1"/>
  <c r="I239" i="1"/>
  <c r="H239" i="1"/>
  <c r="F239" i="1"/>
  <c r="E239" i="1"/>
  <c r="D239" i="1"/>
  <c r="Q238" i="1"/>
  <c r="P238" i="1"/>
  <c r="O238" i="1"/>
  <c r="N238" i="1"/>
  <c r="M238" i="1"/>
  <c r="L238" i="1"/>
  <c r="K238" i="1"/>
  <c r="J238" i="1"/>
  <c r="I238" i="1"/>
  <c r="H238" i="1"/>
  <c r="F238" i="1"/>
  <c r="E238" i="1"/>
  <c r="D238" i="1"/>
  <c r="Q237" i="1"/>
  <c r="P237" i="1"/>
  <c r="O237" i="1"/>
  <c r="N237" i="1"/>
  <c r="M237" i="1"/>
  <c r="L237" i="1"/>
  <c r="K237" i="1"/>
  <c r="J237" i="1"/>
  <c r="I237" i="1"/>
  <c r="H237" i="1"/>
  <c r="F237" i="1"/>
  <c r="E237" i="1"/>
  <c r="D237" i="1"/>
  <c r="Q236" i="1"/>
  <c r="P236" i="1"/>
  <c r="O236" i="1"/>
  <c r="N236" i="1"/>
  <c r="M236" i="1"/>
  <c r="L236" i="1"/>
  <c r="K236" i="1"/>
  <c r="J236" i="1"/>
  <c r="I236" i="1"/>
  <c r="H236" i="1"/>
  <c r="F236" i="1"/>
  <c r="E236" i="1"/>
  <c r="D236" i="1"/>
  <c r="Q235" i="1"/>
  <c r="P235" i="1"/>
  <c r="O235" i="1"/>
  <c r="N235" i="1"/>
  <c r="M235" i="1"/>
  <c r="L235" i="1"/>
  <c r="K235" i="1"/>
  <c r="J235" i="1"/>
  <c r="I235" i="1"/>
  <c r="H235" i="1"/>
  <c r="F235" i="1"/>
  <c r="E235" i="1"/>
  <c r="D235" i="1"/>
  <c r="Q234" i="1"/>
  <c r="P234" i="1"/>
  <c r="O234" i="1"/>
  <c r="N234" i="1"/>
  <c r="M234" i="1"/>
  <c r="L234" i="1"/>
  <c r="K234" i="1"/>
  <c r="J234" i="1"/>
  <c r="I234" i="1"/>
  <c r="H234" i="1"/>
  <c r="F234" i="1"/>
  <c r="E234" i="1"/>
  <c r="D234" i="1"/>
  <c r="Q233" i="1"/>
  <c r="P233" i="1"/>
  <c r="O233" i="1"/>
  <c r="N233" i="1"/>
  <c r="M233" i="1"/>
  <c r="L233" i="1"/>
  <c r="K233" i="1"/>
  <c r="J233" i="1"/>
  <c r="I233" i="1"/>
  <c r="H233" i="1"/>
  <c r="F233" i="1"/>
  <c r="E233" i="1"/>
  <c r="D233" i="1"/>
  <c r="Q232" i="1"/>
  <c r="P232" i="1"/>
  <c r="O232" i="1"/>
  <c r="N232" i="1"/>
  <c r="M232" i="1"/>
  <c r="L232" i="1"/>
  <c r="K232" i="1"/>
  <c r="J232" i="1"/>
  <c r="I232" i="1"/>
  <c r="H232" i="1"/>
  <c r="F232" i="1"/>
  <c r="E232" i="1"/>
  <c r="D232" i="1"/>
  <c r="Q231" i="1"/>
  <c r="P231" i="1"/>
  <c r="O231" i="1"/>
  <c r="N231" i="1"/>
  <c r="M231" i="1"/>
  <c r="L231" i="1"/>
  <c r="K231" i="1"/>
  <c r="J231" i="1"/>
  <c r="I231" i="1"/>
  <c r="H231" i="1"/>
  <c r="F231" i="1"/>
  <c r="E231" i="1"/>
  <c r="D231" i="1"/>
  <c r="Q230" i="1"/>
  <c r="P230" i="1"/>
  <c r="O230" i="1"/>
  <c r="N230" i="1"/>
  <c r="M230" i="1"/>
  <c r="K230" i="1"/>
  <c r="J230" i="1"/>
  <c r="I230" i="1"/>
  <c r="H230" i="1"/>
  <c r="F230" i="1"/>
  <c r="E230" i="1"/>
  <c r="Q229" i="1"/>
  <c r="P229" i="1"/>
  <c r="O229" i="1"/>
  <c r="N229" i="1"/>
  <c r="M229" i="1"/>
  <c r="L229" i="1"/>
  <c r="K229" i="1"/>
  <c r="J229" i="1"/>
  <c r="I229" i="1"/>
  <c r="H229" i="1"/>
  <c r="F229" i="1"/>
  <c r="E229" i="1"/>
  <c r="D229" i="1"/>
  <c r="Q228" i="1"/>
  <c r="P228" i="1"/>
  <c r="O228" i="1"/>
  <c r="N228" i="1"/>
  <c r="M228" i="1"/>
  <c r="L228" i="1"/>
  <c r="K228" i="1"/>
  <c r="J228" i="1"/>
  <c r="I228" i="1"/>
  <c r="H228" i="1"/>
  <c r="F228" i="1"/>
  <c r="E228" i="1"/>
  <c r="D228" i="1"/>
  <c r="Q227" i="1"/>
  <c r="P227" i="1"/>
  <c r="O227" i="1"/>
  <c r="N227" i="1"/>
  <c r="M227" i="1"/>
  <c r="L227" i="1"/>
  <c r="K227" i="1"/>
  <c r="J227" i="1"/>
  <c r="I227" i="1"/>
  <c r="H227" i="1"/>
  <c r="F227" i="1"/>
  <c r="E227" i="1"/>
  <c r="D227" i="1"/>
  <c r="Q226" i="1"/>
  <c r="P226" i="1"/>
  <c r="O226" i="1"/>
  <c r="N226" i="1"/>
  <c r="M226" i="1"/>
  <c r="L226" i="1"/>
  <c r="K226" i="1"/>
  <c r="J226" i="1"/>
  <c r="I226" i="1"/>
  <c r="H226" i="1"/>
  <c r="F226" i="1"/>
  <c r="E226" i="1"/>
  <c r="D226" i="1"/>
  <c r="Q225" i="1"/>
  <c r="P225" i="1"/>
  <c r="O225" i="1"/>
  <c r="N225" i="1"/>
  <c r="M225" i="1"/>
  <c r="L225" i="1"/>
  <c r="K225" i="1"/>
  <c r="J225" i="1"/>
  <c r="I225" i="1"/>
  <c r="H225" i="1"/>
  <c r="F225" i="1"/>
  <c r="E225" i="1"/>
  <c r="D225" i="1"/>
  <c r="Q224" i="1"/>
  <c r="P224" i="1"/>
  <c r="O224" i="1"/>
  <c r="N224" i="1"/>
  <c r="M224" i="1"/>
  <c r="L224" i="1"/>
  <c r="K224" i="1"/>
  <c r="J224" i="1"/>
  <c r="I224" i="1"/>
  <c r="H224" i="1"/>
  <c r="F224" i="1"/>
  <c r="E224" i="1"/>
  <c r="D224" i="1"/>
  <c r="Q223" i="1"/>
  <c r="P223" i="1"/>
  <c r="O223" i="1"/>
  <c r="N223" i="1"/>
  <c r="M223" i="1"/>
  <c r="L223" i="1"/>
  <c r="K223" i="1"/>
  <c r="J223" i="1"/>
  <c r="I223" i="1"/>
  <c r="H223" i="1"/>
  <c r="F223" i="1"/>
  <c r="E223" i="1"/>
  <c r="D223" i="1"/>
  <c r="Q222" i="1"/>
  <c r="P222" i="1"/>
  <c r="O222" i="1"/>
  <c r="N222" i="1"/>
  <c r="M222" i="1"/>
  <c r="L222" i="1"/>
  <c r="K222" i="1"/>
  <c r="J222" i="1"/>
  <c r="I222" i="1"/>
  <c r="H222" i="1"/>
  <c r="F222" i="1"/>
  <c r="E222" i="1"/>
  <c r="D222" i="1"/>
  <c r="Q221" i="1"/>
  <c r="P221" i="1"/>
  <c r="O221" i="1"/>
  <c r="N221" i="1"/>
  <c r="M221" i="1"/>
  <c r="L221" i="1"/>
  <c r="K221" i="1"/>
  <c r="J221" i="1"/>
  <c r="I221" i="1"/>
  <c r="H221" i="1"/>
  <c r="F221" i="1"/>
  <c r="E221" i="1"/>
  <c r="D221" i="1"/>
  <c r="Q220" i="1"/>
  <c r="P220" i="1"/>
  <c r="O220" i="1"/>
  <c r="N220" i="1"/>
  <c r="M220" i="1"/>
  <c r="L220" i="1"/>
  <c r="K220" i="1"/>
  <c r="J220" i="1"/>
  <c r="I220" i="1"/>
  <c r="H220" i="1"/>
  <c r="F220" i="1"/>
  <c r="E220" i="1"/>
  <c r="D220" i="1"/>
  <c r="Q219" i="1"/>
  <c r="P219" i="1"/>
  <c r="O219" i="1"/>
  <c r="N219" i="1"/>
  <c r="M219" i="1"/>
  <c r="L219" i="1"/>
  <c r="K219" i="1"/>
  <c r="J219" i="1"/>
  <c r="I219" i="1"/>
  <c r="H219" i="1"/>
  <c r="F219" i="1"/>
  <c r="E219" i="1"/>
  <c r="D219" i="1"/>
  <c r="Q218" i="1"/>
  <c r="P218" i="1"/>
  <c r="O218" i="1"/>
  <c r="N218" i="1"/>
  <c r="M218" i="1"/>
  <c r="L218" i="1"/>
  <c r="K218" i="1"/>
  <c r="J218" i="1"/>
  <c r="I218" i="1"/>
  <c r="H218" i="1"/>
  <c r="F218" i="1"/>
  <c r="E218" i="1"/>
  <c r="D218" i="1"/>
  <c r="Q212" i="1"/>
  <c r="P212" i="1"/>
  <c r="O212" i="1"/>
  <c r="N212" i="1"/>
  <c r="M212" i="1"/>
  <c r="L212" i="1"/>
  <c r="K212" i="1"/>
  <c r="J212" i="1"/>
  <c r="I212" i="1"/>
  <c r="H212" i="1"/>
  <c r="F212" i="1"/>
  <c r="E212" i="1"/>
  <c r="D212" i="1"/>
  <c r="Q211" i="1"/>
  <c r="P211" i="1"/>
  <c r="O211" i="1"/>
  <c r="N211" i="1"/>
  <c r="M211" i="1"/>
  <c r="L211" i="1"/>
  <c r="K211" i="1"/>
  <c r="J211" i="1"/>
  <c r="I211" i="1"/>
  <c r="H211" i="1"/>
  <c r="F211" i="1"/>
  <c r="E211" i="1"/>
  <c r="D211" i="1"/>
  <c r="Q210" i="1"/>
  <c r="P210" i="1"/>
  <c r="O210" i="1"/>
  <c r="N210" i="1"/>
  <c r="M210" i="1"/>
  <c r="L210" i="1"/>
  <c r="K210" i="1"/>
  <c r="J210" i="1"/>
  <c r="I210" i="1"/>
  <c r="H210" i="1"/>
  <c r="F210" i="1"/>
  <c r="E210" i="1"/>
  <c r="D210" i="1"/>
  <c r="Q209" i="1"/>
  <c r="P209" i="1"/>
  <c r="O209" i="1"/>
  <c r="N209" i="1"/>
  <c r="M209" i="1"/>
  <c r="L209" i="1"/>
  <c r="K209" i="1"/>
  <c r="J209" i="1"/>
  <c r="I209" i="1"/>
  <c r="H209" i="1"/>
  <c r="F209" i="1"/>
  <c r="E209" i="1"/>
  <c r="D209" i="1"/>
  <c r="Q208" i="1"/>
  <c r="P208" i="1"/>
  <c r="O208" i="1"/>
  <c r="N208" i="1"/>
  <c r="M208" i="1"/>
  <c r="L208" i="1"/>
  <c r="K208" i="1"/>
  <c r="J208" i="1"/>
  <c r="I208" i="1"/>
  <c r="H208" i="1"/>
  <c r="F208" i="1"/>
  <c r="E208" i="1"/>
  <c r="D208" i="1"/>
  <c r="Q207" i="1"/>
  <c r="P207" i="1"/>
  <c r="O207" i="1"/>
  <c r="N207" i="1"/>
  <c r="M207" i="1"/>
  <c r="L207" i="1"/>
  <c r="K207" i="1"/>
  <c r="J207" i="1"/>
  <c r="I207" i="1"/>
  <c r="H207" i="1"/>
  <c r="F207" i="1"/>
  <c r="E207" i="1"/>
  <c r="D207" i="1"/>
  <c r="Q206" i="1"/>
  <c r="P206" i="1"/>
  <c r="O206" i="1"/>
  <c r="N206" i="1"/>
  <c r="M206" i="1"/>
  <c r="L206" i="1"/>
  <c r="K206" i="1"/>
  <c r="J206" i="1"/>
  <c r="I206" i="1"/>
  <c r="H206" i="1"/>
  <c r="F206" i="1"/>
  <c r="E206" i="1"/>
  <c r="D206" i="1"/>
  <c r="Q205" i="1"/>
  <c r="P205" i="1"/>
  <c r="O205" i="1"/>
  <c r="N205" i="1"/>
  <c r="M205" i="1"/>
  <c r="L205" i="1"/>
  <c r="K205" i="1"/>
  <c r="J205" i="1"/>
  <c r="I205" i="1"/>
  <c r="H205" i="1"/>
  <c r="F205" i="1"/>
  <c r="E205" i="1"/>
  <c r="D205" i="1"/>
  <c r="Q204" i="1"/>
  <c r="P204" i="1"/>
  <c r="O204" i="1"/>
  <c r="N204" i="1"/>
  <c r="M204" i="1"/>
  <c r="L204" i="1"/>
  <c r="K204" i="1"/>
  <c r="J204" i="1"/>
  <c r="I204" i="1"/>
  <c r="H204" i="1"/>
  <c r="F204" i="1"/>
  <c r="E204" i="1"/>
  <c r="D204" i="1"/>
  <c r="Q203" i="1"/>
  <c r="P203" i="1"/>
  <c r="O203" i="1"/>
  <c r="N203" i="1"/>
  <c r="M203" i="1"/>
  <c r="L203" i="1"/>
  <c r="K203" i="1"/>
  <c r="J203" i="1"/>
  <c r="I203" i="1"/>
  <c r="H203" i="1"/>
  <c r="F203" i="1"/>
  <c r="E203" i="1"/>
  <c r="D203" i="1"/>
  <c r="Q202" i="1"/>
  <c r="P202" i="1"/>
  <c r="O202" i="1"/>
  <c r="N202" i="1"/>
  <c r="M202" i="1"/>
  <c r="K202" i="1"/>
  <c r="J202" i="1"/>
  <c r="I202" i="1"/>
  <c r="H202" i="1"/>
  <c r="F202" i="1"/>
  <c r="E202" i="1"/>
  <c r="Q201" i="1"/>
  <c r="P201" i="1"/>
  <c r="O201" i="1"/>
  <c r="N201" i="1"/>
  <c r="M201" i="1"/>
  <c r="L201" i="1"/>
  <c r="K201" i="1"/>
  <c r="J201" i="1"/>
  <c r="I201" i="1"/>
  <c r="H201" i="1"/>
  <c r="F201" i="1"/>
  <c r="E201" i="1"/>
  <c r="D201" i="1"/>
  <c r="Q200" i="1"/>
  <c r="P200" i="1"/>
  <c r="O200" i="1"/>
  <c r="N200" i="1"/>
  <c r="M200" i="1"/>
  <c r="L200" i="1"/>
  <c r="K200" i="1"/>
  <c r="J200" i="1"/>
  <c r="I200" i="1"/>
  <c r="H200" i="1"/>
  <c r="F200" i="1"/>
  <c r="E200" i="1"/>
  <c r="D200" i="1"/>
  <c r="Q199" i="1"/>
  <c r="P199" i="1"/>
  <c r="O199" i="1"/>
  <c r="N199" i="1"/>
  <c r="M199" i="1"/>
  <c r="L199" i="1"/>
  <c r="K199" i="1"/>
  <c r="J199" i="1"/>
  <c r="I199" i="1"/>
  <c r="H199" i="1"/>
  <c r="F199" i="1"/>
  <c r="E199" i="1"/>
  <c r="D199" i="1"/>
  <c r="Q198" i="1"/>
  <c r="P198" i="1"/>
  <c r="O198" i="1"/>
  <c r="N198" i="1"/>
  <c r="M198" i="1"/>
  <c r="L198" i="1"/>
  <c r="K198" i="1"/>
  <c r="J198" i="1"/>
  <c r="I198" i="1"/>
  <c r="H198" i="1"/>
  <c r="F198" i="1"/>
  <c r="E198" i="1"/>
  <c r="D198" i="1"/>
  <c r="Q197" i="1"/>
  <c r="P197" i="1"/>
  <c r="O197" i="1"/>
  <c r="N197" i="1"/>
  <c r="M197" i="1"/>
  <c r="L197" i="1"/>
  <c r="K197" i="1"/>
  <c r="J197" i="1"/>
  <c r="I197" i="1"/>
  <c r="H197" i="1"/>
  <c r="F197" i="1"/>
  <c r="E197" i="1"/>
  <c r="D197" i="1"/>
  <c r="Q196" i="1"/>
  <c r="P196" i="1"/>
  <c r="O196" i="1"/>
  <c r="N196" i="1"/>
  <c r="M196" i="1"/>
  <c r="L196" i="1"/>
  <c r="K196" i="1"/>
  <c r="J196" i="1"/>
  <c r="I196" i="1"/>
  <c r="H196" i="1"/>
  <c r="F196" i="1"/>
  <c r="E196" i="1"/>
  <c r="D196" i="1"/>
  <c r="Q195" i="1"/>
  <c r="P195" i="1"/>
  <c r="O195" i="1"/>
  <c r="N195" i="1"/>
  <c r="M195" i="1"/>
  <c r="L195" i="1"/>
  <c r="K195" i="1"/>
  <c r="J195" i="1"/>
  <c r="I195" i="1"/>
  <c r="H195" i="1"/>
  <c r="F195" i="1"/>
  <c r="E195" i="1"/>
  <c r="D195" i="1"/>
  <c r="Q194" i="1"/>
  <c r="P194" i="1"/>
  <c r="O194" i="1"/>
  <c r="N194" i="1"/>
  <c r="M194" i="1"/>
  <c r="L194" i="1"/>
  <c r="K194" i="1"/>
  <c r="J194" i="1"/>
  <c r="I194" i="1"/>
  <c r="H194" i="1"/>
  <c r="F194" i="1"/>
  <c r="E194" i="1"/>
  <c r="D194" i="1"/>
  <c r="Q193" i="1"/>
  <c r="P193" i="1"/>
  <c r="O193" i="1"/>
  <c r="N193" i="1"/>
  <c r="M193" i="1"/>
  <c r="L193" i="1"/>
  <c r="K193" i="1"/>
  <c r="J193" i="1"/>
  <c r="I193" i="1"/>
  <c r="H193" i="1"/>
  <c r="F193" i="1"/>
  <c r="E193" i="1"/>
  <c r="D193" i="1"/>
  <c r="Q192" i="1"/>
  <c r="P192" i="1"/>
  <c r="O192" i="1"/>
  <c r="N192" i="1"/>
  <c r="M192" i="1"/>
  <c r="L192" i="1"/>
  <c r="K192" i="1"/>
  <c r="J192" i="1"/>
  <c r="I192" i="1"/>
  <c r="H192" i="1"/>
  <c r="F192" i="1"/>
  <c r="E192" i="1"/>
  <c r="D192" i="1"/>
  <c r="Q191" i="1"/>
  <c r="P191" i="1"/>
  <c r="O191" i="1"/>
  <c r="N191" i="1"/>
  <c r="M191" i="1"/>
  <c r="L191" i="1"/>
  <c r="K191" i="1"/>
  <c r="J191" i="1"/>
  <c r="I191" i="1"/>
  <c r="H191" i="1"/>
  <c r="F191" i="1"/>
  <c r="E191" i="1"/>
  <c r="D191" i="1"/>
  <c r="Q190" i="1"/>
  <c r="P190" i="1"/>
  <c r="O190" i="1"/>
  <c r="N190" i="1"/>
  <c r="M190" i="1"/>
  <c r="L190" i="1"/>
  <c r="K190" i="1"/>
  <c r="J190" i="1"/>
  <c r="I190" i="1"/>
  <c r="H190" i="1"/>
  <c r="F190" i="1"/>
  <c r="E190" i="1"/>
  <c r="D190" i="1"/>
  <c r="C187" i="1"/>
  <c r="M64" i="1"/>
  <c r="L64" i="1"/>
  <c r="K64" i="1"/>
  <c r="J64" i="1"/>
  <c r="I64" i="1"/>
  <c r="G64" i="1"/>
  <c r="F64" i="1"/>
  <c r="E64" i="1"/>
  <c r="C64" i="1"/>
  <c r="C62" i="1"/>
  <c r="E61" i="1"/>
  <c r="I2" i="1"/>
  <c r="I62" i="1" s="1"/>
  <c r="C2" i="1"/>
  <c r="E1" i="1"/>
  <c r="H316" i="1"/>
  <c r="F311" i="1"/>
  <c r="H308" i="1"/>
  <c r="F303" i="1"/>
  <c r="F292" i="1"/>
  <c r="K273" i="1"/>
  <c r="M272" i="1"/>
  <c r="E272" i="1"/>
  <c r="G271" i="1"/>
  <c r="I270" i="1"/>
  <c r="K269" i="1"/>
  <c r="M268" i="1"/>
  <c r="E268" i="1"/>
  <c r="G267" i="1"/>
  <c r="I266" i="1"/>
  <c r="K265" i="1"/>
  <c r="M264" i="1"/>
  <c r="E264" i="1"/>
  <c r="G263" i="1"/>
  <c r="I262" i="1"/>
  <c r="K261" i="1"/>
  <c r="M260" i="1"/>
  <c r="E260" i="1"/>
  <c r="G259" i="1"/>
  <c r="I258" i="1"/>
  <c r="K257" i="1"/>
  <c r="M256" i="1"/>
  <c r="E256" i="1"/>
  <c r="G255" i="1"/>
  <c r="I254" i="1"/>
  <c r="K253" i="1"/>
  <c r="M252" i="1"/>
  <c r="E252" i="1"/>
  <c r="M248" i="1"/>
  <c r="E248" i="1"/>
  <c r="M181" i="1"/>
  <c r="E181" i="1"/>
  <c r="G180" i="1"/>
  <c r="I179" i="1"/>
  <c r="K178" i="1"/>
  <c r="M177" i="1"/>
  <c r="E177" i="1"/>
  <c r="G176" i="1"/>
  <c r="I175" i="1"/>
  <c r="K174" i="1"/>
  <c r="M173" i="1"/>
  <c r="E173" i="1"/>
  <c r="G172" i="1"/>
  <c r="I171" i="1"/>
  <c r="K170" i="1"/>
  <c r="M169" i="1"/>
  <c r="E169" i="1"/>
  <c r="G168" i="1"/>
  <c r="I167" i="1"/>
  <c r="K166" i="1"/>
  <c r="M165" i="1"/>
  <c r="E165" i="1"/>
  <c r="G164" i="1"/>
  <c r="I163" i="1"/>
  <c r="K162" i="1"/>
  <c r="M161" i="1"/>
  <c r="E161" i="1"/>
  <c r="G160" i="1"/>
  <c r="E157" i="1"/>
  <c r="G156" i="1"/>
  <c r="I149" i="1"/>
  <c r="K148" i="1"/>
  <c r="M147" i="1"/>
  <c r="E147" i="1"/>
  <c r="G146" i="1"/>
  <c r="I145" i="1"/>
  <c r="K144" i="1"/>
  <c r="M143" i="1"/>
  <c r="E143" i="1"/>
  <c r="G142" i="1"/>
  <c r="I141" i="1"/>
  <c r="K140" i="1"/>
  <c r="M139" i="1"/>
  <c r="E139" i="1"/>
  <c r="G138" i="1"/>
  <c r="I137" i="1"/>
  <c r="K136" i="1"/>
  <c r="M135" i="1"/>
  <c r="E135" i="1"/>
  <c r="G134" i="1"/>
  <c r="I133" i="1"/>
  <c r="K132" i="1"/>
  <c r="M131" i="1"/>
  <c r="E131" i="1"/>
  <c r="G130" i="1"/>
  <c r="I129" i="1"/>
  <c r="K128" i="1"/>
  <c r="E127" i="1"/>
  <c r="K124" i="1"/>
  <c r="F113" i="1"/>
  <c r="F111" i="1"/>
  <c r="F106" i="1"/>
  <c r="F104" i="1"/>
  <c r="F102" i="1"/>
  <c r="F97" i="1"/>
  <c r="F95" i="1"/>
  <c r="F90" i="1"/>
  <c r="F88" i="1"/>
  <c r="F86" i="1"/>
  <c r="F81" i="1"/>
  <c r="F79" i="1"/>
  <c r="F77" i="1"/>
  <c r="F75" i="1"/>
  <c r="F73" i="1"/>
  <c r="F71" i="1"/>
  <c r="F69" i="1"/>
  <c r="F58" i="1"/>
  <c r="F56" i="1"/>
  <c r="F54" i="1"/>
  <c r="F52" i="1"/>
  <c r="F50" i="1"/>
  <c r="F48" i="1"/>
  <c r="F46" i="1"/>
  <c r="F41" i="1"/>
  <c r="F39" i="1"/>
  <c r="H321" i="1"/>
  <c r="F316" i="1"/>
  <c r="H313" i="1"/>
  <c r="F308" i="1"/>
  <c r="H305" i="1"/>
  <c r="H294" i="1"/>
  <c r="J273" i="1"/>
  <c r="L272" i="1"/>
  <c r="D272" i="1"/>
  <c r="F271" i="1"/>
  <c r="H270" i="1"/>
  <c r="J269" i="1"/>
  <c r="L268" i="1"/>
  <c r="D268" i="1"/>
  <c r="F267" i="1"/>
  <c r="H266" i="1"/>
  <c r="J265" i="1"/>
  <c r="L264" i="1"/>
  <c r="D264" i="1"/>
  <c r="F263" i="1"/>
  <c r="H262" i="1"/>
  <c r="J261" i="1"/>
  <c r="L260" i="1"/>
  <c r="D260" i="1"/>
  <c r="F259" i="1"/>
  <c r="H258" i="1"/>
  <c r="J257" i="1"/>
  <c r="L256" i="1"/>
  <c r="D256" i="1"/>
  <c r="F255" i="1"/>
  <c r="H254" i="1"/>
  <c r="J253" i="1"/>
  <c r="L252" i="1"/>
  <c r="D252" i="1"/>
  <c r="L248" i="1"/>
  <c r="D248" i="1"/>
  <c r="L181" i="1"/>
  <c r="D181" i="1"/>
  <c r="F180" i="1"/>
  <c r="H179" i="1"/>
  <c r="J178" i="1"/>
  <c r="L177" i="1"/>
  <c r="D177" i="1"/>
  <c r="F176" i="1"/>
  <c r="H175" i="1"/>
  <c r="J174" i="1"/>
  <c r="L173" i="1"/>
  <c r="D173" i="1"/>
  <c r="F172" i="1"/>
  <c r="H171" i="1"/>
  <c r="J170" i="1"/>
  <c r="L169" i="1"/>
  <c r="D169" i="1"/>
  <c r="F168" i="1"/>
  <c r="H167" i="1"/>
  <c r="J166" i="1"/>
  <c r="L165" i="1"/>
  <c r="D165" i="1"/>
  <c r="F164" i="1"/>
  <c r="H163" i="1"/>
  <c r="J162" i="1"/>
  <c r="L161" i="1"/>
  <c r="D161" i="1"/>
  <c r="F160" i="1"/>
  <c r="D157" i="1"/>
  <c r="F156" i="1"/>
  <c r="H149" i="1"/>
  <c r="J148" i="1"/>
  <c r="L147" i="1"/>
  <c r="D147" i="1"/>
  <c r="F146" i="1"/>
  <c r="H145" i="1"/>
  <c r="J144" i="1"/>
  <c r="L143" i="1"/>
  <c r="D143" i="1"/>
  <c r="F142" i="1"/>
  <c r="H141" i="1"/>
  <c r="J140" i="1"/>
  <c r="L139" i="1"/>
  <c r="D139" i="1"/>
  <c r="F138" i="1"/>
  <c r="H137" i="1"/>
  <c r="J136" i="1"/>
  <c r="L135" i="1"/>
  <c r="D135" i="1"/>
  <c r="F134" i="1"/>
  <c r="H133" i="1"/>
  <c r="J132" i="1"/>
  <c r="L131" i="1"/>
  <c r="D131" i="1"/>
  <c r="F130" i="1"/>
  <c r="H129" i="1"/>
  <c r="J128" i="1"/>
  <c r="D127" i="1"/>
  <c r="J124" i="1"/>
  <c r="L114" i="1"/>
  <c r="L112" i="1"/>
  <c r="L110" i="1"/>
  <c r="L105" i="1"/>
  <c r="L103" i="1"/>
  <c r="L98" i="1"/>
  <c r="L96" i="1"/>
  <c r="L94" i="1"/>
  <c r="L89" i="1"/>
  <c r="L87" i="1"/>
  <c r="L82" i="1"/>
  <c r="F321" i="1"/>
  <c r="F313" i="1"/>
  <c r="H310" i="1"/>
  <c r="F305" i="1"/>
  <c r="F294" i="1"/>
  <c r="I273" i="1"/>
  <c r="K272" i="1"/>
  <c r="M271" i="1"/>
  <c r="E271" i="1"/>
  <c r="G270" i="1"/>
  <c r="I269" i="1"/>
  <c r="K268" i="1"/>
  <c r="M267" i="1"/>
  <c r="E267" i="1"/>
  <c r="G266" i="1"/>
  <c r="I265" i="1"/>
  <c r="K264" i="1"/>
  <c r="M263" i="1"/>
  <c r="E263" i="1"/>
  <c r="G262" i="1"/>
  <c r="I261" i="1"/>
  <c r="K260" i="1"/>
  <c r="M259" i="1"/>
  <c r="E259" i="1"/>
  <c r="G258" i="1"/>
  <c r="I257" i="1"/>
  <c r="K256" i="1"/>
  <c r="M255" i="1"/>
  <c r="E255" i="1"/>
  <c r="G254" i="1"/>
  <c r="I253" i="1"/>
  <c r="K252" i="1"/>
  <c r="E251" i="1"/>
  <c r="K248" i="1"/>
  <c r="K181" i="1"/>
  <c r="M180" i="1"/>
  <c r="E180" i="1"/>
  <c r="G179" i="1"/>
  <c r="I178" i="1"/>
  <c r="K177" i="1"/>
  <c r="M176" i="1"/>
  <c r="E176" i="1"/>
  <c r="G175" i="1"/>
  <c r="I174" i="1"/>
  <c r="K173" i="1"/>
  <c r="M172" i="1"/>
  <c r="E172" i="1"/>
  <c r="G171" i="1"/>
  <c r="I170" i="1"/>
  <c r="K169" i="1"/>
  <c r="M168" i="1"/>
  <c r="E168" i="1"/>
  <c r="G167" i="1"/>
  <c r="I166" i="1"/>
  <c r="K165" i="1"/>
  <c r="M164" i="1"/>
  <c r="E164" i="1"/>
  <c r="G163" i="1"/>
  <c r="I162" i="1"/>
  <c r="K161" i="1"/>
  <c r="M160" i="1"/>
  <c r="E160" i="1"/>
  <c r="M156" i="1"/>
  <c r="E156" i="1"/>
  <c r="G149" i="1"/>
  <c r="I148" i="1"/>
  <c r="K147" i="1"/>
  <c r="M146" i="1"/>
  <c r="E146" i="1"/>
  <c r="G145" i="1"/>
  <c r="I144" i="1"/>
  <c r="K143" i="1"/>
  <c r="M142" i="1"/>
  <c r="E142" i="1"/>
  <c r="G141" i="1"/>
  <c r="I140" i="1"/>
  <c r="K139" i="1"/>
  <c r="M138" i="1"/>
  <c r="E138" i="1"/>
  <c r="G137" i="1"/>
  <c r="I136" i="1"/>
  <c r="K135" i="1"/>
  <c r="M134" i="1"/>
  <c r="E134" i="1"/>
  <c r="G133" i="1"/>
  <c r="I132" i="1"/>
  <c r="K131" i="1"/>
  <c r="M130" i="1"/>
  <c r="E130" i="1"/>
  <c r="G129" i="1"/>
  <c r="I128" i="1"/>
  <c r="E126" i="1"/>
  <c r="I124" i="1"/>
  <c r="K114" i="1"/>
  <c r="K112" i="1"/>
  <c r="K110" i="1"/>
  <c r="K105" i="1"/>
  <c r="K103" i="1"/>
  <c r="K98" i="1"/>
  <c r="K96" i="1"/>
  <c r="K94" i="1"/>
  <c r="K89" i="1"/>
  <c r="K87" i="1"/>
  <c r="H315" i="1"/>
  <c r="F310" i="1"/>
  <c r="H307" i="1"/>
  <c r="H296" i="1"/>
  <c r="H291" i="1"/>
  <c r="H273" i="1"/>
  <c r="J272" i="1"/>
  <c r="L271" i="1"/>
  <c r="D271" i="1"/>
  <c r="F270" i="1"/>
  <c r="H269" i="1"/>
  <c r="J268" i="1"/>
  <c r="L267" i="1"/>
  <c r="D267" i="1"/>
  <c r="F266" i="1"/>
  <c r="H265" i="1"/>
  <c r="J264" i="1"/>
  <c r="L263" i="1"/>
  <c r="D263" i="1"/>
  <c r="F262" i="1"/>
  <c r="H261" i="1"/>
  <c r="J260" i="1"/>
  <c r="L259" i="1"/>
  <c r="D259" i="1"/>
  <c r="F258" i="1"/>
  <c r="H257" i="1"/>
  <c r="J256" i="1"/>
  <c r="L255" i="1"/>
  <c r="D255" i="1"/>
  <c r="F254" i="1"/>
  <c r="H253" i="1"/>
  <c r="J252" i="1"/>
  <c r="D251" i="1"/>
  <c r="J248" i="1"/>
  <c r="J181" i="1"/>
  <c r="L180" i="1"/>
  <c r="D180" i="1"/>
  <c r="F179" i="1"/>
  <c r="H178" i="1"/>
  <c r="J177" i="1"/>
  <c r="L176" i="1"/>
  <c r="D176" i="1"/>
  <c r="F175" i="1"/>
  <c r="H174" i="1"/>
  <c r="J173" i="1"/>
  <c r="L172" i="1"/>
  <c r="D172" i="1"/>
  <c r="F171" i="1"/>
  <c r="H170" i="1"/>
  <c r="J169" i="1"/>
  <c r="L168" i="1"/>
  <c r="D168" i="1"/>
  <c r="F167" i="1"/>
  <c r="H166" i="1"/>
  <c r="J165" i="1"/>
  <c r="L164" i="1"/>
  <c r="D164" i="1"/>
  <c r="F163" i="1"/>
  <c r="H162" i="1"/>
  <c r="J161" i="1"/>
  <c r="L160" i="1"/>
  <c r="D160" i="1"/>
  <c r="L156" i="1"/>
  <c r="D156" i="1"/>
  <c r="F149" i="1"/>
  <c r="H148" i="1"/>
  <c r="J147" i="1"/>
  <c r="L146" i="1"/>
  <c r="D146" i="1"/>
  <c r="F145" i="1"/>
  <c r="H144" i="1"/>
  <c r="J143" i="1"/>
  <c r="L142" i="1"/>
  <c r="D142" i="1"/>
  <c r="F141" i="1"/>
  <c r="H140" i="1"/>
  <c r="J139" i="1"/>
  <c r="L138" i="1"/>
  <c r="D138" i="1"/>
  <c r="F137" i="1"/>
  <c r="H136" i="1"/>
  <c r="J135" i="1"/>
  <c r="L134" i="1"/>
  <c r="D134" i="1"/>
  <c r="F133" i="1"/>
  <c r="H132" i="1"/>
  <c r="J131" i="1"/>
  <c r="L130" i="1"/>
  <c r="D130" i="1"/>
  <c r="F129" i="1"/>
  <c r="H128" i="1"/>
  <c r="D126" i="1"/>
  <c r="H124" i="1"/>
  <c r="G114" i="1"/>
  <c r="G112" i="1"/>
  <c r="G110" i="1"/>
  <c r="G105" i="1"/>
  <c r="G103" i="1"/>
  <c r="G98" i="1"/>
  <c r="G96" i="1"/>
  <c r="G94" i="1"/>
  <c r="G89" i="1"/>
  <c r="G87" i="1"/>
  <c r="G82" i="1"/>
  <c r="G80" i="1"/>
  <c r="G78" i="1"/>
  <c r="G76" i="1"/>
  <c r="G74" i="1"/>
  <c r="G72" i="1"/>
  <c r="G70" i="1"/>
  <c r="G68" i="1"/>
  <c r="G59" i="1"/>
  <c r="G57" i="1"/>
  <c r="G55" i="1"/>
  <c r="G53" i="1"/>
  <c r="G51" i="1"/>
  <c r="G49" i="1"/>
  <c r="G47" i="1"/>
  <c r="F315" i="1"/>
  <c r="H312" i="1"/>
  <c r="F320" i="1"/>
  <c r="H314" i="1"/>
  <c r="F309" i="1"/>
  <c r="H306" i="1"/>
  <c r="H295" i="1"/>
  <c r="M273" i="1"/>
  <c r="E273" i="1"/>
  <c r="G272" i="1"/>
  <c r="I271" i="1"/>
  <c r="K270" i="1"/>
  <c r="M269" i="1"/>
  <c r="E269" i="1"/>
  <c r="G268" i="1"/>
  <c r="I267" i="1"/>
  <c r="K266" i="1"/>
  <c r="M265" i="1"/>
  <c r="E265" i="1"/>
  <c r="G264" i="1"/>
  <c r="I263" i="1"/>
  <c r="K262" i="1"/>
  <c r="M261" i="1"/>
  <c r="E261" i="1"/>
  <c r="G260" i="1"/>
  <c r="I259" i="1"/>
  <c r="K258" i="1"/>
  <c r="M257" i="1"/>
  <c r="E257" i="1"/>
  <c r="G256" i="1"/>
  <c r="I255" i="1"/>
  <c r="K254" i="1"/>
  <c r="M253" i="1"/>
  <c r="E253" i="1"/>
  <c r="G252" i="1"/>
  <c r="E249" i="1"/>
  <c r="G248" i="1"/>
  <c r="G181" i="1"/>
  <c r="I180" i="1"/>
  <c r="K179" i="1"/>
  <c r="M178" i="1"/>
  <c r="E178" i="1"/>
  <c r="G177" i="1"/>
  <c r="I176" i="1"/>
  <c r="K175" i="1"/>
  <c r="M174" i="1"/>
  <c r="E174" i="1"/>
  <c r="G173" i="1"/>
  <c r="I172" i="1"/>
  <c r="K171" i="1"/>
  <c r="M170" i="1"/>
  <c r="E170" i="1"/>
  <c r="G169" i="1"/>
  <c r="I168" i="1"/>
  <c r="K167" i="1"/>
  <c r="M166" i="1"/>
  <c r="E166" i="1"/>
  <c r="G165" i="1"/>
  <c r="I164" i="1"/>
  <c r="K163" i="1"/>
  <c r="M162" i="1"/>
  <c r="E162" i="1"/>
  <c r="G161" i="1"/>
  <c r="I160" i="1"/>
  <c r="E158" i="1"/>
  <c r="I156" i="1"/>
  <c r="K149" i="1"/>
  <c r="M148" i="1"/>
  <c r="E148" i="1"/>
  <c r="G147" i="1"/>
  <c r="I146" i="1"/>
  <c r="K145" i="1"/>
  <c r="M144" i="1"/>
  <c r="E144" i="1"/>
  <c r="G143" i="1"/>
  <c r="I142" i="1"/>
  <c r="K141" i="1"/>
  <c r="M140" i="1"/>
  <c r="E140" i="1"/>
  <c r="G139" i="1"/>
  <c r="I138" i="1"/>
  <c r="K137" i="1"/>
  <c r="M136" i="1"/>
  <c r="E136" i="1"/>
  <c r="G135" i="1"/>
  <c r="I134" i="1"/>
  <c r="K133" i="1"/>
  <c r="M132" i="1"/>
  <c r="E132" i="1"/>
  <c r="G131" i="1"/>
  <c r="I130" i="1"/>
  <c r="K129" i="1"/>
  <c r="M128" i="1"/>
  <c r="E128" i="1"/>
  <c r="M124" i="1"/>
  <c r="E124" i="1"/>
  <c r="K113" i="1"/>
  <c r="K111" i="1"/>
  <c r="K106" i="1"/>
  <c r="K104" i="1"/>
  <c r="K102" i="1"/>
  <c r="K97" i="1"/>
  <c r="K95" i="1"/>
  <c r="K90" i="1"/>
  <c r="K88" i="1"/>
  <c r="K86" i="1"/>
  <c r="K81" i="1"/>
  <c r="K79" i="1"/>
  <c r="K77" i="1"/>
  <c r="K75" i="1"/>
  <c r="K73" i="1"/>
  <c r="K71" i="1"/>
  <c r="K69" i="1"/>
  <c r="F314" i="1"/>
  <c r="H311" i="1"/>
  <c r="F306" i="1"/>
  <c r="H303" i="1"/>
  <c r="F295" i="1"/>
  <c r="H292" i="1"/>
  <c r="L273" i="1"/>
  <c r="D273" i="1"/>
  <c r="F272" i="1"/>
  <c r="H271" i="1"/>
  <c r="J270" i="1"/>
  <c r="L269" i="1"/>
  <c r="D269" i="1"/>
  <c r="F268" i="1"/>
  <c r="H267" i="1"/>
  <c r="J266" i="1"/>
  <c r="L265" i="1"/>
  <c r="D265" i="1"/>
  <c r="F264" i="1"/>
  <c r="H263" i="1"/>
  <c r="J262" i="1"/>
  <c r="L261" i="1"/>
  <c r="D261" i="1"/>
  <c r="F260" i="1"/>
  <c r="H259" i="1"/>
  <c r="J258" i="1"/>
  <c r="L257" i="1"/>
  <c r="D257" i="1"/>
  <c r="F256" i="1"/>
  <c r="H255" i="1"/>
  <c r="J254" i="1"/>
  <c r="L253" i="1"/>
  <c r="D253" i="1"/>
  <c r="F252" i="1"/>
  <c r="D249" i="1"/>
  <c r="F248" i="1"/>
  <c r="F181" i="1"/>
  <c r="H180" i="1"/>
  <c r="J179" i="1"/>
  <c r="L178" i="1"/>
  <c r="D178" i="1"/>
  <c r="F177" i="1"/>
  <c r="H176" i="1"/>
  <c r="J175" i="1"/>
  <c r="L174" i="1"/>
  <c r="D174" i="1"/>
  <c r="F173" i="1"/>
  <c r="H172" i="1"/>
  <c r="J171" i="1"/>
  <c r="L170" i="1"/>
  <c r="D170" i="1"/>
  <c r="F169" i="1"/>
  <c r="H168" i="1"/>
  <c r="J167" i="1"/>
  <c r="L166" i="1"/>
  <c r="D166" i="1"/>
  <c r="F165" i="1"/>
  <c r="H164" i="1"/>
  <c r="J163" i="1"/>
  <c r="L162" i="1"/>
  <c r="D162" i="1"/>
  <c r="F161" i="1"/>
  <c r="H160" i="1"/>
  <c r="D158" i="1"/>
  <c r="H156" i="1"/>
  <c r="J149" i="1"/>
  <c r="L148" i="1"/>
  <c r="D148" i="1"/>
  <c r="F147" i="1"/>
  <c r="H146" i="1"/>
  <c r="J145" i="1"/>
  <c r="L144" i="1"/>
  <c r="D144" i="1"/>
  <c r="F143" i="1"/>
  <c r="H142" i="1"/>
  <c r="J141" i="1"/>
  <c r="L140" i="1"/>
  <c r="D140" i="1"/>
  <c r="F139" i="1"/>
  <c r="H138" i="1"/>
  <c r="J137" i="1"/>
  <c r="L136" i="1"/>
  <c r="D136" i="1"/>
  <c r="F135" i="1"/>
  <c r="H134" i="1"/>
  <c r="J133" i="1"/>
  <c r="L132" i="1"/>
  <c r="D132" i="1"/>
  <c r="F131" i="1"/>
  <c r="H130" i="1"/>
  <c r="J129" i="1"/>
  <c r="L128" i="1"/>
  <c r="D128" i="1"/>
  <c r="L124" i="1"/>
  <c r="D124" i="1"/>
  <c r="G113" i="1"/>
  <c r="G111" i="1"/>
  <c r="G106" i="1"/>
  <c r="G104" i="1"/>
  <c r="G102" i="1"/>
  <c r="G97" i="1"/>
  <c r="G95" i="1"/>
  <c r="H304" i="1"/>
  <c r="L270" i="1"/>
  <c r="J267" i="1"/>
  <c r="H264" i="1"/>
  <c r="F261" i="1"/>
  <c r="D258" i="1"/>
  <c r="L254" i="1"/>
  <c r="D250" i="1"/>
  <c r="H181" i="1"/>
  <c r="F178" i="1"/>
  <c r="D175" i="1"/>
  <c r="L171" i="1"/>
  <c r="J168" i="1"/>
  <c r="H165" i="1"/>
  <c r="F162" i="1"/>
  <c r="J156" i="1"/>
  <c r="H147" i="1"/>
  <c r="F144" i="1"/>
  <c r="D141" i="1"/>
  <c r="L137" i="1"/>
  <c r="J134" i="1"/>
  <c r="H131" i="1"/>
  <c r="F128" i="1"/>
  <c r="L111" i="1"/>
  <c r="L97" i="1"/>
  <c r="G88" i="1"/>
  <c r="L80" i="1"/>
  <c r="L77" i="1"/>
  <c r="K74" i="1"/>
  <c r="G71" i="1"/>
  <c r="F68" i="1"/>
  <c r="L58" i="1"/>
  <c r="G56" i="1"/>
  <c r="K53" i="1"/>
  <c r="L50" i="1"/>
  <c r="G48" i="1"/>
  <c r="K45" i="1"/>
  <c r="G40" i="1"/>
  <c r="F38" i="1"/>
  <c r="F36" i="1"/>
  <c r="F34" i="1"/>
  <c r="F32" i="1"/>
  <c r="F30" i="1"/>
  <c r="F28" i="1"/>
  <c r="F21" i="1"/>
  <c r="F19" i="1"/>
  <c r="F15" i="1"/>
  <c r="F11" i="1"/>
  <c r="K16" i="1"/>
  <c r="K10" i="1"/>
  <c r="H293" i="1"/>
  <c r="F253" i="1"/>
  <c r="D167" i="1"/>
  <c r="F124" i="1"/>
  <c r="L69" i="1"/>
  <c r="F12" i="1"/>
  <c r="E262" i="1"/>
  <c r="I169" i="1"/>
  <c r="I135" i="1"/>
  <c r="L59" i="1"/>
  <c r="K46" i="1"/>
  <c r="L32" i="1"/>
  <c r="L17" i="1"/>
  <c r="H320" i="1"/>
  <c r="F304" i="1"/>
  <c r="G273" i="1"/>
  <c r="E270" i="1"/>
  <c r="M266" i="1"/>
  <c r="K263" i="1"/>
  <c r="I260" i="1"/>
  <c r="G257" i="1"/>
  <c r="E254" i="1"/>
  <c r="I248" i="1"/>
  <c r="K180" i="1"/>
  <c r="I177" i="1"/>
  <c r="G174" i="1"/>
  <c r="E171" i="1"/>
  <c r="M167" i="1"/>
  <c r="K164" i="1"/>
  <c r="I161" i="1"/>
  <c r="M149" i="1"/>
  <c r="K146" i="1"/>
  <c r="I143" i="1"/>
  <c r="G140" i="1"/>
  <c r="E137" i="1"/>
  <c r="M133" i="1"/>
  <c r="K130" i="1"/>
  <c r="E125" i="1"/>
  <c r="F110" i="1"/>
  <c r="F96" i="1"/>
  <c r="F87" i="1"/>
  <c r="K80" i="1"/>
  <c r="G77" i="1"/>
  <c r="F74" i="1"/>
  <c r="L70" i="1"/>
  <c r="K58" i="1"/>
  <c r="L55" i="1"/>
  <c r="F53" i="1"/>
  <c r="K50" i="1"/>
  <c r="L47" i="1"/>
  <c r="G45" i="1"/>
  <c r="F40" i="1"/>
  <c r="L37" i="1"/>
  <c r="L35" i="1"/>
  <c r="L33" i="1"/>
  <c r="L31" i="1"/>
  <c r="L29" i="1"/>
  <c r="L27" i="1"/>
  <c r="L22" i="1"/>
  <c r="L20" i="1"/>
  <c r="L18" i="1"/>
  <c r="L16" i="1"/>
  <c r="L14" i="1"/>
  <c r="L12" i="1"/>
  <c r="L10" i="1"/>
  <c r="K12" i="1"/>
  <c r="H272" i="1"/>
  <c r="H256" i="1"/>
  <c r="L179" i="1"/>
  <c r="J160" i="1"/>
  <c r="H139" i="1"/>
  <c r="L90" i="1"/>
  <c r="K57" i="1"/>
  <c r="L46" i="1"/>
  <c r="F37" i="1"/>
  <c r="F29" i="1"/>
  <c r="F16" i="1"/>
  <c r="H309" i="1"/>
  <c r="M258" i="1"/>
  <c r="K172" i="1"/>
  <c r="E159" i="1"/>
  <c r="K138" i="1"/>
  <c r="F82" i="1"/>
  <c r="F57" i="1"/>
  <c r="L51" i="1"/>
  <c r="L36" i="1"/>
  <c r="L23" i="1"/>
  <c r="L11" i="1"/>
  <c r="F296" i="1"/>
  <c r="F273" i="1"/>
  <c r="D270" i="1"/>
  <c r="L266" i="1"/>
  <c r="J263" i="1"/>
  <c r="H260" i="1"/>
  <c r="F257" i="1"/>
  <c r="D254" i="1"/>
  <c r="H248" i="1"/>
  <c r="J180" i="1"/>
  <c r="H177" i="1"/>
  <c r="F174" i="1"/>
  <c r="D171" i="1"/>
  <c r="L167" i="1"/>
  <c r="J164" i="1"/>
  <c r="H161" i="1"/>
  <c r="L149" i="1"/>
  <c r="J146" i="1"/>
  <c r="H143" i="1"/>
  <c r="F140" i="1"/>
  <c r="D137" i="1"/>
  <c r="L133" i="1"/>
  <c r="J130" i="1"/>
  <c r="D125" i="1"/>
  <c r="L106" i="1"/>
  <c r="L95" i="1"/>
  <c r="L86" i="1"/>
  <c r="F80" i="1"/>
  <c r="L76" i="1"/>
  <c r="L73" i="1"/>
  <c r="K70" i="1"/>
  <c r="G58" i="1"/>
  <c r="K55" i="1"/>
  <c r="L52" i="1"/>
  <c r="G50" i="1"/>
  <c r="K47" i="1"/>
  <c r="F45" i="1"/>
  <c r="L39" i="1"/>
  <c r="K37" i="1"/>
  <c r="K35" i="1"/>
  <c r="K33" i="1"/>
  <c r="K31" i="1"/>
  <c r="K29" i="1"/>
  <c r="K27" i="1"/>
  <c r="K22" i="1"/>
  <c r="K20" i="1"/>
  <c r="K18" i="1"/>
  <c r="K14" i="1"/>
  <c r="F269" i="1"/>
  <c r="F170" i="1"/>
  <c r="J142" i="1"/>
  <c r="G79" i="1"/>
  <c r="G52" i="1"/>
  <c r="K41" i="1"/>
  <c r="F33" i="1"/>
  <c r="F18" i="1"/>
  <c r="K271" i="1"/>
  <c r="G166" i="1"/>
  <c r="E129" i="1"/>
  <c r="K72" i="1"/>
  <c r="L38" i="1"/>
  <c r="L19" i="1"/>
  <c r="F312" i="1"/>
  <c r="I272" i="1"/>
  <c r="G269" i="1"/>
  <c r="E266" i="1"/>
  <c r="M262" i="1"/>
  <c r="K259" i="1"/>
  <c r="I256" i="1"/>
  <c r="G253" i="1"/>
  <c r="M179" i="1"/>
  <c r="K176" i="1"/>
  <c r="I173" i="1"/>
  <c r="G170" i="1"/>
  <c r="E167" i="1"/>
  <c r="M163" i="1"/>
  <c r="K160" i="1"/>
  <c r="E149" i="1"/>
  <c r="M145" i="1"/>
  <c r="K142" i="1"/>
  <c r="I139" i="1"/>
  <c r="G136" i="1"/>
  <c r="E133" i="1"/>
  <c r="M129" i="1"/>
  <c r="G124" i="1"/>
  <c r="F105" i="1"/>
  <c r="F94" i="1"/>
  <c r="G86" i="1"/>
  <c r="L79" i="1"/>
  <c r="K76" i="1"/>
  <c r="G73" i="1"/>
  <c r="F70" i="1"/>
  <c r="L57" i="1"/>
  <c r="F55" i="1"/>
  <c r="K52" i="1"/>
  <c r="L49" i="1"/>
  <c r="F47" i="1"/>
  <c r="L41" i="1"/>
  <c r="K39" i="1"/>
  <c r="G37" i="1"/>
  <c r="G35" i="1"/>
  <c r="G33" i="1"/>
  <c r="G31" i="1"/>
  <c r="G29" i="1"/>
  <c r="G27" i="1"/>
  <c r="G22" i="1"/>
  <c r="G20" i="1"/>
  <c r="G18" i="1"/>
  <c r="G16" i="1"/>
  <c r="G14" i="1"/>
  <c r="G12" i="1"/>
  <c r="G10" i="1"/>
  <c r="J259" i="1"/>
  <c r="L163" i="1"/>
  <c r="F136" i="1"/>
  <c r="L104" i="1"/>
  <c r="L54" i="1"/>
  <c r="G39" i="1"/>
  <c r="F31" i="1"/>
  <c r="F20" i="1"/>
  <c r="F14" i="1"/>
  <c r="G265" i="1"/>
  <c r="I252" i="1"/>
  <c r="E179" i="1"/>
  <c r="G148" i="1"/>
  <c r="G132" i="1"/>
  <c r="G90" i="1"/>
  <c r="G69" i="1"/>
  <c r="K54" i="1"/>
  <c r="F49" i="1"/>
  <c r="G41" i="1"/>
  <c r="L34" i="1"/>
  <c r="L21" i="1"/>
  <c r="L9" i="1"/>
  <c r="F307" i="1"/>
  <c r="J271" i="1"/>
  <c r="H268" i="1"/>
  <c r="F265" i="1"/>
  <c r="D262" i="1"/>
  <c r="L258" i="1"/>
  <c r="J255" i="1"/>
  <c r="H252" i="1"/>
  <c r="D179" i="1"/>
  <c r="L175" i="1"/>
  <c r="J172" i="1"/>
  <c r="H169" i="1"/>
  <c r="F166" i="1"/>
  <c r="D163" i="1"/>
  <c r="D159" i="1"/>
  <c r="F148" i="1"/>
  <c r="D145" i="1"/>
  <c r="L141" i="1"/>
  <c r="J138" i="1"/>
  <c r="H135" i="1"/>
  <c r="F132" i="1"/>
  <c r="D129" i="1"/>
  <c r="L113" i="1"/>
  <c r="L102" i="1"/>
  <c r="F89" i="1"/>
  <c r="L81" i="1"/>
  <c r="K78" i="1"/>
  <c r="G75" i="1"/>
  <c r="F72" i="1"/>
  <c r="L68" i="1"/>
  <c r="K59" i="1"/>
  <c r="L56" i="1"/>
  <c r="G54" i="1"/>
  <c r="K51" i="1"/>
  <c r="L48" i="1"/>
  <c r="G46" i="1"/>
  <c r="L40" i="1"/>
  <c r="K38" i="1"/>
  <c r="K36" i="1"/>
  <c r="K34" i="1"/>
  <c r="K32" i="1"/>
  <c r="K30" i="1"/>
  <c r="K28" i="1"/>
  <c r="K23" i="1"/>
  <c r="K21" i="1"/>
  <c r="K19" i="1"/>
  <c r="K17" i="1"/>
  <c r="K15" i="1"/>
  <c r="K13" i="1"/>
  <c r="K11" i="1"/>
  <c r="K9" i="1"/>
  <c r="D266" i="1"/>
  <c r="J176" i="1"/>
  <c r="D149" i="1"/>
  <c r="L129" i="1"/>
  <c r="K82" i="1"/>
  <c r="K49" i="1"/>
  <c r="F35" i="1"/>
  <c r="F22" i="1"/>
  <c r="F10" i="1"/>
  <c r="I268" i="1"/>
  <c r="E163" i="1"/>
  <c r="M141" i="1"/>
  <c r="F103" i="1"/>
  <c r="L75" i="1"/>
  <c r="L28" i="1"/>
  <c r="L15" i="1"/>
  <c r="F291" i="1"/>
  <c r="M270" i="1"/>
  <c r="K267" i="1"/>
  <c r="I264" i="1"/>
  <c r="G261" i="1"/>
  <c r="E258" i="1"/>
  <c r="M254" i="1"/>
  <c r="E250" i="1"/>
  <c r="I181" i="1"/>
  <c r="G178" i="1"/>
  <c r="E175" i="1"/>
  <c r="M171" i="1"/>
  <c r="K168" i="1"/>
  <c r="I165" i="1"/>
  <c r="G162" i="1"/>
  <c r="K156" i="1"/>
  <c r="I147" i="1"/>
  <c r="G144" i="1"/>
  <c r="E141" i="1"/>
  <c r="M137" i="1"/>
  <c r="K134" i="1"/>
  <c r="I131" i="1"/>
  <c r="G128" i="1"/>
  <c r="F112" i="1"/>
  <c r="F98" i="1"/>
  <c r="L88" i="1"/>
  <c r="G81" i="1"/>
  <c r="F78" i="1"/>
  <c r="L74" i="1"/>
  <c r="L71" i="1"/>
  <c r="K68" i="1"/>
  <c r="F59" i="1"/>
  <c r="K56" i="1"/>
  <c r="L53" i="1"/>
  <c r="F51" i="1"/>
  <c r="K48" i="1"/>
  <c r="L45" i="1"/>
  <c r="K40" i="1"/>
  <c r="G38" i="1"/>
  <c r="G36" i="1"/>
  <c r="G34" i="1"/>
  <c r="G32" i="1"/>
  <c r="G30" i="1"/>
  <c r="G28" i="1"/>
  <c r="G23" i="1"/>
  <c r="G21" i="1"/>
  <c r="G19" i="1"/>
  <c r="G17" i="1"/>
  <c r="G15" i="1"/>
  <c r="G13" i="1"/>
  <c r="G11" i="1"/>
  <c r="G9" i="1"/>
  <c r="F23" i="1"/>
  <c r="F17" i="1"/>
  <c r="F13" i="1"/>
  <c r="F9" i="1"/>
  <c r="L262" i="1"/>
  <c r="H173" i="1"/>
  <c r="L145" i="1"/>
  <c r="D133" i="1"/>
  <c r="F76" i="1"/>
  <c r="L72" i="1"/>
  <c r="F27" i="1"/>
  <c r="F293" i="1"/>
  <c r="K255" i="1"/>
  <c r="M175" i="1"/>
  <c r="E145" i="1"/>
  <c r="F114" i="1"/>
  <c r="L78" i="1"/>
  <c r="L30" i="1"/>
  <c r="L13" i="1"/>
  <c r="C215" i="1" l="1"/>
  <c r="I293" i="1"/>
  <c r="I291" i="1"/>
  <c r="I307" i="1"/>
  <c r="I306" i="1"/>
  <c r="I312" i="1"/>
  <c r="I296" i="1"/>
  <c r="I304" i="1"/>
  <c r="I295" i="1"/>
  <c r="I314" i="1"/>
  <c r="I309" i="1"/>
  <c r="I320" i="1"/>
  <c r="I315" i="1"/>
  <c r="I310" i="1"/>
  <c r="I294" i="1"/>
  <c r="I305" i="1"/>
  <c r="I313" i="1"/>
  <c r="I321" i="1"/>
  <c r="I308" i="1"/>
  <c r="I316" i="1"/>
  <c r="I292" i="1"/>
  <c r="I303" i="1"/>
  <c r="I311" i="1"/>
  <c r="E117" i="1"/>
  <c r="E242" i="1"/>
  <c r="E299" i="1" s="1"/>
  <c r="E184" i="1"/>
  <c r="M320" i="1" l="1"/>
</calcChain>
</file>

<file path=xl/sharedStrings.xml><?xml version="1.0" encoding="utf-8"?>
<sst xmlns="http://schemas.openxmlformats.org/spreadsheetml/2006/main" count="550" uniqueCount="95">
  <si>
    <t>Ámbito</t>
  </si>
  <si>
    <t>Variable</t>
  </si>
  <si>
    <t>Valor absoluto
mensual</t>
  </si>
  <si>
    <t>Variación respecto al año anterior</t>
  </si>
  <si>
    <t>Valor absoluto
acumulado</t>
  </si>
  <si>
    <t>Fuente</t>
  </si>
  <si>
    <t>TURISTAS ALOJADOS</t>
  </si>
  <si>
    <t>TENERIFE</t>
  </si>
  <si>
    <t>Total</t>
  </si>
  <si>
    <t>Desarrollo Económico - Cabildo de Tenerife</t>
  </si>
  <si>
    <t>Hotelero</t>
  </si>
  <si>
    <t>Extrahotelero</t>
  </si>
  <si>
    <t>ZONA 1
Santa Cruz</t>
  </si>
  <si>
    <t>ZONA 2
La Laguna-Bajamar-La Punta</t>
  </si>
  <si>
    <t>ZONA 3
Norte</t>
  </si>
  <si>
    <t>ZONA 4
Sur</t>
  </si>
  <si>
    <t>PERNOCTACIONES</t>
  </si>
  <si>
    <t>ESTANCIAS MEDIAS</t>
  </si>
  <si>
    <t>INDICES DE OCUPACIÓN</t>
  </si>
  <si>
    <t>TURISTAS ALOJADOS POR CATEGORÍAS ALOJATIVAS</t>
  </si>
  <si>
    <t>5*</t>
  </si>
  <si>
    <t>4*</t>
  </si>
  <si>
    <t>3*</t>
  </si>
  <si>
    <t>2*</t>
  </si>
  <si>
    <t>1*</t>
  </si>
  <si>
    <t>PERNOCTACIONES POR CATEGORÍAS ALOJATIVAS</t>
  </si>
  <si>
    <t>ESTANCIAS MEDIAS POR CATEGORÍAS ALOJATIVAS</t>
  </si>
  <si>
    <t>ÍNDICES DE OCUPACIÓN POR CATEGORÍAS ALOJATIVAS</t>
  </si>
  <si>
    <t>Nº DE TURISTAS ALOJADOS POR  NACIONALIDAD Y VARIACIÓN DE LA AFLUENCIA  
RESPECTO AL AÑO ANTERIOR SEGÚN  ZONAS</t>
  </si>
  <si>
    <t>ZONA 1 Santa Cruz</t>
  </si>
  <si>
    <t>ZONA 2 La Laguna-Bajamar-La Punta</t>
  </si>
  <si>
    <t>ZONA 3 Norte</t>
  </si>
  <si>
    <t>ZONA 4 Sur</t>
  </si>
  <si>
    <t>Alojados
mes</t>
  </si>
  <si>
    <t>var
interanual</t>
  </si>
  <si>
    <t>España</t>
  </si>
  <si>
    <t>Res. Tenerife</t>
  </si>
  <si>
    <t>-</t>
  </si>
  <si>
    <t>Res. Otras Islas canarias</t>
  </si>
  <si>
    <t>Res. Península</t>
  </si>
  <si>
    <t>Holanda</t>
  </si>
  <si>
    <t>Bélgica</t>
  </si>
  <si>
    <t>Alemania</t>
  </si>
  <si>
    <t>Francia</t>
  </si>
  <si>
    <t>Reino Unido</t>
  </si>
  <si>
    <t>Irlanda</t>
  </si>
  <si>
    <t>Italia</t>
  </si>
  <si>
    <t>Países Nórdicos</t>
  </si>
  <si>
    <t>Suecia</t>
  </si>
  <si>
    <t>Noruega</t>
  </si>
  <si>
    <t>Dinamarca</t>
  </si>
  <si>
    <t>Finlandia</t>
  </si>
  <si>
    <t>Suiza</t>
  </si>
  <si>
    <t>Austria</t>
  </si>
  <si>
    <t>Rusia</t>
  </si>
  <si>
    <t>Países del Este</t>
  </si>
  <si>
    <t>Resto de Europa</t>
  </si>
  <si>
    <t>Usa</t>
  </si>
  <si>
    <t>Resto de América</t>
  </si>
  <si>
    <t>Resto del Mundo</t>
  </si>
  <si>
    <t>Total Extranjero</t>
  </si>
  <si>
    <t>Alojados
acumulado</t>
  </si>
  <si>
    <t>total hotelero</t>
  </si>
  <si>
    <t>extrahotelero</t>
  </si>
  <si>
    <t>var
periodo acumulado</t>
  </si>
  <si>
    <t>Alojados
periodo acumulado</t>
  </si>
  <si>
    <t>CUOTAS DE NACIONALIDAD TOTAL Y POR ZONAS, PARA EL MES ACTUAL Y ACUMULADO ANUAL</t>
  </si>
  <si>
    <t>Cuota mes</t>
  </si>
  <si>
    <t>Cuota periodo acumulado</t>
  </si>
  <si>
    <t>Res. 
Tenerife</t>
  </si>
  <si>
    <t xml:space="preserve">GASTO TURÍSTICO </t>
  </si>
  <si>
    <t>Gasto por turista</t>
  </si>
  <si>
    <t>total</t>
  </si>
  <si>
    <t>Gasto Transporte Nacional o Internacional</t>
  </si>
  <si>
    <t>Gasto en alojamiento</t>
  </si>
  <si>
    <t xml:space="preserve"> </t>
  </si>
  <si>
    <t>Gasto en Alimentación</t>
  </si>
  <si>
    <t>otros gastos</t>
  </si>
  <si>
    <t>Gasto por turista y día</t>
  </si>
  <si>
    <t>PLAZAS ALOJATIVAS AUTORIZADAS A FECHA DEL PERÍODO ANALIZADO</t>
  </si>
  <si>
    <t>Hotelera</t>
  </si>
  <si>
    <t>Apartamentos</t>
  </si>
  <si>
    <t>Vivienda vacacional</t>
  </si>
  <si>
    <t>Hoteles Rurales</t>
  </si>
  <si>
    <t>Casas Rurales</t>
  </si>
  <si>
    <t>,</t>
  </si>
  <si>
    <t>PLAZAS ALOJATIVAS ESTIMADAS (no deben ser tomadas como cifra de plazas autorizadas)</t>
  </si>
  <si>
    <t>Hoteleras</t>
  </si>
  <si>
    <t>Extrahoteleras</t>
  </si>
  <si>
    <t>PASAJEROS DE CRUCEROS - PUERTO DE SANTA CRUZ DE TENERIFE</t>
  </si>
  <si>
    <t>PUERTO DE SANTA CRUZ DE TENERIFE</t>
  </si>
  <si>
    <t>Pasajeros Cruceros</t>
  </si>
  <si>
    <t>Nº Buques Cruceros</t>
  </si>
  <si>
    <t>Turismo de Tenerife - Investigación Turística</t>
  </si>
  <si>
    <t>año 2021
Encuesta sobre el gasto turístico ISTAC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</si>
</sst>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#,##0.00\ &quot;€&quot;"/>
  </numFmts>
  <fonts count="24" x14ac:knownFonts="1">
    <font>
      <sz val="10"/>
      <name val="Arial"/>
      <family val="2"/>
    </font>
    <font>
      <sz val="10"/>
      <name val="Arial"/>
      <family val="2"/>
    </font>
    <font>
      <sz val="10"/>
      <color theme="1" tint="0.499984740745262"/>
      <name val="Arial"/>
      <family val="2"/>
    </font>
    <font>
      <b/>
      <sz val="18"/>
      <color theme="0"/>
      <name val="Arial"/>
      <family val="2"/>
    </font>
    <font>
      <b/>
      <sz val="18"/>
      <color theme="1" tint="0.499984740745262"/>
      <name val="Arial"/>
      <family val="2"/>
    </font>
    <font>
      <sz val="12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14"/>
      <color theme="0"/>
      <name val="Arial"/>
      <family val="2"/>
    </font>
    <font>
      <b/>
      <sz val="11"/>
      <color theme="1" tint="0.34998626667073579"/>
      <name val="Arial"/>
      <family val="2"/>
    </font>
    <font>
      <b/>
      <sz val="14"/>
      <color theme="1" tint="0.34998626667073579"/>
      <name val="Arial"/>
      <family val="2"/>
    </font>
    <font>
      <b/>
      <sz val="14"/>
      <color theme="1" tint="0.499984740745262"/>
      <name val="Arial"/>
      <family val="2"/>
    </font>
    <font>
      <b/>
      <sz val="10"/>
      <color theme="1" tint="0.34998626667073579"/>
      <name val="Arial"/>
      <family val="2"/>
    </font>
    <font>
      <sz val="11"/>
      <color theme="1" tint="0.499984740745262"/>
      <name val="Arial"/>
      <family val="2"/>
    </font>
    <font>
      <sz val="9"/>
      <color theme="1" tint="0.499984740745262"/>
      <name val="Arial"/>
      <family val="2"/>
    </font>
    <font>
      <b/>
      <sz val="10"/>
      <color theme="1" tint="0.499984740745262"/>
      <name val="Arial"/>
      <family val="2"/>
    </font>
    <font>
      <b/>
      <sz val="16"/>
      <color theme="9" tint="-0.249977111117893"/>
      <name val="Arial"/>
      <family val="2"/>
    </font>
    <font>
      <b/>
      <sz val="14"/>
      <color theme="0" tint="-0.499984740745262"/>
      <name val="Arial"/>
      <family val="2"/>
    </font>
    <font>
      <b/>
      <sz val="9"/>
      <color theme="1" tint="0.499984740745262"/>
      <name val="Arial"/>
      <family val="2"/>
    </font>
    <font>
      <sz val="8"/>
      <color theme="1" tint="0.499984740745262"/>
      <name val="Arial"/>
      <family val="2"/>
    </font>
    <font>
      <i/>
      <sz val="9"/>
      <color theme="1" tint="0.499984740745262"/>
      <name val="Arial"/>
      <family val="2"/>
    </font>
    <font>
      <b/>
      <sz val="12"/>
      <color theme="0"/>
      <name val="Arial"/>
      <family val="2"/>
    </font>
    <font>
      <b/>
      <sz val="8"/>
      <color theme="1" tint="0.499984740745262"/>
      <name val="Arial"/>
      <family val="2"/>
    </font>
    <font>
      <sz val="10"/>
      <color theme="1" tint="0.34998626667073579"/>
      <name val="Arial"/>
      <family val="2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176">
    <border>
      <left/>
      <right/>
      <top/>
      <bottom/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/>
      <diagonal/>
    </border>
    <border>
      <left/>
      <right/>
      <top/>
      <bottom style="medium">
        <color theme="9"/>
      </bottom>
      <diagonal/>
    </border>
    <border>
      <left style="medium">
        <color theme="0" tint="-0.24994659260841701"/>
      </left>
      <right/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medium">
        <color theme="0" tint="-0.24994659260841701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theme="0" tint="-0.24994659260841701"/>
      </left>
      <right style="medium">
        <color indexed="9"/>
      </right>
      <top/>
      <bottom/>
      <diagonal/>
    </border>
    <border>
      <left style="medium">
        <color indexed="9"/>
      </left>
      <right/>
      <top style="medium">
        <color theme="9"/>
      </top>
      <bottom style="medium">
        <color theme="9"/>
      </bottom>
      <diagonal/>
    </border>
    <border>
      <left/>
      <right style="medium">
        <color indexed="9"/>
      </right>
      <top style="medium">
        <color theme="9"/>
      </top>
      <bottom style="medium">
        <color theme="9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/>
      <bottom style="thin">
        <color theme="0" tint="-4.9989318521683403E-2"/>
      </bottom>
      <diagonal/>
    </border>
    <border>
      <left/>
      <right/>
      <top style="medium">
        <color theme="0" tint="-4.9989318521683403E-2"/>
      </top>
      <bottom/>
      <diagonal/>
    </border>
    <border>
      <left style="medium">
        <color theme="0" tint="-0.24994659260841701"/>
      </left>
      <right style="thin">
        <color theme="0" tint="-4.9989318521683403E-2"/>
      </right>
      <top style="medium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medium">
        <color theme="0" tint="-4.9989318521683403E-2"/>
      </top>
      <bottom style="thin">
        <color theme="0" tint="-4.9989318521683403E-2"/>
      </bottom>
      <diagonal/>
    </border>
    <border>
      <left/>
      <right style="medium">
        <color theme="0" tint="-0.24994659260841701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/>
      <top/>
      <bottom style="medium">
        <color theme="0" tint="-4.9989318521683403E-2"/>
      </bottom>
      <diagonal/>
    </border>
    <border>
      <left/>
      <right style="thin">
        <color theme="0" tint="-4.9989318521683403E-2"/>
      </right>
      <top/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0.24994659260841701"/>
      </left>
      <right style="thin">
        <color theme="0" tint="-4.9989318521683403E-2"/>
      </right>
      <top/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0.24994659260841701"/>
      </left>
      <right/>
      <top style="medium">
        <color theme="0" tint="-4.9989318521683403E-2"/>
      </top>
      <bottom/>
      <diagonal/>
    </border>
    <border>
      <left/>
      <right style="thin">
        <color theme="0" tint="-4.9989318521683403E-2"/>
      </right>
      <top style="medium">
        <color theme="0" tint="-4.9989318521683403E-2"/>
      </top>
      <bottom/>
      <diagonal/>
    </border>
    <border>
      <left style="thin">
        <color theme="0" tint="-4.9989318521683403E-2"/>
      </left>
      <right style="medium">
        <color theme="0" tint="-0.24994659260841701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indexed="9"/>
      </left>
      <right/>
      <top style="medium">
        <color theme="0" tint="-0.24994659260841701"/>
      </top>
      <bottom style="medium">
        <color indexed="9"/>
      </bottom>
      <diagonal/>
    </border>
    <border>
      <left/>
      <right/>
      <top style="medium">
        <color theme="0" tint="-0.24994659260841701"/>
      </top>
      <bottom style="medium">
        <color indexed="9"/>
      </bottom>
      <diagonal/>
    </border>
    <border>
      <left/>
      <right style="medium">
        <color indexed="9"/>
      </right>
      <top style="medium">
        <color theme="0" tint="-0.24994659260841701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theme="9"/>
      </bottom>
      <diagonal/>
    </border>
    <border>
      <left style="medium">
        <color theme="0" tint="-0.24994659260841701"/>
      </left>
      <right/>
      <top style="medium">
        <color theme="9"/>
      </top>
      <bottom/>
      <diagonal/>
    </border>
    <border>
      <left/>
      <right style="medium">
        <color indexed="9"/>
      </right>
      <top style="medium">
        <color theme="9"/>
      </top>
      <bottom/>
      <diagonal/>
    </border>
    <border>
      <left/>
      <right/>
      <top/>
      <bottom style="thin">
        <color theme="0" tint="-4.9989318521683403E-2"/>
      </bottom>
      <diagonal/>
    </border>
    <border>
      <left style="medium">
        <color indexed="9"/>
      </left>
      <right/>
      <top style="medium">
        <color indexed="9"/>
      </top>
      <bottom style="medium">
        <color theme="9"/>
      </bottom>
      <diagonal/>
    </border>
    <border>
      <left/>
      <right style="medium">
        <color indexed="9"/>
      </right>
      <top style="medium">
        <color indexed="9"/>
      </top>
      <bottom style="medium">
        <color theme="9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theme="0" tint="-0.24994659260841701"/>
      </right>
      <top style="medium">
        <color theme="9"/>
      </top>
      <bottom/>
      <diagonal/>
    </border>
    <border>
      <left style="thick">
        <color theme="0" tint="-0.14990691854609822"/>
      </left>
      <right style="thick">
        <color theme="0" tint="-0.14996795556505021"/>
      </right>
      <top style="thick">
        <color theme="0" tint="-0.14996795556505021"/>
      </top>
      <bottom/>
      <diagonal/>
    </border>
    <border>
      <left style="thick">
        <color theme="0" tint="-0.14996795556505021"/>
      </left>
      <right/>
      <top style="thick">
        <color theme="0" tint="-0.14996795556505021"/>
      </top>
      <bottom style="medium">
        <color rgb="FFECECEC"/>
      </bottom>
      <diagonal/>
    </border>
    <border>
      <left/>
      <right style="thick">
        <color theme="0" tint="-0.14996795556505021"/>
      </right>
      <top style="thick">
        <color theme="0" tint="-0.14996795556505021"/>
      </top>
      <bottom style="medium">
        <color rgb="FFECECEC"/>
      </bottom>
      <diagonal/>
    </border>
    <border>
      <left style="thick">
        <color theme="0" tint="-0.14990691854609822"/>
      </left>
      <right style="thick">
        <color theme="0" tint="-0.14996795556505021"/>
      </right>
      <top/>
      <bottom style="medium">
        <color theme="0" tint="-0.24994659260841701"/>
      </bottom>
      <diagonal/>
    </border>
    <border>
      <left style="thick">
        <color theme="0" tint="-0.14996795556505021"/>
      </left>
      <right style="medium">
        <color rgb="FFECECEC"/>
      </right>
      <top style="medium">
        <color rgb="FFECECEC"/>
      </top>
      <bottom/>
      <diagonal/>
    </border>
    <border>
      <left style="medium">
        <color rgb="FFECECEC"/>
      </left>
      <right style="thick">
        <color theme="0" tint="-0.14996795556505021"/>
      </right>
      <top style="medium">
        <color rgb="FFECECEC"/>
      </top>
      <bottom/>
      <diagonal/>
    </border>
    <border>
      <left style="thick">
        <color theme="0" tint="-0.14996795556505021"/>
      </left>
      <right/>
      <top style="medium">
        <color rgb="FFECECEC"/>
      </top>
      <bottom style="medium">
        <color theme="0" tint="-0.24994659260841701"/>
      </bottom>
      <diagonal/>
    </border>
    <border>
      <left style="thick">
        <color theme="0" tint="-0.14990691854609822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ck">
        <color theme="0" tint="-0.14990691854609822"/>
      </left>
      <right/>
      <top/>
      <bottom style="medium">
        <color indexed="9"/>
      </bottom>
      <diagonal/>
    </border>
    <border>
      <left style="medium">
        <color theme="0" tint="-0.24994659260841701"/>
      </left>
      <right/>
      <top/>
      <bottom style="thin">
        <color theme="0" tint="-4.9989318521683403E-2"/>
      </bottom>
      <diagonal/>
    </border>
    <border>
      <left/>
      <right style="medium">
        <color theme="0" tint="-0.24994659260841701"/>
      </right>
      <top/>
      <bottom style="thin">
        <color theme="0" tint="-4.9989318521683403E-2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thin">
        <color theme="0" tint="-4.9989318521683403E-2"/>
      </bottom>
      <diagonal/>
    </border>
    <border>
      <left style="thick">
        <color theme="0" tint="-0.14990691854609822"/>
      </left>
      <right/>
      <top style="medium">
        <color indexed="9"/>
      </top>
      <bottom style="medium">
        <color indexed="9"/>
      </bottom>
      <diagonal/>
    </border>
    <border>
      <left style="medium">
        <color theme="0" tint="-0.24994659260841701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theme="0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/>
      <top style="thin">
        <color theme="0" tint="-4.9989318521683403E-2"/>
      </top>
      <bottom/>
      <diagonal/>
    </border>
    <border>
      <left/>
      <right style="medium">
        <color theme="0" tint="-0.24994659260841701"/>
      </right>
      <top style="thin">
        <color theme="0" tint="-4.9989318521683403E-2"/>
      </top>
      <bottom/>
      <diagonal/>
    </border>
    <border>
      <left style="medium">
        <color theme="0" tint="-0.24994659260841701"/>
      </left>
      <right/>
      <top style="thin">
        <color theme="0" tint="-4.9989318521683403E-2"/>
      </top>
      <bottom style="thick">
        <color theme="0" tint="-0.14993743705557422"/>
      </bottom>
      <diagonal/>
    </border>
    <border>
      <left style="thick">
        <color theme="0" tint="-0.14990691854609822"/>
      </left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thick">
        <color theme="0" tint="-0.14993743705557422"/>
      </top>
      <bottom/>
      <diagonal/>
    </border>
    <border>
      <left/>
      <right style="medium">
        <color theme="0" tint="-0.24994659260841701"/>
      </right>
      <top style="thick">
        <color theme="0" tint="-0.14993743705557422"/>
      </top>
      <bottom/>
      <diagonal/>
    </border>
    <border>
      <left style="medium">
        <color theme="0" tint="-0.24994659260841701"/>
      </left>
      <right/>
      <top style="thick">
        <color theme="0" tint="-0.14993743705557422"/>
      </top>
      <bottom style="medium">
        <color theme="0" tint="-0.24994659260841701"/>
      </bottom>
      <diagonal/>
    </border>
    <border>
      <left style="thick">
        <color theme="0" tint="-0.14990691854609822"/>
      </left>
      <right/>
      <top style="medium">
        <color theme="0" tint="-0.24994659260841701"/>
      </top>
      <bottom style="medium">
        <color theme="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9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theme="9"/>
      </top>
      <bottom/>
      <diagonal/>
    </border>
    <border>
      <left/>
      <right style="thick">
        <color theme="0" tint="-0.14990691854609822"/>
      </right>
      <top style="thick">
        <color theme="0" tint="-0.14996795556505021"/>
      </top>
      <bottom style="medium">
        <color rgb="FFECECEC"/>
      </bottom>
      <diagonal/>
    </border>
    <border>
      <left style="thick">
        <color theme="0" tint="-0.14996795556505021"/>
      </left>
      <right style="medium">
        <color rgb="FFECECEC"/>
      </right>
      <top style="medium">
        <color rgb="FFECECEC"/>
      </top>
      <bottom style="thick">
        <color theme="0" tint="-0.14996795556505021"/>
      </bottom>
      <diagonal/>
    </border>
    <border>
      <left style="medium">
        <color rgb="FFECECEC"/>
      </left>
      <right style="thick">
        <color theme="0" tint="-0.14996795556505021"/>
      </right>
      <top style="medium">
        <color rgb="FFECECEC"/>
      </top>
      <bottom style="thick">
        <color theme="0" tint="-0.14996795556505021"/>
      </bottom>
      <diagonal/>
    </border>
    <border>
      <left style="thick">
        <color theme="0" tint="-0.14996795556505021"/>
      </left>
      <right/>
      <top style="medium">
        <color rgb="FFECECEC"/>
      </top>
      <bottom style="thick">
        <color theme="0" tint="-0.14996795556505021"/>
      </bottom>
      <diagonal/>
    </border>
    <border>
      <left style="medium">
        <color rgb="FFECECEC"/>
      </left>
      <right style="thick">
        <color theme="0" tint="-0.14990691854609822"/>
      </right>
      <top style="medium">
        <color rgb="FFECECEC"/>
      </top>
      <bottom style="thick">
        <color theme="0" tint="-0.14996795556505021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thick">
        <color theme="0" tint="-0.14996795556505021"/>
      </top>
      <bottom style="medium">
        <color theme="0" tint="-0.24994659260841701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indexed="9"/>
      </top>
      <bottom style="medium">
        <color indexed="9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indexed="9"/>
      </top>
      <bottom style="medium">
        <color indexed="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indexed="9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indexed="9"/>
      </top>
      <bottom style="medium">
        <color indexed="9"/>
      </bottom>
      <diagonal/>
    </border>
    <border>
      <left style="medium">
        <color theme="0" tint="-0.24994659260841701"/>
      </left>
      <right/>
      <top style="medium">
        <color indexed="9"/>
      </top>
      <bottom style="medium">
        <color indexed="9"/>
      </bottom>
      <diagonal/>
    </border>
    <border>
      <left style="medium">
        <color theme="0" tint="-0.24994659260841701"/>
      </left>
      <right/>
      <top style="medium">
        <color indexed="9"/>
      </top>
      <bottom style="medium">
        <color theme="0" tint="-0.24994659260841701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indexed="9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theme="0" tint="-0.24994659260841701"/>
      </top>
      <bottom style="medium">
        <color theme="9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0.24994659260841701"/>
      </top>
      <bottom style="medium">
        <color theme="9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theme="0" tint="-0.24994659260841701"/>
      </top>
      <bottom style="medium">
        <color theme="9"/>
      </bottom>
      <diagonal/>
    </border>
    <border>
      <left style="thick">
        <color theme="0" tint="-0.14990691854609822"/>
      </left>
      <right style="thick">
        <color theme="0" tint="-4.9989318521683403E-2"/>
      </right>
      <top/>
      <bottom/>
      <diagonal/>
    </border>
    <border>
      <left style="thick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thick">
        <color theme="0" tint="-4.9989318521683403E-2"/>
      </left>
      <right style="medium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medium">
        <color indexed="9"/>
      </bottom>
      <diagonal/>
    </border>
    <border>
      <left style="thick">
        <color theme="0" tint="-0.14990691854609822"/>
      </left>
      <right/>
      <top/>
      <bottom/>
      <diagonal/>
    </border>
    <border>
      <left/>
      <right style="thick">
        <color theme="0" tint="-4.9989318521683403E-2"/>
      </right>
      <top/>
      <bottom/>
      <diagonal/>
    </border>
    <border>
      <left style="thick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thin">
        <color theme="0" tint="-4.9989318521683403E-2"/>
      </left>
      <right/>
      <top/>
      <bottom style="thick">
        <color theme="0" tint="-4.9989318521683403E-2"/>
      </bottom>
      <diagonal/>
    </border>
    <border>
      <left/>
      <right style="thin">
        <color theme="0" tint="-4.9989318521683403E-2"/>
      </right>
      <top/>
      <bottom style="thick">
        <color theme="0" tint="-4.9989318521683403E-2"/>
      </bottom>
      <diagonal/>
    </border>
    <border>
      <left/>
      <right/>
      <top/>
      <bottom style="thick">
        <color theme="0" tint="-4.9989318521683403E-2"/>
      </bottom>
      <diagonal/>
    </border>
    <border>
      <left/>
      <right style="thick">
        <color theme="0" tint="-4.9989318521683403E-2"/>
      </right>
      <top/>
      <bottom style="thick">
        <color theme="0" tint="-4.9989318521683403E-2"/>
      </bottom>
      <diagonal/>
    </border>
    <border>
      <left/>
      <right style="thick">
        <color theme="0" tint="-0.14990691854609822"/>
      </right>
      <top/>
      <bottom/>
      <diagonal/>
    </border>
    <border>
      <left style="thick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/>
      <top style="thick">
        <color theme="0" tint="-4.9989318521683403E-2"/>
      </top>
      <bottom style="thick">
        <color theme="0" tint="-4.9989318521683403E-2"/>
      </bottom>
      <diagonal/>
    </border>
    <border>
      <left/>
      <right style="thin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/>
      <right/>
      <top style="thick">
        <color theme="0" tint="-4.9989318521683403E-2"/>
      </top>
      <bottom style="thick">
        <color theme="0" tint="-4.9989318521683403E-2"/>
      </bottom>
      <diagonal/>
    </border>
    <border>
      <left/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/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ck">
        <color theme="0" tint="-4.9989318521683403E-2"/>
      </right>
      <top/>
      <bottom style="thin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ck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theme="0" tint="-0.14990691854609822"/>
      </left>
      <right/>
      <top/>
      <bottom style="thick">
        <color theme="0" tint="-4.9989318521683403E-2"/>
      </bottom>
      <diagonal/>
    </border>
    <border>
      <left/>
      <right style="medium">
        <color theme="0" tint="-4.9989318521683403E-2"/>
      </right>
      <top/>
      <bottom style="thick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ck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/>
      <right/>
      <top style="thin">
        <color theme="0" tint="-4.9989318521683403E-2"/>
      </top>
      <bottom style="thick">
        <color theme="0" tint="-4.9989318521683403E-2"/>
      </bottom>
      <diagonal/>
    </border>
    <border>
      <left/>
      <right style="thick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ck">
        <color theme="0" tint="-0.14990691854609822"/>
      </left>
      <right/>
      <top style="thick">
        <color theme="0" tint="-4.9989318521683403E-2"/>
      </top>
      <bottom/>
      <diagonal/>
    </border>
    <border>
      <left/>
      <right style="medium">
        <color theme="0" tint="-4.9989318521683403E-2"/>
      </right>
      <top style="thick">
        <color theme="0" tint="-4.9989318521683403E-2"/>
      </top>
      <bottom/>
      <diagonal/>
    </border>
    <border>
      <left style="medium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ck">
        <color theme="0" tint="-4.9989318521683403E-2"/>
      </top>
      <bottom/>
      <diagonal/>
    </border>
    <border>
      <left/>
      <right/>
      <top style="thick">
        <color theme="0" tint="-4.9989318521683403E-2"/>
      </top>
      <bottom/>
      <diagonal/>
    </border>
    <border>
      <left/>
      <right style="thick">
        <color theme="0" tint="-4.9989318521683403E-2"/>
      </right>
      <top style="thick">
        <color theme="0" tint="-4.9989318521683403E-2"/>
      </top>
      <bottom/>
      <diagonal/>
    </border>
    <border>
      <left style="thin">
        <color theme="0" tint="-4.9989318521683403E-2"/>
      </left>
      <right/>
      <top style="thick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/>
      <right/>
      <top style="thick">
        <color theme="0" tint="-4.9989318521683403E-2"/>
      </top>
      <bottom style="thin">
        <color theme="0" tint="-4.9989318521683403E-2"/>
      </bottom>
      <diagonal/>
    </border>
    <border>
      <left/>
      <right style="thick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ck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0" tint="-0.14990691854609822"/>
      </left>
      <right/>
      <top/>
      <bottom style="thick">
        <color theme="0" tint="-0.1498458815271462"/>
      </bottom>
      <diagonal/>
    </border>
    <border>
      <left/>
      <right style="medium">
        <color theme="0" tint="-4.9989318521683403E-2"/>
      </right>
      <top/>
      <bottom style="thick">
        <color theme="0" tint="-0.149845881527146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/>
      <diagonal/>
    </border>
    <border>
      <left style="thin">
        <color theme="0" tint="-4.9989318521683403E-2"/>
      </left>
      <right/>
      <top style="thick">
        <color theme="0" tint="-4.9989318521683403E-2"/>
      </top>
      <bottom style="thick">
        <color theme="0" tint="-0.1498458815271462"/>
      </bottom>
      <diagonal/>
    </border>
    <border>
      <left/>
      <right style="thin">
        <color theme="0" tint="-4.9989318521683403E-2"/>
      </right>
      <top style="thick">
        <color theme="0" tint="-4.9989318521683403E-2"/>
      </top>
      <bottom style="thick">
        <color theme="0" tint="-0.14984588152714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/>
      <diagonal/>
    </border>
    <border>
      <left/>
      <right/>
      <top style="thick">
        <color theme="0" tint="-4.9989318521683403E-2"/>
      </top>
      <bottom style="thick">
        <color theme="0" tint="-0.1498458815271462"/>
      </bottom>
      <diagonal/>
    </border>
    <border>
      <left/>
      <right style="thick">
        <color theme="0" tint="-4.9989318521683403E-2"/>
      </right>
      <top style="thick">
        <color theme="0" tint="-4.9989318521683403E-2"/>
      </top>
      <bottom style="thick">
        <color theme="0" tint="-0.1498458815271462"/>
      </bottom>
      <diagonal/>
    </border>
    <border>
      <left/>
      <right style="thick">
        <color theme="0" tint="-0.14990691854609822"/>
      </right>
      <top/>
      <bottom style="thick">
        <color theme="0" tint="-0.1498458815271462"/>
      </bottom>
      <diagonal/>
    </border>
    <border>
      <left/>
      <right/>
      <top style="thick">
        <color theme="0" tint="-0.14984588152714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52">
    <xf numFmtId="0" fontId="0" fillId="0" borderId="0" xfId="0"/>
    <xf numFmtId="0" fontId="2" fillId="2" borderId="1" xfId="0" applyFont="1" applyFill="1" applyBorder="1" applyAlignment="1" applyProtection="1">
      <alignment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vertical="center" wrapText="1"/>
      <protection hidden="1"/>
    </xf>
    <xf numFmtId="17" fontId="4" fillId="0" borderId="2" xfId="0" applyNumberFormat="1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vertical="center" wrapText="1"/>
      <protection hidden="1"/>
    </xf>
    <xf numFmtId="17" fontId="4" fillId="0" borderId="3" xfId="0" applyNumberFormat="1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vertical="center" wrapText="1"/>
      <protection hidden="1"/>
    </xf>
    <xf numFmtId="17" fontId="6" fillId="0" borderId="0" xfId="0" applyNumberFormat="1" applyFont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vertical="center" wrapText="1"/>
      <protection hidden="1"/>
    </xf>
    <xf numFmtId="17" fontId="6" fillId="0" borderId="4" xfId="0" applyNumberFormat="1" applyFont="1" applyBorder="1" applyAlignment="1" applyProtection="1">
      <alignment horizontal="center" vertical="center" wrapText="1"/>
      <protection hidden="1"/>
    </xf>
    <xf numFmtId="17" fontId="6" fillId="0" borderId="6" xfId="0" applyNumberFormat="1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vertical="center" wrapText="1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6" fillId="4" borderId="6" xfId="0" applyFont="1" applyFill="1" applyBorder="1" applyAlignment="1" applyProtection="1">
      <alignment horizontal="center" vertical="center" wrapText="1"/>
      <protection hidden="1"/>
    </xf>
    <xf numFmtId="0" fontId="6" fillId="4" borderId="9" xfId="0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2" fillId="3" borderId="5" xfId="0" applyFont="1" applyFill="1" applyBorder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7" fillId="5" borderId="11" xfId="0" applyFont="1" applyFill="1" applyBorder="1" applyAlignment="1" applyProtection="1">
      <alignment horizontal="center" vertical="center" wrapText="1"/>
      <protection hidden="1"/>
    </xf>
    <xf numFmtId="0" fontId="7" fillId="5" borderId="1" xfId="0" applyFont="1" applyFill="1" applyBorder="1" applyAlignment="1" applyProtection="1">
      <alignment horizontal="center" vertical="center" wrapText="1"/>
      <protection hidden="1"/>
    </xf>
    <xf numFmtId="0" fontId="7" fillId="5" borderId="12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Alignment="1" applyProtection="1">
      <alignment horizontal="center" vertical="center" wrapText="1"/>
      <protection hidden="1"/>
    </xf>
    <xf numFmtId="0" fontId="6" fillId="4" borderId="2" xfId="0" applyFont="1" applyFill="1" applyBorder="1" applyAlignment="1" applyProtection="1">
      <alignment horizontal="center" vertical="center" wrapText="1"/>
      <protection hidden="1"/>
    </xf>
    <xf numFmtId="0" fontId="8" fillId="6" borderId="4" xfId="0" applyFont="1" applyFill="1" applyBorder="1" applyAlignment="1" applyProtection="1">
      <alignment horizontal="center" vertical="center" wrapText="1"/>
      <protection hidden="1"/>
    </xf>
    <xf numFmtId="0" fontId="8" fillId="6" borderId="13" xfId="0" applyFont="1" applyFill="1" applyBorder="1" applyAlignment="1" applyProtection="1">
      <alignment horizontal="center" vertical="center" wrapText="1"/>
      <protection hidden="1"/>
    </xf>
    <xf numFmtId="0" fontId="8" fillId="6" borderId="14" xfId="0" applyFont="1" applyFill="1" applyBorder="1" applyAlignment="1" applyProtection="1">
      <alignment horizontal="center" vertical="center" wrapText="1"/>
      <protection hidden="1"/>
    </xf>
    <xf numFmtId="3" fontId="9" fillId="6" borderId="14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15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16" xfId="0" applyFont="1" applyFill="1" applyBorder="1" applyAlignment="1" applyProtection="1">
      <alignment vertical="center" wrapText="1"/>
      <protection hidden="1"/>
    </xf>
    <xf numFmtId="0" fontId="8" fillId="6" borderId="17" xfId="0" applyFont="1" applyFill="1" applyBorder="1" applyAlignment="1" applyProtection="1">
      <alignment horizontal="center" vertical="center" wrapText="1"/>
      <protection hidden="1"/>
    </xf>
    <xf numFmtId="0" fontId="8" fillId="6" borderId="18" xfId="0" applyFont="1" applyFill="1" applyBorder="1" applyAlignment="1" applyProtection="1">
      <alignment horizontal="center" vertical="center" wrapText="1"/>
      <protection hidden="1"/>
    </xf>
    <xf numFmtId="3" fontId="9" fillId="6" borderId="18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19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0" xfId="0" applyFont="1" applyBorder="1" applyAlignment="1" applyProtection="1">
      <alignment horizontal="center" vertical="center" wrapText="1"/>
      <protection hidden="1"/>
    </xf>
    <xf numFmtId="0" fontId="8" fillId="6" borderId="21" xfId="0" applyFont="1" applyFill="1" applyBorder="1" applyAlignment="1" applyProtection="1">
      <alignment horizontal="center" vertical="center" wrapText="1"/>
      <protection hidden="1"/>
    </xf>
    <xf numFmtId="3" fontId="9" fillId="6" borderId="21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22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0" xfId="0" applyFont="1" applyFill="1" applyAlignment="1" applyProtection="1">
      <alignment vertical="center" wrapText="1"/>
      <protection hidden="1"/>
    </xf>
    <xf numFmtId="0" fontId="8" fillId="6" borderId="23" xfId="0" applyFont="1" applyFill="1" applyBorder="1" applyAlignment="1" applyProtection="1">
      <alignment horizontal="center" vertical="center" wrapText="1"/>
      <protection hidden="1"/>
    </xf>
    <xf numFmtId="164" fontId="10" fillId="7" borderId="24" xfId="1" applyNumberFormat="1" applyFont="1" applyFill="1" applyBorder="1" applyAlignment="1" applyProtection="1">
      <alignment horizontal="center" vertical="center" wrapText="1"/>
      <protection hidden="1"/>
    </xf>
    <xf numFmtId="0" fontId="8" fillId="6" borderId="25" xfId="0" applyFont="1" applyFill="1" applyBorder="1" applyAlignment="1" applyProtection="1">
      <alignment horizontal="center" vertical="center" wrapText="1"/>
      <protection hidden="1"/>
    </xf>
    <xf numFmtId="0" fontId="8" fillId="6" borderId="26" xfId="0" applyFont="1" applyFill="1" applyBorder="1" applyAlignment="1" applyProtection="1">
      <alignment horizontal="center" vertical="center" wrapText="1"/>
      <protection hidden="1"/>
    </xf>
    <xf numFmtId="0" fontId="8" fillId="6" borderId="27" xfId="0" applyFont="1" applyFill="1" applyBorder="1" applyAlignment="1" applyProtection="1">
      <alignment horizontal="center" vertical="center" wrapText="1"/>
      <protection hidden="1"/>
    </xf>
    <xf numFmtId="0" fontId="8" fillId="6" borderId="28" xfId="0" applyFont="1" applyFill="1" applyBorder="1" applyAlignment="1" applyProtection="1">
      <alignment horizontal="center" vertical="center" wrapText="1"/>
      <protection hidden="1"/>
    </xf>
    <xf numFmtId="0" fontId="8" fillId="6" borderId="29" xfId="0" applyFont="1" applyFill="1" applyBorder="1" applyAlignment="1" applyProtection="1">
      <alignment horizontal="center" vertical="center" wrapText="1"/>
      <protection hidden="1"/>
    </xf>
    <xf numFmtId="3" fontId="9" fillId="6" borderId="29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3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1" xfId="0" applyFont="1" applyBorder="1" applyAlignment="1" applyProtection="1">
      <alignment horizontal="center" vertical="center" wrapText="1"/>
      <protection hidden="1"/>
    </xf>
    <xf numFmtId="0" fontId="12" fillId="0" borderId="32" xfId="0" applyFont="1" applyBorder="1" applyAlignment="1" applyProtection="1">
      <alignment horizontal="center" vertical="center" wrapText="1"/>
      <protection hidden="1"/>
    </xf>
    <xf numFmtId="0" fontId="12" fillId="0" borderId="18" xfId="0" applyFont="1" applyBorder="1" applyAlignment="1" applyProtection="1">
      <alignment horizontal="center" vertical="center" wrapText="1"/>
      <protection hidden="1"/>
    </xf>
    <xf numFmtId="3" fontId="10" fillId="0" borderId="18" xfId="0" applyNumberFormat="1" applyFont="1" applyBorder="1" applyAlignment="1" applyProtection="1">
      <alignment horizontal="center" vertical="center" wrapText="1"/>
      <protection hidden="1"/>
    </xf>
    <xf numFmtId="164" fontId="10" fillId="7" borderId="33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vertical="center" wrapText="1"/>
      <protection hidden="1"/>
    </xf>
    <xf numFmtId="0" fontId="12" fillId="0" borderId="17" xfId="0" applyFont="1" applyBorder="1" applyAlignment="1" applyProtection="1">
      <alignment horizontal="center" vertical="center" wrapText="1"/>
      <protection hidden="1"/>
    </xf>
    <xf numFmtId="0" fontId="12" fillId="0" borderId="4" xfId="0" applyFont="1" applyBorder="1" applyAlignment="1" applyProtection="1">
      <alignment horizontal="center" vertical="center" wrapText="1"/>
      <protection hidden="1"/>
    </xf>
    <xf numFmtId="0" fontId="12" fillId="0" borderId="13" xfId="0" applyFont="1" applyBorder="1" applyAlignment="1" applyProtection="1">
      <alignment horizontal="center" vertical="center" wrapText="1"/>
      <protection hidden="1"/>
    </xf>
    <xf numFmtId="0" fontId="12" fillId="0" borderId="21" xfId="0" applyFont="1" applyBorder="1" applyAlignment="1" applyProtection="1">
      <alignment horizontal="center" vertical="center" wrapText="1"/>
      <protection hidden="1"/>
    </xf>
    <xf numFmtId="3" fontId="10" fillId="0" borderId="21" xfId="0" applyNumberFormat="1" applyFont="1" applyBorder="1" applyAlignment="1" applyProtection="1">
      <alignment horizontal="center" vertical="center" wrapText="1"/>
      <protection hidden="1"/>
    </xf>
    <xf numFmtId="0" fontId="12" fillId="0" borderId="23" xfId="0" applyFont="1" applyBorder="1" applyAlignment="1" applyProtection="1">
      <alignment horizontal="center" vertical="center" wrapText="1"/>
      <protection hidden="1"/>
    </xf>
    <xf numFmtId="0" fontId="12" fillId="0" borderId="25" xfId="0" applyFont="1" applyBorder="1" applyAlignment="1" applyProtection="1">
      <alignment horizontal="center" vertical="center" wrapText="1"/>
      <protection hidden="1"/>
    </xf>
    <xf numFmtId="0" fontId="12" fillId="0" borderId="26" xfId="0" applyFont="1" applyBorder="1" applyAlignment="1" applyProtection="1">
      <alignment horizontal="center" vertical="center" wrapText="1"/>
      <protection hidden="1"/>
    </xf>
    <xf numFmtId="0" fontId="12" fillId="0" borderId="29" xfId="0" applyFont="1" applyBorder="1" applyAlignment="1" applyProtection="1">
      <alignment horizontal="center" vertical="center" wrapText="1"/>
      <protection hidden="1"/>
    </xf>
    <xf numFmtId="3" fontId="10" fillId="0" borderId="29" xfId="0" applyNumberFormat="1" applyFont="1" applyBorder="1" applyAlignment="1" applyProtection="1">
      <alignment horizontal="center" vertical="center" wrapText="1"/>
      <protection hidden="1"/>
    </xf>
    <xf numFmtId="164" fontId="10" fillId="7" borderId="3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8" xfId="0" applyFont="1" applyBorder="1" applyAlignment="1" applyProtection="1">
      <alignment horizontal="center" vertical="center" wrapText="1"/>
      <protection hidden="1"/>
    </xf>
    <xf numFmtId="0" fontId="12" fillId="8" borderId="31" xfId="0" applyFont="1" applyFill="1" applyBorder="1" applyAlignment="1" applyProtection="1">
      <alignment horizontal="center" vertical="center" wrapText="1"/>
      <protection hidden="1"/>
    </xf>
    <xf numFmtId="0" fontId="12" fillId="8" borderId="32" xfId="0" applyFont="1" applyFill="1" applyBorder="1" applyAlignment="1" applyProtection="1">
      <alignment horizontal="center" vertical="center" wrapText="1"/>
      <protection hidden="1"/>
    </xf>
    <xf numFmtId="0" fontId="12" fillId="8" borderId="18" xfId="0" applyFont="1" applyFill="1" applyBorder="1" applyAlignment="1" applyProtection="1">
      <alignment horizontal="center" vertical="center" wrapText="1"/>
      <protection hidden="1"/>
    </xf>
    <xf numFmtId="3" fontId="10" fillId="8" borderId="18" xfId="0" applyNumberFormat="1" applyFont="1" applyFill="1" applyBorder="1" applyAlignment="1" applyProtection="1">
      <alignment horizontal="center" vertical="center" wrapText="1"/>
      <protection hidden="1"/>
    </xf>
    <xf numFmtId="0" fontId="12" fillId="8" borderId="17" xfId="0" applyFont="1" applyFill="1" applyBorder="1" applyAlignment="1" applyProtection="1">
      <alignment horizontal="center" vertical="center" wrapText="1"/>
      <protection hidden="1"/>
    </xf>
    <xf numFmtId="0" fontId="12" fillId="8" borderId="4" xfId="0" applyFont="1" applyFill="1" applyBorder="1" applyAlignment="1" applyProtection="1">
      <alignment horizontal="center" vertical="center" wrapText="1"/>
      <protection hidden="1"/>
    </xf>
    <xf numFmtId="0" fontId="12" fillId="8" borderId="13" xfId="0" applyFont="1" applyFill="1" applyBorder="1" applyAlignment="1" applyProtection="1">
      <alignment horizontal="center" vertical="center" wrapText="1"/>
      <protection hidden="1"/>
    </xf>
    <xf numFmtId="0" fontId="12" fillId="8" borderId="21" xfId="0" applyFont="1" applyFill="1" applyBorder="1" applyAlignment="1" applyProtection="1">
      <alignment horizontal="center" vertical="center" wrapText="1"/>
      <protection hidden="1"/>
    </xf>
    <xf numFmtId="3" fontId="10" fillId="8" borderId="21" xfId="0" applyNumberFormat="1" applyFont="1" applyFill="1" applyBorder="1" applyAlignment="1" applyProtection="1">
      <alignment horizontal="center" vertical="center" wrapText="1"/>
      <protection hidden="1"/>
    </xf>
    <xf numFmtId="0" fontId="12" fillId="8" borderId="23" xfId="0" applyFont="1" applyFill="1" applyBorder="1" applyAlignment="1" applyProtection="1">
      <alignment horizontal="center" vertical="center" wrapText="1"/>
      <protection hidden="1"/>
    </xf>
    <xf numFmtId="0" fontId="12" fillId="8" borderId="25" xfId="0" applyFont="1" applyFill="1" applyBorder="1" applyAlignment="1" applyProtection="1">
      <alignment horizontal="center" vertical="center" wrapText="1"/>
      <protection hidden="1"/>
    </xf>
    <xf numFmtId="0" fontId="12" fillId="8" borderId="26" xfId="0" applyFont="1" applyFill="1" applyBorder="1" applyAlignment="1" applyProtection="1">
      <alignment horizontal="center" vertical="center" wrapText="1"/>
      <protection hidden="1"/>
    </xf>
    <xf numFmtId="0" fontId="12" fillId="8" borderId="29" xfId="0" applyFont="1" applyFill="1" applyBorder="1" applyAlignment="1" applyProtection="1">
      <alignment horizontal="center" vertical="center" wrapText="1"/>
      <protection hidden="1"/>
    </xf>
    <xf numFmtId="3" fontId="10" fillId="8" borderId="29" xfId="0" applyNumberFormat="1" applyFont="1" applyFill="1" applyBorder="1" applyAlignment="1" applyProtection="1">
      <alignment horizontal="center" vertical="center" wrapText="1"/>
      <protection hidden="1"/>
    </xf>
    <xf numFmtId="0" fontId="12" fillId="8" borderId="28" xfId="0" applyFont="1" applyFill="1" applyBorder="1" applyAlignment="1" applyProtection="1">
      <alignment horizontal="center" vertical="center" wrapText="1"/>
      <protection hidden="1"/>
    </xf>
    <xf numFmtId="0" fontId="12" fillId="7" borderId="31" xfId="0" applyFont="1" applyFill="1" applyBorder="1" applyAlignment="1" applyProtection="1">
      <alignment horizontal="center" vertical="center" wrapText="1"/>
      <protection hidden="1"/>
    </xf>
    <xf numFmtId="0" fontId="12" fillId="7" borderId="32" xfId="0" applyFont="1" applyFill="1" applyBorder="1" applyAlignment="1" applyProtection="1">
      <alignment horizontal="center" vertical="center" wrapText="1"/>
      <protection hidden="1"/>
    </xf>
    <xf numFmtId="0" fontId="12" fillId="7" borderId="18" xfId="0" applyFont="1" applyFill="1" applyBorder="1" applyAlignment="1" applyProtection="1">
      <alignment horizontal="center" vertical="center" wrapText="1"/>
      <protection hidden="1"/>
    </xf>
    <xf numFmtId="3" fontId="10" fillId="7" borderId="18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7" xfId="0" applyFont="1" applyFill="1" applyBorder="1" applyAlignment="1" applyProtection="1">
      <alignment horizontal="center" vertical="center" wrapText="1"/>
      <protection hidden="1"/>
    </xf>
    <xf numFmtId="0" fontId="12" fillId="7" borderId="4" xfId="0" applyFont="1" applyFill="1" applyBorder="1" applyAlignment="1" applyProtection="1">
      <alignment horizontal="center" vertical="center" wrapText="1"/>
      <protection hidden="1"/>
    </xf>
    <xf numFmtId="0" fontId="12" fillId="7" borderId="13" xfId="0" applyFont="1" applyFill="1" applyBorder="1" applyAlignment="1" applyProtection="1">
      <alignment horizontal="center" vertical="center" wrapText="1"/>
      <protection hidden="1"/>
    </xf>
    <xf numFmtId="0" fontId="12" fillId="7" borderId="21" xfId="0" applyFont="1" applyFill="1" applyBorder="1" applyAlignment="1" applyProtection="1">
      <alignment horizontal="center" vertical="center" wrapText="1"/>
      <protection hidden="1"/>
    </xf>
    <xf numFmtId="3" fontId="10" fillId="7" borderId="21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23" xfId="0" applyFont="1" applyFill="1" applyBorder="1" applyAlignment="1" applyProtection="1">
      <alignment horizontal="center" vertical="center" wrapText="1"/>
      <protection hidden="1"/>
    </xf>
    <xf numFmtId="0" fontId="12" fillId="7" borderId="25" xfId="0" applyFont="1" applyFill="1" applyBorder="1" applyAlignment="1" applyProtection="1">
      <alignment horizontal="center" vertical="center" wrapText="1"/>
      <protection hidden="1"/>
    </xf>
    <xf numFmtId="0" fontId="12" fillId="7" borderId="26" xfId="0" applyFont="1" applyFill="1" applyBorder="1" applyAlignment="1" applyProtection="1">
      <alignment horizontal="center" vertical="center" wrapText="1"/>
      <protection hidden="1"/>
    </xf>
    <xf numFmtId="0" fontId="12" fillId="7" borderId="29" xfId="0" applyFont="1" applyFill="1" applyBorder="1" applyAlignment="1" applyProtection="1">
      <alignment horizontal="center" vertical="center" wrapText="1"/>
      <protection hidden="1"/>
    </xf>
    <xf numFmtId="3" fontId="10" fillId="7" borderId="29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28" xfId="0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horizontal="center" vertical="center" wrapText="1"/>
      <protection hidden="1"/>
    </xf>
    <xf numFmtId="0" fontId="6" fillId="4" borderId="6" xfId="0" applyFont="1" applyFill="1" applyBorder="1" applyAlignment="1" applyProtection="1">
      <alignment horizontal="center" vertical="center" wrapText="1"/>
      <protection hidden="1"/>
    </xf>
    <xf numFmtId="0" fontId="8" fillId="6" borderId="31" xfId="0" applyFont="1" applyFill="1" applyBorder="1" applyAlignment="1" applyProtection="1">
      <alignment horizontal="center" vertical="center" wrapText="1"/>
      <protection hidden="1"/>
    </xf>
    <xf numFmtId="0" fontId="8" fillId="6" borderId="32" xfId="0" applyFont="1" applyFill="1" applyBorder="1" applyAlignment="1" applyProtection="1">
      <alignment horizontal="center" vertical="center" wrapText="1"/>
      <protection hidden="1"/>
    </xf>
    <xf numFmtId="2" fontId="9" fillId="6" borderId="18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33" xfId="1" applyNumberFormat="1" applyFont="1" applyFill="1" applyBorder="1" applyAlignment="1" applyProtection="1">
      <alignment horizontal="center" vertical="center" wrapText="1"/>
      <protection hidden="1"/>
    </xf>
    <xf numFmtId="2" fontId="10" fillId="7" borderId="19" xfId="1" applyNumberFormat="1" applyFont="1" applyFill="1" applyBorder="1" applyAlignment="1" applyProtection="1">
      <alignment horizontal="center" vertical="center" wrapText="1"/>
      <protection hidden="1"/>
    </xf>
    <xf numFmtId="2" fontId="9" fillId="6" borderId="21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22" xfId="1" applyNumberFormat="1" applyFont="1" applyFill="1" applyBorder="1" applyAlignment="1" applyProtection="1">
      <alignment horizontal="center" vertical="center" wrapText="1"/>
      <protection hidden="1"/>
    </xf>
    <xf numFmtId="2" fontId="10" fillId="7" borderId="24" xfId="1" applyNumberFormat="1" applyFont="1" applyFill="1" applyBorder="1" applyAlignment="1" applyProtection="1">
      <alignment horizontal="center" vertical="center" wrapText="1"/>
      <protection hidden="1"/>
    </xf>
    <xf numFmtId="2" fontId="9" fillId="6" borderId="29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34" xfId="1" applyNumberFormat="1" applyFont="1" applyFill="1" applyBorder="1" applyAlignment="1" applyProtection="1">
      <alignment horizontal="center" vertical="center" wrapText="1"/>
      <protection hidden="1"/>
    </xf>
    <xf numFmtId="2" fontId="10" fillId="7" borderId="30" xfId="1" applyNumberFormat="1" applyFont="1" applyFill="1" applyBorder="1" applyAlignment="1" applyProtection="1">
      <alignment horizontal="center" vertical="center" wrapText="1"/>
      <protection hidden="1"/>
    </xf>
    <xf numFmtId="2" fontId="10" fillId="0" borderId="18" xfId="0" applyNumberFormat="1" applyFont="1" applyBorder="1" applyAlignment="1" applyProtection="1">
      <alignment horizontal="center" vertical="center" wrapText="1"/>
      <protection hidden="1"/>
    </xf>
    <xf numFmtId="2" fontId="10" fillId="0" borderId="21" xfId="0" applyNumberFormat="1" applyFont="1" applyBorder="1" applyAlignment="1" applyProtection="1">
      <alignment horizontal="center" vertical="center" wrapText="1"/>
      <protection hidden="1"/>
    </xf>
    <xf numFmtId="2" fontId="10" fillId="0" borderId="29" xfId="0" applyNumberFormat="1" applyFont="1" applyBorder="1" applyAlignment="1" applyProtection="1">
      <alignment horizontal="center" vertical="center" wrapText="1"/>
      <protection hidden="1"/>
    </xf>
    <xf numFmtId="2" fontId="10" fillId="8" borderId="18" xfId="0" applyNumberFormat="1" applyFont="1" applyFill="1" applyBorder="1" applyAlignment="1" applyProtection="1">
      <alignment horizontal="center" vertical="center" wrapText="1"/>
      <protection hidden="1"/>
    </xf>
    <xf numFmtId="2" fontId="10" fillId="8" borderId="21" xfId="0" applyNumberFormat="1" applyFont="1" applyFill="1" applyBorder="1" applyAlignment="1" applyProtection="1">
      <alignment horizontal="center" vertical="center" wrapText="1"/>
      <protection hidden="1"/>
    </xf>
    <xf numFmtId="2" fontId="10" fillId="8" borderId="29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18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21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35" xfId="0" applyFont="1" applyFill="1" applyBorder="1" applyAlignment="1" applyProtection="1">
      <alignment horizontal="center" vertical="center" wrapText="1"/>
      <protection hidden="1"/>
    </xf>
    <xf numFmtId="0" fontId="12" fillId="7" borderId="36" xfId="0" applyFont="1" applyFill="1" applyBorder="1" applyAlignment="1" applyProtection="1">
      <alignment horizontal="center" vertical="center" wrapText="1"/>
      <protection hidden="1"/>
    </xf>
    <xf numFmtId="0" fontId="12" fillId="7" borderId="37" xfId="0" applyFont="1" applyFill="1" applyBorder="1" applyAlignment="1" applyProtection="1">
      <alignment horizontal="center" vertical="center" wrapText="1"/>
      <protection hidden="1"/>
    </xf>
    <xf numFmtId="2" fontId="10" fillId="7" borderId="37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38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39" xfId="0" applyFont="1" applyFill="1" applyBorder="1" applyAlignment="1" applyProtection="1">
      <alignment vertical="center" wrapText="1"/>
      <protection hidden="1"/>
    </xf>
    <xf numFmtId="0" fontId="12" fillId="7" borderId="40" xfId="0" applyFont="1" applyFill="1" applyBorder="1" applyAlignment="1" applyProtection="1">
      <alignment horizontal="center" vertical="center" wrapText="1"/>
      <protection hidden="1"/>
    </xf>
    <xf numFmtId="2" fontId="10" fillId="7" borderId="4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42" xfId="0" applyFont="1" applyBorder="1" applyAlignment="1" applyProtection="1">
      <alignment horizontal="center" vertical="center" wrapText="1"/>
      <protection hidden="1"/>
    </xf>
    <xf numFmtId="0" fontId="2" fillId="0" borderId="43" xfId="0" applyFont="1" applyBorder="1" applyAlignment="1" applyProtection="1">
      <alignment horizontal="center" vertical="center" wrapText="1"/>
      <protection hidden="1"/>
    </xf>
    <xf numFmtId="0" fontId="2" fillId="0" borderId="44" xfId="0" applyFont="1" applyBorder="1" applyAlignment="1" applyProtection="1">
      <alignment horizontal="center" vertical="center" wrapText="1"/>
      <protection hidden="1"/>
    </xf>
    <xf numFmtId="0" fontId="2" fillId="0" borderId="45" xfId="0" applyFont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vertical="center" wrapText="1"/>
      <protection hidden="1"/>
    </xf>
    <xf numFmtId="0" fontId="3" fillId="2" borderId="46" xfId="0" applyFont="1" applyFill="1" applyBorder="1" applyAlignment="1" applyProtection="1">
      <alignment horizontal="center" vertical="center" wrapText="1"/>
      <protection hidden="1"/>
    </xf>
    <xf numFmtId="0" fontId="6" fillId="4" borderId="47" xfId="0" applyFont="1" applyFill="1" applyBorder="1" applyAlignment="1" applyProtection="1">
      <alignment horizontal="center" vertical="center" wrapText="1"/>
      <protection hidden="1"/>
    </xf>
    <xf numFmtId="0" fontId="6" fillId="4" borderId="48" xfId="0" applyFont="1" applyFill="1" applyBorder="1" applyAlignment="1" applyProtection="1">
      <alignment horizontal="center" vertical="center" wrapText="1"/>
      <protection hidden="1"/>
    </xf>
    <xf numFmtId="164" fontId="9" fillId="6" borderId="18" xfId="1" applyNumberFormat="1" applyFont="1" applyFill="1" applyBorder="1" applyAlignment="1" applyProtection="1">
      <alignment horizontal="center" vertical="center" wrapText="1"/>
      <protection hidden="1"/>
    </xf>
    <xf numFmtId="164" fontId="9" fillId="6" borderId="21" xfId="1" applyNumberFormat="1" applyFont="1" applyFill="1" applyBorder="1" applyAlignment="1" applyProtection="1">
      <alignment horizontal="center" vertical="center" wrapText="1"/>
      <protection hidden="1"/>
    </xf>
    <xf numFmtId="164" fontId="9" fillId="6" borderId="29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8" xfId="1" applyNumberFormat="1" applyFont="1" applyBorder="1" applyAlignment="1" applyProtection="1">
      <alignment horizontal="center" vertical="center" wrapText="1"/>
      <protection hidden="1"/>
    </xf>
    <xf numFmtId="164" fontId="10" fillId="0" borderId="21" xfId="1" applyNumberFormat="1" applyFont="1" applyBorder="1" applyAlignment="1" applyProtection="1">
      <alignment horizontal="center" vertical="center" wrapText="1"/>
      <protection hidden="1"/>
    </xf>
    <xf numFmtId="164" fontId="10" fillId="0" borderId="29" xfId="1" applyNumberFormat="1" applyFont="1" applyBorder="1" applyAlignment="1" applyProtection="1">
      <alignment horizontal="center" vertical="center" wrapText="1"/>
      <protection hidden="1"/>
    </xf>
    <xf numFmtId="164" fontId="10" fillId="8" borderId="18" xfId="1" applyNumberFormat="1" applyFont="1" applyFill="1" applyBorder="1" applyAlignment="1" applyProtection="1">
      <alignment horizontal="center" vertical="center" wrapText="1"/>
      <protection hidden="1"/>
    </xf>
    <xf numFmtId="164" fontId="10" fillId="8" borderId="21" xfId="1" applyNumberFormat="1" applyFont="1" applyFill="1" applyBorder="1" applyAlignment="1" applyProtection="1">
      <alignment horizontal="center" vertical="center" wrapText="1"/>
      <protection hidden="1"/>
    </xf>
    <xf numFmtId="164" fontId="10" fillId="8" borderId="29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18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21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6" fillId="4" borderId="7" xfId="0" applyFont="1" applyFill="1" applyBorder="1" applyAlignment="1" applyProtection="1">
      <alignment horizontal="center" vertical="center" wrapText="1"/>
      <protection hidden="1"/>
    </xf>
    <xf numFmtId="0" fontId="2" fillId="3" borderId="16" xfId="0" applyFont="1" applyFill="1" applyBorder="1" applyAlignment="1" applyProtection="1">
      <alignment vertical="center" wrapText="1"/>
      <protection hidden="1"/>
    </xf>
    <xf numFmtId="0" fontId="2" fillId="3" borderId="49" xfId="0" applyFont="1" applyFill="1" applyBorder="1" applyAlignment="1" applyProtection="1">
      <alignment vertical="center" wrapText="1"/>
      <protection hidden="1"/>
    </xf>
    <xf numFmtId="0" fontId="13" fillId="0" borderId="0" xfId="0" applyFont="1" applyAlignment="1" applyProtection="1">
      <alignment vertical="center" wrapText="1"/>
      <protection hidden="1"/>
    </xf>
    <xf numFmtId="4" fontId="10" fillId="0" borderId="18" xfId="0" applyNumberFormat="1" applyFont="1" applyBorder="1" applyAlignment="1" applyProtection="1">
      <alignment horizontal="center" vertical="center" wrapText="1"/>
      <protection hidden="1"/>
    </xf>
    <xf numFmtId="4" fontId="10" fillId="8" borderId="21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21" xfId="0" applyNumberFormat="1" applyFont="1" applyBorder="1" applyAlignment="1" applyProtection="1">
      <alignment horizontal="center" vertical="center" wrapText="1"/>
      <protection hidden="1"/>
    </xf>
    <xf numFmtId="2" fontId="2" fillId="0" borderId="0" xfId="0" applyNumberFormat="1" applyFont="1" applyAlignment="1" applyProtection="1">
      <alignment vertical="center" wrapText="1"/>
      <protection hidden="1"/>
    </xf>
    <xf numFmtId="4" fontId="10" fillId="0" borderId="29" xfId="0" applyNumberFormat="1" applyFont="1" applyBorder="1" applyAlignment="1" applyProtection="1">
      <alignment horizontal="center" vertical="center" wrapText="1"/>
      <protection hidden="1"/>
    </xf>
    <xf numFmtId="0" fontId="6" fillId="4" borderId="48" xfId="0" applyFont="1" applyFill="1" applyBorder="1" applyAlignment="1" applyProtection="1">
      <alignment horizontal="center" vertical="center" wrapText="1"/>
      <protection hidden="1"/>
    </xf>
    <xf numFmtId="0" fontId="13" fillId="4" borderId="0" xfId="0" applyFont="1" applyFill="1" applyAlignment="1" applyProtection="1">
      <alignment horizontal="center" vertical="center" wrapText="1"/>
      <protection hidden="1"/>
    </xf>
    <xf numFmtId="164" fontId="6" fillId="4" borderId="0" xfId="1" applyNumberFormat="1" applyFont="1" applyFill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vertical="center" wrapText="1"/>
      <protection hidden="1"/>
    </xf>
    <xf numFmtId="165" fontId="6" fillId="4" borderId="0" xfId="0" applyNumberFormat="1" applyFont="1" applyFill="1" applyAlignment="1" applyProtection="1">
      <alignment horizontal="center" vertical="center" wrapText="1"/>
      <protection hidden="1"/>
    </xf>
    <xf numFmtId="0" fontId="13" fillId="4" borderId="6" xfId="0" applyFont="1" applyFill="1" applyBorder="1" applyAlignment="1" applyProtection="1">
      <alignment horizontal="center" vertical="center" wrapText="1"/>
      <protection hidden="1"/>
    </xf>
    <xf numFmtId="0" fontId="2" fillId="0" borderId="50" xfId="0" applyFont="1" applyBorder="1" applyAlignment="1" applyProtection="1">
      <alignment vertical="center" wrapText="1"/>
      <protection hidden="1"/>
    </xf>
    <xf numFmtId="0" fontId="2" fillId="0" borderId="46" xfId="0" applyFont="1" applyBorder="1" applyAlignment="1" applyProtection="1">
      <alignment vertical="center" wrapText="1"/>
      <protection hidden="1"/>
    </xf>
    <xf numFmtId="0" fontId="2" fillId="0" borderId="51" xfId="0" applyFont="1" applyBorder="1" applyAlignment="1" applyProtection="1">
      <alignment vertical="center" wrapText="1"/>
      <protection hidden="1"/>
    </xf>
    <xf numFmtId="0" fontId="2" fillId="0" borderId="52" xfId="0" applyFont="1" applyBorder="1" applyAlignment="1" applyProtection="1">
      <alignment vertical="center" wrapText="1"/>
      <protection hidden="1"/>
    </xf>
    <xf numFmtId="0" fontId="2" fillId="0" borderId="53" xfId="0" applyFont="1" applyBorder="1" applyAlignment="1" applyProtection="1">
      <alignment vertical="center" wrapText="1"/>
      <protection hidden="1"/>
    </xf>
    <xf numFmtId="0" fontId="14" fillId="0" borderId="53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vertical="center" wrapText="1"/>
      <protection hidden="1"/>
    </xf>
    <xf numFmtId="0" fontId="6" fillId="0" borderId="47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55" xfId="0" applyFont="1" applyBorder="1" applyAlignment="1" applyProtection="1">
      <alignment horizontal="center" vertical="center" wrapText="1"/>
      <protection hidden="1"/>
    </xf>
    <xf numFmtId="0" fontId="14" fillId="0" borderId="4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5" fillId="0" borderId="53" xfId="0" applyFont="1" applyBorder="1" applyAlignment="1" applyProtection="1">
      <alignment horizontal="center" vertical="center" wrapText="1"/>
      <protection hidden="1"/>
    </xf>
    <xf numFmtId="0" fontId="14" fillId="0" borderId="20" xfId="0" applyFont="1" applyBorder="1" applyAlignment="1" applyProtection="1">
      <alignment horizontal="center" vertical="center" wrapText="1"/>
      <protection hidden="1"/>
    </xf>
    <xf numFmtId="0" fontId="14" fillId="0" borderId="7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14" fillId="0" borderId="6" xfId="0" applyFont="1" applyBorder="1" applyAlignment="1" applyProtection="1">
      <alignment horizontal="center" vertical="center" wrapText="1"/>
      <protection hidden="1"/>
    </xf>
    <xf numFmtId="0" fontId="2" fillId="4" borderId="56" xfId="0" applyFont="1" applyFill="1" applyBorder="1" applyAlignment="1" applyProtection="1">
      <alignment vertical="center" wrapText="1"/>
      <protection hidden="1"/>
    </xf>
    <xf numFmtId="0" fontId="6" fillId="4" borderId="57" xfId="0" applyFont="1" applyFill="1" applyBorder="1" applyAlignment="1" applyProtection="1">
      <alignment horizontal="center" vertical="center" wrapText="1"/>
      <protection hidden="1"/>
    </xf>
    <xf numFmtId="0" fontId="6" fillId="4" borderId="58" xfId="0" applyFont="1" applyFill="1" applyBorder="1" applyAlignment="1" applyProtection="1">
      <alignment horizontal="center" vertical="center" wrapText="1"/>
      <protection hidden="1"/>
    </xf>
    <xf numFmtId="0" fontId="2" fillId="4" borderId="59" xfId="0" applyFont="1" applyFill="1" applyBorder="1" applyAlignment="1" applyProtection="1">
      <alignment vertical="center" wrapText="1"/>
      <protection hidden="1"/>
    </xf>
    <xf numFmtId="0" fontId="5" fillId="4" borderId="60" xfId="0" applyFont="1" applyFill="1" applyBorder="1" applyAlignment="1" applyProtection="1">
      <alignment horizontal="center" vertical="center" wrapText="1"/>
      <protection hidden="1"/>
    </xf>
    <xf numFmtId="0" fontId="5" fillId="4" borderId="61" xfId="0" applyFont="1" applyFill="1" applyBorder="1" applyAlignment="1" applyProtection="1">
      <alignment horizontal="center" vertical="center" wrapText="1"/>
      <protection hidden="1"/>
    </xf>
    <xf numFmtId="0" fontId="5" fillId="4" borderId="62" xfId="0" applyFont="1" applyFill="1" applyBorder="1" applyAlignment="1" applyProtection="1">
      <alignment vertical="center" wrapText="1"/>
      <protection hidden="1"/>
    </xf>
    <xf numFmtId="0" fontId="5" fillId="4" borderId="62" xfId="0" applyFont="1" applyFill="1" applyBorder="1" applyAlignment="1" applyProtection="1">
      <alignment horizontal="center" vertical="center" wrapText="1"/>
      <protection hidden="1"/>
    </xf>
    <xf numFmtId="0" fontId="6" fillId="0" borderId="63" xfId="0" applyFont="1" applyBorder="1" applyAlignment="1" applyProtection="1">
      <alignment horizontal="left" vertical="center" wrapText="1"/>
      <protection hidden="1"/>
    </xf>
    <xf numFmtId="3" fontId="10" fillId="0" borderId="64" xfId="0" applyNumberFormat="1" applyFont="1" applyBorder="1" applyAlignment="1" applyProtection="1">
      <alignment horizontal="right" vertical="center" wrapText="1" indent="1"/>
      <protection hidden="1"/>
    </xf>
    <xf numFmtId="164" fontId="10" fillId="7" borderId="65" xfId="1" applyNumberFormat="1" applyFont="1" applyFill="1" applyBorder="1" applyAlignment="1" applyProtection="1">
      <alignment horizontal="center" vertical="center" wrapText="1"/>
      <protection hidden="1"/>
    </xf>
    <xf numFmtId="3" fontId="10" fillId="0" borderId="64" xfId="0" applyNumberFormat="1" applyFont="1" applyBorder="1" applyAlignment="1" applyProtection="1">
      <alignment horizontal="center" vertical="center" wrapText="1"/>
      <protection hidden="1"/>
    </xf>
    <xf numFmtId="0" fontId="2" fillId="0" borderId="66" xfId="0" applyFont="1" applyBorder="1" applyAlignment="1" applyProtection="1">
      <alignment horizontal="right" vertical="center" wrapText="1"/>
      <protection hidden="1"/>
    </xf>
    <xf numFmtId="3" fontId="10" fillId="0" borderId="67" xfId="0" applyNumberFormat="1" applyFont="1" applyBorder="1" applyAlignment="1" applyProtection="1">
      <alignment horizontal="right" vertical="center" wrapText="1" indent="1"/>
      <protection hidden="1"/>
    </xf>
    <xf numFmtId="164" fontId="10" fillId="7" borderId="68" xfId="1" applyNumberFormat="1" applyFont="1" applyFill="1" applyBorder="1" applyAlignment="1" applyProtection="1">
      <alignment horizontal="center" vertical="center" wrapText="1"/>
      <protection hidden="1"/>
    </xf>
    <xf numFmtId="3" fontId="10" fillId="0" borderId="69" xfId="0" applyNumberFormat="1" applyFont="1" applyBorder="1" applyAlignment="1" applyProtection="1">
      <alignment horizontal="center" vertical="center" wrapText="1"/>
      <protection hidden="1"/>
    </xf>
    <xf numFmtId="3" fontId="10" fillId="0" borderId="67" xfId="0" applyNumberFormat="1" applyFont="1" applyBorder="1" applyAlignment="1" applyProtection="1">
      <alignment horizontal="center" vertical="center" wrapText="1"/>
      <protection hidden="1"/>
    </xf>
    <xf numFmtId="0" fontId="2" fillId="0" borderId="70" xfId="0" applyFont="1" applyBorder="1" applyAlignment="1" applyProtection="1">
      <alignment horizontal="right" vertical="center" wrapText="1"/>
      <protection hidden="1"/>
    </xf>
    <xf numFmtId="3" fontId="10" fillId="0" borderId="71" xfId="0" applyNumberFormat="1" applyFont="1" applyBorder="1" applyAlignment="1" applyProtection="1">
      <alignment horizontal="right" vertical="center" wrapText="1" indent="1"/>
      <protection hidden="1"/>
    </xf>
    <xf numFmtId="164" fontId="10" fillId="7" borderId="72" xfId="1" applyNumberFormat="1" applyFont="1" applyFill="1" applyBorder="1" applyAlignment="1" applyProtection="1">
      <alignment horizontal="center" vertical="center" wrapText="1"/>
      <protection hidden="1"/>
    </xf>
    <xf numFmtId="3" fontId="10" fillId="0" borderId="71" xfId="0" applyNumberFormat="1" applyFont="1" applyBorder="1" applyAlignment="1" applyProtection="1">
      <alignment horizontal="center" vertical="center" wrapText="1"/>
      <protection hidden="1"/>
    </xf>
    <xf numFmtId="3" fontId="14" fillId="8" borderId="66" xfId="0" applyNumberFormat="1" applyFont="1" applyFill="1" applyBorder="1" applyAlignment="1" applyProtection="1">
      <alignment horizontal="left" vertical="center" wrapText="1"/>
      <protection hidden="1"/>
    </xf>
    <xf numFmtId="3" fontId="10" fillId="8" borderId="71" xfId="0" applyNumberFormat="1" applyFont="1" applyFill="1" applyBorder="1" applyAlignment="1" applyProtection="1">
      <alignment horizontal="right" vertical="center" wrapText="1" indent="1"/>
      <protection hidden="1"/>
    </xf>
    <xf numFmtId="3" fontId="10" fillId="8" borderId="7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70" xfId="0" applyFont="1" applyBorder="1" applyAlignment="1" applyProtection="1">
      <alignment horizontal="left" vertical="center" wrapText="1"/>
      <protection hidden="1"/>
    </xf>
    <xf numFmtId="3" fontId="14" fillId="8" borderId="66" xfId="0" applyNumberFormat="1" applyFont="1" applyFill="1" applyBorder="1" applyAlignment="1" applyProtection="1">
      <alignment horizontal="right" vertical="center" wrapText="1"/>
      <protection hidden="1"/>
    </xf>
    <xf numFmtId="3" fontId="10" fillId="0" borderId="73" xfId="0" applyNumberFormat="1" applyFont="1" applyBorder="1" applyAlignment="1" applyProtection="1">
      <alignment horizontal="right" vertical="center" wrapText="1" indent="1"/>
      <protection hidden="1"/>
    </xf>
    <xf numFmtId="164" fontId="10" fillId="7" borderId="74" xfId="1" applyNumberFormat="1" applyFont="1" applyFill="1" applyBorder="1" applyAlignment="1" applyProtection="1">
      <alignment horizontal="center" vertical="center" wrapText="1"/>
      <protection hidden="1"/>
    </xf>
    <xf numFmtId="3" fontId="10" fillId="0" borderId="75" xfId="0" applyNumberFormat="1" applyFont="1" applyBorder="1" applyAlignment="1" applyProtection="1">
      <alignment horizontal="center" vertical="center" wrapText="1"/>
      <protection hidden="1"/>
    </xf>
    <xf numFmtId="3" fontId="10" fillId="0" borderId="73" xfId="0" applyNumberFormat="1" applyFont="1" applyBorder="1" applyAlignment="1" applyProtection="1">
      <alignment horizontal="center" vertical="center" wrapText="1"/>
      <protection hidden="1"/>
    </xf>
    <xf numFmtId="3" fontId="6" fillId="4" borderId="76" xfId="0" applyNumberFormat="1" applyFont="1" applyFill="1" applyBorder="1" applyAlignment="1" applyProtection="1">
      <alignment horizontal="left" vertical="center" wrapText="1"/>
      <protection hidden="1"/>
    </xf>
    <xf numFmtId="3" fontId="10" fillId="4" borderId="77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7" borderId="78" xfId="1" applyNumberFormat="1" applyFont="1" applyFill="1" applyBorder="1" applyAlignment="1" applyProtection="1">
      <alignment horizontal="center" vertical="center" wrapText="1"/>
      <protection hidden="1"/>
    </xf>
    <xf numFmtId="3" fontId="10" fillId="4" borderId="79" xfId="0" applyNumberFormat="1" applyFont="1" applyFill="1" applyBorder="1" applyAlignment="1" applyProtection="1">
      <alignment horizontal="center" vertical="center" wrapText="1"/>
      <protection hidden="1"/>
    </xf>
    <xf numFmtId="3" fontId="10" fillId="4" borderId="77" xfId="0" applyNumberFormat="1" applyFont="1" applyFill="1" applyBorder="1" applyAlignment="1" applyProtection="1">
      <alignment horizontal="center" vertical="center" wrapText="1"/>
      <protection hidden="1"/>
    </xf>
    <xf numFmtId="0" fontId="9" fillId="6" borderId="80" xfId="0" applyFont="1" applyFill="1" applyBorder="1" applyAlignment="1" applyProtection="1">
      <alignment horizontal="left" vertical="center" wrapText="1"/>
      <protection hidden="1"/>
    </xf>
    <xf numFmtId="3" fontId="9" fillId="6" borderId="81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7" borderId="82" xfId="1" applyNumberFormat="1" applyFont="1" applyFill="1" applyBorder="1" applyAlignment="1" applyProtection="1">
      <alignment horizontal="center" vertical="center" wrapText="1"/>
      <protection hidden="1"/>
    </xf>
    <xf numFmtId="3" fontId="9" fillId="6" borderId="8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vertical="center" wrapText="1"/>
      <protection hidden="1"/>
    </xf>
    <xf numFmtId="164" fontId="16" fillId="7" borderId="68" xfId="1" applyNumberFormat="1" applyFont="1" applyFill="1" applyBorder="1" applyAlignment="1" applyProtection="1">
      <alignment horizontal="center" vertical="center" wrapText="1"/>
      <protection hidden="1"/>
    </xf>
    <xf numFmtId="3" fontId="16" fillId="0" borderId="67" xfId="0" applyNumberFormat="1" applyFont="1" applyBorder="1" applyAlignment="1" applyProtection="1">
      <alignment horizontal="right" vertical="center" wrapText="1" indent="1"/>
      <protection hidden="1"/>
    </xf>
    <xf numFmtId="3" fontId="16" fillId="0" borderId="69" xfId="0" applyNumberFormat="1" applyFont="1" applyBorder="1" applyAlignment="1" applyProtection="1">
      <alignment horizontal="center" vertical="center" wrapText="1"/>
      <protection hidden="1"/>
    </xf>
    <xf numFmtId="164" fontId="16" fillId="7" borderId="72" xfId="1" applyNumberFormat="1" applyFont="1" applyFill="1" applyBorder="1" applyAlignment="1" applyProtection="1">
      <alignment horizontal="center" vertical="center" wrapText="1"/>
      <protection hidden="1"/>
    </xf>
    <xf numFmtId="3" fontId="16" fillId="0" borderId="71" xfId="0" applyNumberFormat="1" applyFont="1" applyBorder="1" applyAlignment="1" applyProtection="1">
      <alignment horizontal="right" vertical="center" wrapText="1" indent="1"/>
      <protection hidden="1"/>
    </xf>
    <xf numFmtId="3" fontId="16" fillId="0" borderId="71" xfId="0" applyNumberFormat="1" applyFont="1" applyBorder="1" applyAlignment="1" applyProtection="1">
      <alignment horizontal="center" vertical="center" wrapText="1"/>
      <protection hidden="1"/>
    </xf>
    <xf numFmtId="0" fontId="2" fillId="0" borderId="83" xfId="0" applyFont="1" applyBorder="1" applyAlignment="1" applyProtection="1">
      <alignment vertical="center" wrapText="1"/>
      <protection hidden="1"/>
    </xf>
    <xf numFmtId="0" fontId="2" fillId="0" borderId="84" xfId="0" applyFont="1" applyBorder="1" applyAlignment="1" applyProtection="1">
      <alignment vertical="center" wrapText="1"/>
      <protection hidden="1"/>
    </xf>
    <xf numFmtId="0" fontId="2" fillId="0" borderId="85" xfId="0" applyFont="1" applyBorder="1" applyAlignment="1" applyProtection="1">
      <alignment vertical="center" wrapText="1"/>
      <protection hidden="1"/>
    </xf>
    <xf numFmtId="0" fontId="6" fillId="9" borderId="83" xfId="0" applyFont="1" applyFill="1" applyBorder="1" applyAlignment="1" applyProtection="1">
      <alignment horizontal="center" vertical="center" wrapText="1"/>
      <protection hidden="1"/>
    </xf>
    <xf numFmtId="0" fontId="6" fillId="9" borderId="84" xfId="0" applyFont="1" applyFill="1" applyBorder="1" applyAlignment="1" applyProtection="1">
      <alignment horizontal="center" vertical="center" wrapText="1"/>
      <protection hidden="1"/>
    </xf>
    <xf numFmtId="0" fontId="6" fillId="9" borderId="85" xfId="0" applyFont="1" applyFill="1" applyBorder="1" applyAlignment="1" applyProtection="1">
      <alignment horizontal="center" vertical="center" wrapText="1"/>
      <protection hidden="1"/>
    </xf>
    <xf numFmtId="0" fontId="6" fillId="9" borderId="7" xfId="0" applyFont="1" applyFill="1" applyBorder="1" applyAlignment="1" applyProtection="1">
      <alignment horizontal="center" vertical="center" wrapText="1"/>
      <protection hidden="1"/>
    </xf>
    <xf numFmtId="0" fontId="6" fillId="9" borderId="0" xfId="0" applyFont="1" applyFill="1" applyAlignment="1" applyProtection="1">
      <alignment horizontal="center" vertical="center" wrapText="1"/>
      <protection hidden="1"/>
    </xf>
    <xf numFmtId="0" fontId="6" fillId="0" borderId="54" xfId="0" applyFont="1" applyBorder="1" applyAlignment="1" applyProtection="1">
      <alignment horizontal="center" vertical="center" wrapText="1"/>
      <protection hidden="1"/>
    </xf>
    <xf numFmtId="17" fontId="6" fillId="9" borderId="7" xfId="0" applyNumberFormat="1" applyFont="1" applyFill="1" applyBorder="1" applyAlignment="1" applyProtection="1">
      <alignment horizontal="center" vertical="center" wrapText="1"/>
      <protection hidden="1"/>
    </xf>
    <xf numFmtId="17" fontId="6" fillId="9" borderId="0" xfId="0" applyNumberFormat="1" applyFont="1" applyFill="1" applyAlignment="1" applyProtection="1">
      <alignment horizontal="center" vertical="center" wrapText="1"/>
      <protection hidden="1"/>
    </xf>
    <xf numFmtId="0" fontId="2" fillId="10" borderId="9" xfId="0" applyFont="1" applyFill="1" applyBorder="1" applyAlignment="1" applyProtection="1">
      <alignment vertical="center" wrapText="1"/>
      <protection hidden="1"/>
    </xf>
    <xf numFmtId="0" fontId="17" fillId="6" borderId="86" xfId="0" applyFont="1" applyFill="1" applyBorder="1" applyAlignment="1" applyProtection="1">
      <alignment horizontal="center" vertical="center"/>
      <protection hidden="1"/>
    </xf>
    <xf numFmtId="0" fontId="17" fillId="6" borderId="87" xfId="0" applyFont="1" applyFill="1" applyBorder="1" applyAlignment="1" applyProtection="1">
      <alignment horizontal="center" vertical="center"/>
      <protection hidden="1"/>
    </xf>
    <xf numFmtId="0" fontId="18" fillId="9" borderId="88" xfId="0" applyFont="1" applyFill="1" applyBorder="1" applyAlignment="1" applyProtection="1">
      <alignment horizontal="center" vertical="center" wrapText="1"/>
      <protection hidden="1"/>
    </xf>
    <xf numFmtId="0" fontId="13" fillId="10" borderId="89" xfId="0" applyFont="1" applyFill="1" applyBorder="1" applyAlignment="1" applyProtection="1">
      <alignment horizontal="center" vertical="center" wrapText="1"/>
      <protection hidden="1"/>
    </xf>
    <xf numFmtId="10" fontId="6" fillId="0" borderId="89" xfId="1" applyNumberFormat="1" applyFont="1" applyBorder="1" applyAlignment="1" applyProtection="1">
      <alignment horizontal="center" vertical="center" wrapText="1"/>
      <protection hidden="1"/>
    </xf>
    <xf numFmtId="3" fontId="6" fillId="10" borderId="89" xfId="0" applyNumberFormat="1" applyFont="1" applyFill="1" applyBorder="1" applyAlignment="1" applyProtection="1">
      <alignment horizontal="center" vertical="center" wrapText="1"/>
      <protection hidden="1"/>
    </xf>
    <xf numFmtId="0" fontId="19" fillId="10" borderId="89" xfId="0" applyFont="1" applyFill="1" applyBorder="1" applyAlignment="1" applyProtection="1">
      <alignment horizontal="right" vertical="center" wrapText="1"/>
      <protection hidden="1"/>
    </xf>
    <xf numFmtId="3" fontId="6" fillId="9" borderId="7" xfId="0" applyNumberFormat="1" applyFont="1" applyFill="1" applyBorder="1" applyAlignment="1" applyProtection="1">
      <alignment horizontal="center" vertical="center" wrapText="1"/>
      <protection hidden="1"/>
    </xf>
    <xf numFmtId="3" fontId="6" fillId="9" borderId="0" xfId="0" applyNumberFormat="1" applyFont="1" applyFill="1" applyAlignment="1" applyProtection="1">
      <alignment horizontal="center" vertical="center" wrapText="1"/>
      <protection hidden="1"/>
    </xf>
    <xf numFmtId="0" fontId="14" fillId="0" borderId="87" xfId="0" applyFont="1" applyBorder="1" applyAlignment="1" applyProtection="1">
      <alignment horizontal="center" vertical="center" wrapText="1"/>
      <protection hidden="1"/>
    </xf>
    <xf numFmtId="0" fontId="20" fillId="5" borderId="50" xfId="0" applyFont="1" applyFill="1" applyBorder="1" applyAlignment="1" applyProtection="1">
      <alignment horizontal="center" vertical="center" wrapText="1"/>
      <protection hidden="1"/>
    </xf>
    <xf numFmtId="0" fontId="20" fillId="5" borderId="46" xfId="0" applyFont="1" applyFill="1" applyBorder="1" applyAlignment="1" applyProtection="1">
      <alignment horizontal="center" vertical="center" wrapText="1"/>
      <protection hidden="1"/>
    </xf>
    <xf numFmtId="0" fontId="20" fillId="5" borderId="51" xfId="0" applyFont="1" applyFill="1" applyBorder="1" applyAlignment="1" applyProtection="1">
      <alignment horizontal="center" vertical="center" wrapText="1"/>
      <protection hidden="1"/>
    </xf>
    <xf numFmtId="0" fontId="14" fillId="0" borderId="90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14" fillId="0" borderId="48" xfId="0" applyFont="1" applyBorder="1" applyAlignment="1" applyProtection="1">
      <alignment horizontal="center" vertical="center" wrapText="1"/>
      <protection hidden="1"/>
    </xf>
    <xf numFmtId="0" fontId="6" fillId="4" borderId="91" xfId="0" applyFont="1" applyFill="1" applyBorder="1" applyAlignment="1" applyProtection="1">
      <alignment horizontal="center" vertical="center" wrapText="1"/>
      <protection hidden="1"/>
    </xf>
    <xf numFmtId="0" fontId="5" fillId="4" borderId="92" xfId="0" applyFont="1" applyFill="1" applyBorder="1" applyAlignment="1" applyProtection="1">
      <alignment horizontal="center" vertical="center" wrapText="1"/>
      <protection hidden="1"/>
    </xf>
    <xf numFmtId="0" fontId="5" fillId="4" borderId="93" xfId="0" applyFont="1" applyFill="1" applyBorder="1" applyAlignment="1" applyProtection="1">
      <alignment horizontal="center" vertical="center" wrapText="1"/>
      <protection hidden="1"/>
    </xf>
    <xf numFmtId="0" fontId="5" fillId="4" borderId="94" xfId="0" applyFont="1" applyFill="1" applyBorder="1" applyAlignment="1" applyProtection="1">
      <alignment horizontal="center" vertical="center" wrapText="1"/>
      <protection hidden="1"/>
    </xf>
    <xf numFmtId="0" fontId="5" fillId="4" borderId="95" xfId="0" applyFont="1" applyFill="1" applyBorder="1" applyAlignment="1" applyProtection="1">
      <alignment horizontal="center" vertical="center" wrapText="1"/>
      <protection hidden="1"/>
    </xf>
    <xf numFmtId="164" fontId="10" fillId="0" borderId="96" xfId="1" applyNumberFormat="1" applyFont="1" applyBorder="1" applyAlignment="1" applyProtection="1">
      <alignment horizontal="center" vertical="center" wrapText="1"/>
      <protection hidden="1"/>
    </xf>
    <xf numFmtId="164" fontId="10" fillId="0" borderId="97" xfId="0" applyNumberFormat="1" applyFont="1" applyBorder="1" applyAlignment="1" applyProtection="1">
      <alignment horizontal="center" vertical="center" wrapText="1"/>
      <protection hidden="1"/>
    </xf>
    <xf numFmtId="164" fontId="10" fillId="0" borderId="98" xfId="1" applyNumberFormat="1" applyFont="1" applyBorder="1" applyAlignment="1" applyProtection="1">
      <alignment horizontal="center" vertical="center" wrapText="1"/>
      <protection hidden="1"/>
    </xf>
    <xf numFmtId="164" fontId="10" fillId="0" borderId="98" xfId="1" applyNumberFormat="1" applyFont="1" applyBorder="1" applyAlignment="1" applyProtection="1">
      <alignment vertical="center" wrapText="1"/>
      <protection hidden="1"/>
    </xf>
    <xf numFmtId="164" fontId="10" fillId="0" borderId="99" xfId="0" applyNumberFormat="1" applyFont="1" applyBorder="1" applyAlignment="1" applyProtection="1">
      <alignment horizontal="center" vertical="center" wrapText="1"/>
      <protection hidden="1"/>
    </xf>
    <xf numFmtId="164" fontId="2" fillId="0" borderId="70" xfId="0" applyNumberFormat="1" applyFont="1" applyBorder="1" applyAlignment="1" applyProtection="1">
      <alignment horizontal="right" vertical="center" wrapText="1"/>
      <protection hidden="1"/>
    </xf>
    <xf numFmtId="164" fontId="10" fillId="0" borderId="100" xfId="1" applyNumberFormat="1" applyFont="1" applyBorder="1" applyAlignment="1" applyProtection="1">
      <alignment horizontal="center" vertical="center" wrapText="1"/>
      <protection hidden="1"/>
    </xf>
    <xf numFmtId="164" fontId="10" fillId="0" borderId="101" xfId="0" applyNumberFormat="1" applyFont="1" applyBorder="1" applyAlignment="1" applyProtection="1">
      <alignment horizontal="center" vertical="center" wrapText="1"/>
      <protection hidden="1"/>
    </xf>
    <xf numFmtId="164" fontId="10" fillId="0" borderId="102" xfId="1" applyNumberFormat="1" applyFont="1" applyBorder="1" applyAlignment="1" applyProtection="1">
      <alignment horizontal="center" vertical="center" wrapText="1"/>
      <protection hidden="1"/>
    </xf>
    <xf numFmtId="164" fontId="10" fillId="0" borderId="102" xfId="1" applyNumberFormat="1" applyFont="1" applyBorder="1" applyAlignment="1" applyProtection="1">
      <alignment vertical="center" wrapText="1"/>
      <protection hidden="1"/>
    </xf>
    <xf numFmtId="164" fontId="10" fillId="0" borderId="103" xfId="0" applyNumberFormat="1" applyFont="1" applyBorder="1" applyAlignment="1" applyProtection="1">
      <alignment horizontal="center" vertical="center" wrapText="1"/>
      <protection hidden="1"/>
    </xf>
    <xf numFmtId="164" fontId="10" fillId="0" borderId="104" xfId="1" applyNumberFormat="1" applyFont="1" applyBorder="1" applyAlignment="1" applyProtection="1">
      <alignment horizontal="center" vertical="center" wrapText="1"/>
      <protection hidden="1"/>
    </xf>
    <xf numFmtId="164" fontId="10" fillId="0" borderId="104" xfId="1" applyNumberFormat="1" applyFont="1" applyBorder="1" applyAlignment="1" applyProtection="1">
      <alignment vertical="center" wrapText="1"/>
      <protection hidden="1"/>
    </xf>
    <xf numFmtId="164" fontId="14" fillId="8" borderId="66" xfId="0" applyNumberFormat="1" applyFont="1" applyFill="1" applyBorder="1" applyAlignment="1" applyProtection="1">
      <alignment horizontal="left" vertical="center" wrapText="1"/>
      <protection hidden="1"/>
    </xf>
    <xf numFmtId="164" fontId="10" fillId="8" borderId="100" xfId="1" applyNumberFormat="1" applyFont="1" applyFill="1" applyBorder="1" applyAlignment="1" applyProtection="1">
      <alignment horizontal="center" vertical="center" wrapText="1"/>
      <protection hidden="1"/>
    </xf>
    <xf numFmtId="164" fontId="10" fillId="8" borderId="101" xfId="0" applyNumberFormat="1" applyFont="1" applyFill="1" applyBorder="1" applyAlignment="1" applyProtection="1">
      <alignment horizontal="center" vertical="center" wrapText="1"/>
      <protection hidden="1"/>
    </xf>
    <xf numFmtId="164" fontId="10" fillId="8" borderId="104" xfId="1" applyNumberFormat="1" applyFont="1" applyFill="1" applyBorder="1" applyAlignment="1" applyProtection="1">
      <alignment horizontal="center" vertical="center" wrapText="1"/>
      <protection hidden="1"/>
    </xf>
    <xf numFmtId="164" fontId="10" fillId="8" borderId="104" xfId="1" applyNumberFormat="1" applyFont="1" applyFill="1" applyBorder="1" applyAlignment="1" applyProtection="1">
      <alignment vertical="center" wrapText="1"/>
      <protection hidden="1"/>
    </xf>
    <xf numFmtId="164" fontId="10" fillId="8" borderId="103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70" xfId="0" applyNumberFormat="1" applyFont="1" applyBorder="1" applyAlignment="1" applyProtection="1">
      <alignment horizontal="left" vertical="center" wrapText="1"/>
      <protection hidden="1"/>
    </xf>
    <xf numFmtId="164" fontId="14" fillId="8" borderId="66" xfId="0" applyNumberFormat="1" applyFont="1" applyFill="1" applyBorder="1" applyAlignment="1" applyProtection="1">
      <alignment horizontal="right" vertical="center" wrapText="1"/>
      <protection hidden="1"/>
    </xf>
    <xf numFmtId="164" fontId="10" fillId="0" borderId="105" xfId="1" applyNumberFormat="1" applyFont="1" applyBorder="1" applyAlignment="1" applyProtection="1">
      <alignment horizontal="center" vertical="center" wrapText="1"/>
      <protection hidden="1"/>
    </xf>
    <xf numFmtId="164" fontId="10" fillId="0" borderId="105" xfId="1" applyNumberFormat="1" applyFont="1" applyBorder="1" applyAlignment="1" applyProtection="1">
      <alignment vertical="center" wrapText="1"/>
      <protection hidden="1"/>
    </xf>
    <xf numFmtId="164" fontId="10" fillId="0" borderId="106" xfId="0" applyNumberFormat="1" applyFont="1" applyBorder="1" applyAlignment="1" applyProtection="1">
      <alignment horizontal="center" vertical="center" wrapText="1"/>
      <protection hidden="1"/>
    </xf>
    <xf numFmtId="3" fontId="6" fillId="8" borderId="63" xfId="0" applyNumberFormat="1" applyFont="1" applyFill="1" applyBorder="1" applyAlignment="1" applyProtection="1">
      <alignment horizontal="left" vertical="center" wrapText="1"/>
      <protection hidden="1"/>
    </xf>
    <xf numFmtId="164" fontId="10" fillId="8" borderId="96" xfId="1" applyNumberFormat="1" applyFont="1" applyFill="1" applyBorder="1" applyAlignment="1" applyProtection="1">
      <alignment horizontal="center" vertical="center" wrapText="1"/>
      <protection hidden="1"/>
    </xf>
    <xf numFmtId="164" fontId="10" fillId="8" borderId="97" xfId="0" applyNumberFormat="1" applyFont="1" applyFill="1" applyBorder="1" applyAlignment="1" applyProtection="1">
      <alignment horizontal="center" vertical="center" wrapText="1"/>
      <protection hidden="1"/>
    </xf>
    <xf numFmtId="164" fontId="10" fillId="8" borderId="64" xfId="1" applyNumberFormat="1" applyFont="1" applyFill="1" applyBorder="1" applyAlignment="1" applyProtection="1">
      <alignment horizontal="center" vertical="center" wrapText="1"/>
      <protection hidden="1"/>
    </xf>
    <xf numFmtId="164" fontId="10" fillId="8" borderId="64" xfId="1" applyNumberFormat="1" applyFont="1" applyFill="1" applyBorder="1" applyAlignment="1" applyProtection="1">
      <alignment vertical="center" wrapText="1"/>
      <protection hidden="1"/>
    </xf>
    <xf numFmtId="164" fontId="10" fillId="8" borderId="99" xfId="0" applyNumberFormat="1" applyFont="1" applyFill="1" applyBorder="1" applyAlignment="1" applyProtection="1">
      <alignment horizontal="center" vertical="center" wrapText="1"/>
      <protection hidden="1"/>
    </xf>
    <xf numFmtId="164" fontId="9" fillId="6" borderId="80" xfId="0" applyNumberFormat="1" applyFont="1" applyFill="1" applyBorder="1" applyAlignment="1" applyProtection="1">
      <alignment horizontal="left" vertical="center" wrapText="1"/>
      <protection hidden="1"/>
    </xf>
    <xf numFmtId="164" fontId="9" fillId="6" borderId="107" xfId="1" applyNumberFormat="1" applyFont="1" applyFill="1" applyBorder="1" applyAlignment="1" applyProtection="1">
      <alignment horizontal="center" vertical="center" wrapText="1"/>
      <protection hidden="1"/>
    </xf>
    <xf numFmtId="164" fontId="9" fillId="6" borderId="108" xfId="0" applyNumberFormat="1" applyFont="1" applyFill="1" applyBorder="1" applyAlignment="1" applyProtection="1">
      <alignment horizontal="center" vertical="center" wrapText="1"/>
      <protection hidden="1"/>
    </xf>
    <xf numFmtId="164" fontId="9" fillId="6" borderId="81" xfId="1" applyNumberFormat="1" applyFont="1" applyFill="1" applyBorder="1" applyAlignment="1" applyProtection="1">
      <alignment horizontal="center" vertical="center" wrapText="1"/>
      <protection hidden="1"/>
    </xf>
    <xf numFmtId="164" fontId="9" fillId="6" borderId="81" xfId="1" applyNumberFormat="1" applyFont="1" applyFill="1" applyBorder="1" applyAlignment="1" applyProtection="1">
      <alignment vertical="center" wrapText="1"/>
      <protection hidden="1"/>
    </xf>
    <xf numFmtId="164" fontId="9" fillId="6" borderId="109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horizontal="center" vertical="center" wrapText="1"/>
      <protection hidden="1"/>
    </xf>
    <xf numFmtId="10" fontId="21" fillId="0" borderId="0" xfId="1" applyNumberFormat="1" applyFont="1" applyAlignment="1" applyProtection="1">
      <alignment horizontal="center" vertical="center" wrapText="1"/>
      <protection hidden="1"/>
    </xf>
    <xf numFmtId="164" fontId="21" fillId="0" borderId="0" xfId="0" applyNumberFormat="1" applyFont="1" applyAlignment="1" applyProtection="1">
      <alignment horizontal="center" vertical="center" wrapText="1"/>
      <protection hidden="1"/>
    </xf>
    <xf numFmtId="0" fontId="12" fillId="0" borderId="110" xfId="0" applyFont="1" applyBorder="1" applyAlignment="1" applyProtection="1">
      <alignment horizontal="center" vertical="center" wrapText="1"/>
      <protection hidden="1"/>
    </xf>
    <xf numFmtId="0" fontId="12" fillId="8" borderId="111" xfId="0" applyFont="1" applyFill="1" applyBorder="1" applyAlignment="1" applyProtection="1">
      <alignment horizontal="center" vertical="center" wrapText="1"/>
      <protection hidden="1"/>
    </xf>
    <xf numFmtId="0" fontId="12" fillId="8" borderId="112" xfId="0" applyFont="1" applyFill="1" applyBorder="1" applyAlignment="1" applyProtection="1">
      <alignment horizontal="center" vertical="center" wrapText="1"/>
      <protection hidden="1"/>
    </xf>
    <xf numFmtId="0" fontId="12" fillId="8" borderId="0" xfId="0" applyFont="1" applyFill="1" applyAlignment="1" applyProtection="1">
      <alignment horizontal="center" vertical="center" wrapText="1"/>
      <protection hidden="1"/>
    </xf>
    <xf numFmtId="0" fontId="12" fillId="8" borderId="20" xfId="0" applyFont="1" applyFill="1" applyBorder="1" applyAlignment="1" applyProtection="1">
      <alignment horizontal="center" vertical="center" wrapText="1"/>
      <protection hidden="1"/>
    </xf>
    <xf numFmtId="166" fontId="10" fillId="8" borderId="71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7" borderId="113" xfId="1" applyNumberFormat="1" applyFont="1" applyFill="1" applyBorder="1" applyAlignment="1" applyProtection="1">
      <alignment horizontal="center" vertical="center" wrapText="1"/>
      <protection hidden="1"/>
    </xf>
    <xf numFmtId="0" fontId="2" fillId="8" borderId="0" xfId="0" applyFont="1" applyFill="1" applyAlignment="1" applyProtection="1">
      <alignment vertical="center" wrapText="1"/>
      <protection hidden="1"/>
    </xf>
    <xf numFmtId="0" fontId="12" fillId="0" borderId="114" xfId="0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left"/>
    </xf>
    <xf numFmtId="1" fontId="0" fillId="0" borderId="0" xfId="0" applyNumberFormat="1"/>
    <xf numFmtId="164" fontId="0" fillId="0" borderId="0" xfId="1" applyNumberFormat="1" applyFont="1"/>
    <xf numFmtId="0" fontId="12" fillId="0" borderId="5" xfId="0" applyFont="1" applyBorder="1" applyAlignment="1" applyProtection="1">
      <alignment horizontal="center" vertical="center" wrapText="1"/>
      <protection hidden="1"/>
    </xf>
    <xf numFmtId="0" fontId="12" fillId="8" borderId="115" xfId="0" applyFont="1" applyFill="1" applyBorder="1" applyAlignment="1" applyProtection="1">
      <alignment horizontal="center" vertical="center" wrapText="1"/>
      <protection hidden="1"/>
    </xf>
    <xf numFmtId="0" fontId="12" fillId="0" borderId="116" xfId="0" applyFont="1" applyBorder="1" applyAlignment="1" applyProtection="1">
      <alignment horizontal="center" vertical="center" wrapText="1"/>
      <protection hidden="1"/>
    </xf>
    <xf numFmtId="0" fontId="12" fillId="0" borderId="112" xfId="0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166" fontId="10" fillId="0" borderId="71" xfId="0" applyNumberFormat="1" applyFont="1" applyBorder="1" applyAlignment="1" applyProtection="1">
      <alignment horizontal="right" vertical="center" wrapText="1" indent="1"/>
      <protection hidden="1"/>
    </xf>
    <xf numFmtId="164" fontId="10" fillId="0" borderId="11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12" fillId="0" borderId="111" xfId="0" applyFont="1" applyBorder="1" applyAlignment="1" applyProtection="1">
      <alignment horizontal="center" vertical="center" wrapText="1"/>
      <protection hidden="1"/>
    </xf>
    <xf numFmtId="0" fontId="12" fillId="0" borderId="117" xfId="0" applyFont="1" applyBorder="1" applyAlignment="1" applyProtection="1">
      <alignment horizontal="center" vertical="center" wrapText="1"/>
      <protection hidden="1"/>
    </xf>
    <xf numFmtId="0" fontId="6" fillId="4" borderId="118" xfId="0" applyFont="1" applyFill="1" applyBorder="1" applyAlignment="1" applyProtection="1">
      <alignment horizontal="center" vertical="center" wrapText="1"/>
      <protection hidden="1"/>
    </xf>
    <xf numFmtId="0" fontId="6" fillId="4" borderId="87" xfId="0" applyFont="1" applyFill="1" applyBorder="1" applyAlignment="1" applyProtection="1">
      <alignment horizontal="center" vertical="center" wrapText="1"/>
      <protection hidden="1"/>
    </xf>
    <xf numFmtId="0" fontId="12" fillId="0" borderId="119" xfId="0" applyFont="1" applyBorder="1" applyAlignment="1" applyProtection="1">
      <alignment horizontal="center" vertical="center" wrapText="1"/>
      <protection hidden="1"/>
    </xf>
    <xf numFmtId="0" fontId="12" fillId="0" borderId="120" xfId="0" applyFont="1" applyBorder="1" applyAlignment="1" applyProtection="1">
      <alignment horizontal="center" vertical="center" wrapText="1"/>
      <protection hidden="1"/>
    </xf>
    <xf numFmtId="0" fontId="12" fillId="6" borderId="121" xfId="0" applyFont="1" applyFill="1" applyBorder="1" applyAlignment="1" applyProtection="1">
      <alignment horizontal="center" vertical="center" wrapText="1"/>
      <protection hidden="1"/>
    </xf>
    <xf numFmtId="3" fontId="10" fillId="6" borderId="122" xfId="0" applyNumberFormat="1" applyFont="1" applyFill="1" applyBorder="1" applyAlignment="1" applyProtection="1">
      <alignment horizontal="center" vertical="center" wrapText="1"/>
      <protection hidden="1"/>
    </xf>
    <xf numFmtId="3" fontId="10" fillId="6" borderId="123" xfId="0" applyNumberFormat="1" applyFont="1" applyFill="1" applyBorder="1" applyAlignment="1" applyProtection="1">
      <alignment horizontal="center" vertical="center" wrapText="1"/>
      <protection hidden="1"/>
    </xf>
    <xf numFmtId="0" fontId="2" fillId="6" borderId="122" xfId="0" applyFont="1" applyFill="1" applyBorder="1" applyAlignment="1" applyProtection="1">
      <alignment horizontal="left" vertical="center" wrapText="1"/>
      <protection hidden="1"/>
    </xf>
    <xf numFmtId="0" fontId="0" fillId="0" borderId="124" xfId="0" applyBorder="1" applyAlignment="1">
      <alignment horizontal="left" vertical="center" wrapText="1"/>
    </xf>
    <xf numFmtId="0" fontId="0" fillId="0" borderId="125" xfId="0" applyBorder="1" applyAlignment="1">
      <alignment horizontal="left" vertical="center" wrapText="1"/>
    </xf>
    <xf numFmtId="0" fontId="12" fillId="0" borderId="126" xfId="0" applyFont="1" applyBorder="1" applyAlignment="1" applyProtection="1">
      <alignment horizontal="center" vertical="center" wrapText="1"/>
      <protection hidden="1"/>
    </xf>
    <xf numFmtId="164" fontId="2" fillId="0" borderId="0" xfId="1" applyNumberFormat="1" applyFont="1"/>
    <xf numFmtId="0" fontId="12" fillId="0" borderId="127" xfId="0" applyFont="1" applyBorder="1" applyAlignment="1" applyProtection="1">
      <alignment horizontal="center" vertical="center" wrapText="1"/>
      <protection hidden="1"/>
    </xf>
    <xf numFmtId="3" fontId="10" fillId="0" borderId="128" xfId="0" applyNumberFormat="1" applyFont="1" applyBorder="1" applyAlignment="1" applyProtection="1">
      <alignment horizontal="center" vertical="center" wrapText="1"/>
      <protection hidden="1"/>
    </xf>
    <xf numFmtId="3" fontId="10" fillId="0" borderId="129" xfId="0" applyNumberFormat="1" applyFont="1" applyBorder="1" applyAlignment="1" applyProtection="1">
      <alignment horizontal="center" vertical="center" wrapText="1"/>
      <protection hidden="1"/>
    </xf>
    <xf numFmtId="0" fontId="2" fillId="0" borderId="128" xfId="0" applyFont="1" applyBorder="1" applyAlignment="1" applyProtection="1">
      <alignment horizontal="left" vertical="center" wrapText="1"/>
      <protection hidden="1"/>
    </xf>
    <xf numFmtId="0" fontId="0" fillId="0" borderId="130" xfId="0" applyBorder="1" applyAlignment="1">
      <alignment horizontal="left" vertical="center" wrapText="1"/>
    </xf>
    <xf numFmtId="0" fontId="0" fillId="0" borderId="131" xfId="0" applyBorder="1" applyAlignment="1">
      <alignment horizontal="left" vertical="center" wrapText="1"/>
    </xf>
    <xf numFmtId="164" fontId="13" fillId="0" borderId="0" xfId="1" applyNumberFormat="1" applyFont="1" applyAlignment="1" applyProtection="1">
      <alignment vertical="center" wrapText="1"/>
      <protection hidden="1"/>
    </xf>
    <xf numFmtId="0" fontId="12" fillId="8" borderId="127" xfId="0" applyFont="1" applyFill="1" applyBorder="1" applyAlignment="1" applyProtection="1">
      <alignment horizontal="center" vertical="center" wrapText="1"/>
      <protection hidden="1"/>
    </xf>
    <xf numFmtId="3" fontId="10" fillId="8" borderId="128" xfId="0" applyNumberFormat="1" applyFont="1" applyFill="1" applyBorder="1" applyAlignment="1" applyProtection="1">
      <alignment horizontal="center" vertical="center" wrapText="1"/>
      <protection hidden="1"/>
    </xf>
    <xf numFmtId="3" fontId="10" fillId="8" borderId="129" xfId="0" applyNumberFormat="1" applyFont="1" applyFill="1" applyBorder="1" applyAlignment="1" applyProtection="1">
      <alignment horizontal="center" vertical="center" wrapText="1"/>
      <protection hidden="1"/>
    </xf>
    <xf numFmtId="0" fontId="2" fillId="8" borderId="128" xfId="0" applyFont="1" applyFill="1" applyBorder="1" applyAlignment="1" applyProtection="1">
      <alignment horizontal="left" vertical="center" wrapText="1"/>
      <protection hidden="1"/>
    </xf>
    <xf numFmtId="0" fontId="2" fillId="0" borderId="130" xfId="0" applyFont="1" applyBorder="1" applyAlignment="1" applyProtection="1">
      <alignment horizontal="left" vertical="center" wrapText="1"/>
      <protection hidden="1"/>
    </xf>
    <xf numFmtId="0" fontId="2" fillId="0" borderId="131" xfId="0" applyFont="1" applyBorder="1" applyAlignment="1" applyProtection="1">
      <alignment horizontal="left" vertical="center" wrapText="1"/>
      <protection hidden="1"/>
    </xf>
    <xf numFmtId="0" fontId="2" fillId="0" borderId="0" xfId="0" applyFont="1" applyProtection="1">
      <protection hidden="1"/>
    </xf>
    <xf numFmtId="0" fontId="8" fillId="6" borderId="119" xfId="0" applyFont="1" applyFill="1" applyBorder="1" applyAlignment="1" applyProtection="1">
      <alignment horizontal="center" vertical="center" wrapText="1"/>
      <protection hidden="1"/>
    </xf>
    <xf numFmtId="0" fontId="8" fillId="6" borderId="132" xfId="0" applyFont="1" applyFill="1" applyBorder="1" applyAlignment="1" applyProtection="1">
      <alignment horizontal="center" vertical="center" wrapText="1"/>
      <protection hidden="1"/>
    </xf>
    <xf numFmtId="0" fontId="8" fillId="6" borderId="133" xfId="0" applyFont="1" applyFill="1" applyBorder="1" applyAlignment="1" applyProtection="1">
      <alignment horizontal="center" vertical="center" wrapText="1"/>
      <protection hidden="1"/>
    </xf>
    <xf numFmtId="3" fontId="9" fillId="6" borderId="134" xfId="0" applyNumberFormat="1" applyFont="1" applyFill="1" applyBorder="1" applyAlignment="1" applyProtection="1">
      <alignment horizontal="center" vertical="center" wrapText="1"/>
      <protection hidden="1"/>
    </xf>
    <xf numFmtId="3" fontId="9" fillId="6" borderId="135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14" xfId="1" applyNumberFormat="1" applyFont="1" applyFill="1" applyBorder="1" applyAlignment="1" applyProtection="1">
      <alignment horizontal="center" vertical="center" wrapText="1"/>
      <protection hidden="1"/>
    </xf>
    <xf numFmtId="0" fontId="22" fillId="6" borderId="134" xfId="0" applyFont="1" applyFill="1" applyBorder="1" applyAlignment="1" applyProtection="1">
      <alignment horizontal="left" vertical="center" wrapText="1"/>
      <protection hidden="1"/>
    </xf>
    <xf numFmtId="0" fontId="0" fillId="0" borderId="49" xfId="0" applyBorder="1" applyAlignment="1">
      <alignment horizontal="left" vertical="center" wrapText="1"/>
    </xf>
    <xf numFmtId="0" fontId="0" fillId="0" borderId="136" xfId="0" applyBorder="1" applyAlignment="1">
      <alignment horizontal="left" vertical="center" wrapText="1"/>
    </xf>
    <xf numFmtId="0" fontId="8" fillId="6" borderId="137" xfId="0" applyFont="1" applyFill="1" applyBorder="1" applyAlignment="1" applyProtection="1">
      <alignment horizontal="center" vertical="center" wrapText="1"/>
      <protection hidden="1"/>
    </xf>
    <xf numFmtId="3" fontId="9" fillId="6" borderId="24" xfId="0" applyNumberFormat="1" applyFont="1" applyFill="1" applyBorder="1" applyAlignment="1" applyProtection="1">
      <alignment horizontal="center" vertical="center" wrapText="1"/>
      <protection hidden="1"/>
    </xf>
    <xf numFmtId="3" fontId="9" fillId="6" borderId="138" xfId="0" applyNumberFormat="1" applyFont="1" applyFill="1" applyBorder="1" applyAlignment="1" applyProtection="1">
      <alignment horizontal="center" vertical="center" wrapText="1"/>
      <protection hidden="1"/>
    </xf>
    <xf numFmtId="0" fontId="22" fillId="6" borderId="24" xfId="0" applyFont="1" applyFill="1" applyBorder="1" applyAlignment="1" applyProtection="1">
      <alignment horizontal="left" vertical="center" wrapText="1"/>
      <protection hidden="1"/>
    </xf>
    <xf numFmtId="0" fontId="0" fillId="0" borderId="139" xfId="0" applyBorder="1" applyAlignment="1">
      <alignment horizontal="left" vertical="center" wrapText="1"/>
    </xf>
    <xf numFmtId="0" fontId="0" fillId="0" borderId="140" xfId="0" applyBorder="1" applyAlignment="1">
      <alignment horizontal="left" vertical="center" wrapText="1"/>
    </xf>
    <xf numFmtId="0" fontId="8" fillId="6" borderId="141" xfId="0" applyFont="1" applyFill="1" applyBorder="1" applyAlignment="1" applyProtection="1">
      <alignment horizontal="center" vertical="center" wrapText="1"/>
      <protection hidden="1"/>
    </xf>
    <xf numFmtId="0" fontId="8" fillId="6" borderId="142" xfId="0" applyFont="1" applyFill="1" applyBorder="1" applyAlignment="1" applyProtection="1">
      <alignment horizontal="center" vertical="center" wrapText="1"/>
      <protection hidden="1"/>
    </xf>
    <xf numFmtId="0" fontId="8" fillId="6" borderId="143" xfId="0" applyFont="1" applyFill="1" applyBorder="1" applyAlignment="1" applyProtection="1">
      <alignment horizontal="center" vertical="center" wrapText="1"/>
      <protection hidden="1"/>
    </xf>
    <xf numFmtId="3" fontId="9" fillId="6" borderId="144" xfId="0" applyNumberFormat="1" applyFont="1" applyFill="1" applyBorder="1" applyAlignment="1" applyProtection="1">
      <alignment horizontal="center" vertical="center" wrapText="1"/>
      <protection hidden="1"/>
    </xf>
    <xf numFmtId="3" fontId="9" fillId="6" borderId="145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146" xfId="1" applyNumberFormat="1" applyFont="1" applyFill="1" applyBorder="1" applyAlignment="1" applyProtection="1">
      <alignment horizontal="center" vertical="center" wrapText="1"/>
      <protection hidden="1"/>
    </xf>
    <xf numFmtId="0" fontId="22" fillId="6" borderId="144" xfId="0" applyFont="1" applyFill="1" applyBorder="1" applyAlignment="1" applyProtection="1">
      <alignment horizontal="left" vertical="center" wrapText="1"/>
      <protection hidden="1"/>
    </xf>
    <xf numFmtId="0" fontId="0" fillId="0" borderId="147" xfId="0" applyBorder="1" applyAlignment="1">
      <alignment horizontal="left" vertical="center" wrapText="1"/>
    </xf>
    <xf numFmtId="0" fontId="0" fillId="0" borderId="148" xfId="0" applyBorder="1" applyAlignment="1">
      <alignment horizontal="left" vertical="center" wrapText="1"/>
    </xf>
    <xf numFmtId="0" fontId="2" fillId="0" borderId="0" xfId="2" applyFont="1"/>
    <xf numFmtId="0" fontId="12" fillId="0" borderId="149" xfId="0" applyFont="1" applyBorder="1" applyAlignment="1" applyProtection="1">
      <alignment horizontal="center" vertical="center" wrapText="1"/>
      <protection hidden="1"/>
    </xf>
    <xf numFmtId="0" fontId="12" fillId="0" borderId="150" xfId="0" applyFont="1" applyBorder="1" applyAlignment="1" applyProtection="1">
      <alignment horizontal="center" vertical="center" wrapText="1"/>
      <protection hidden="1"/>
    </xf>
    <xf numFmtId="0" fontId="12" fillId="0" borderId="151" xfId="0" applyFont="1" applyBorder="1" applyAlignment="1" applyProtection="1">
      <alignment horizontal="center" vertical="center" wrapText="1"/>
      <protection hidden="1"/>
    </xf>
    <xf numFmtId="3" fontId="10" fillId="0" borderId="152" xfId="0" applyNumberFormat="1" applyFont="1" applyBorder="1" applyAlignment="1" applyProtection="1">
      <alignment horizontal="center" vertical="center" wrapText="1"/>
      <protection hidden="1"/>
    </xf>
    <xf numFmtId="164" fontId="10" fillId="7" borderId="15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53" xfId="0" applyFont="1" applyBorder="1" applyAlignment="1" applyProtection="1">
      <alignment horizontal="left" vertical="center" wrapText="1"/>
      <protection hidden="1"/>
    </xf>
    <xf numFmtId="0" fontId="0" fillId="0" borderId="154" xfId="0" applyBorder="1" applyAlignment="1">
      <alignment horizontal="left" vertical="center" wrapText="1"/>
    </xf>
    <xf numFmtId="0" fontId="0" fillId="0" borderId="155" xfId="0" applyBorder="1" applyAlignment="1">
      <alignment horizontal="left" vertical="center" wrapText="1"/>
    </xf>
    <xf numFmtId="0" fontId="12" fillId="0" borderId="141" xfId="0" applyFont="1" applyBorder="1" applyAlignment="1" applyProtection="1">
      <alignment horizontal="center" vertical="center" wrapText="1"/>
      <protection hidden="1"/>
    </xf>
    <xf numFmtId="0" fontId="12" fillId="0" borderId="142" xfId="0" applyFont="1" applyBorder="1" applyAlignment="1" applyProtection="1">
      <alignment horizontal="center" vertical="center" wrapText="1"/>
      <protection hidden="1"/>
    </xf>
    <xf numFmtId="0" fontId="12" fillId="0" borderId="143" xfId="0" applyFont="1" applyBorder="1" applyAlignment="1" applyProtection="1">
      <alignment horizontal="center" vertical="center" wrapText="1"/>
      <protection hidden="1"/>
    </xf>
    <xf numFmtId="3" fontId="10" fillId="0" borderId="144" xfId="0" applyNumberFormat="1" applyFont="1" applyBorder="1" applyAlignment="1" applyProtection="1">
      <alignment horizontal="center" vertical="center" wrapText="1"/>
      <protection hidden="1"/>
    </xf>
    <xf numFmtId="3" fontId="10" fillId="0" borderId="145" xfId="0" applyNumberFormat="1" applyFont="1" applyBorder="1" applyAlignment="1" applyProtection="1">
      <alignment horizontal="center" vertical="center" wrapText="1"/>
      <protection hidden="1"/>
    </xf>
    <xf numFmtId="0" fontId="2" fillId="0" borderId="122" xfId="0" applyFont="1" applyBorder="1" applyAlignment="1" applyProtection="1">
      <alignment horizontal="left" vertical="center" wrapText="1"/>
      <protection hidden="1"/>
    </xf>
    <xf numFmtId="0" fontId="12" fillId="8" borderId="149" xfId="0" applyFont="1" applyFill="1" applyBorder="1" applyAlignment="1" applyProtection="1">
      <alignment horizontal="center" vertical="center" wrapText="1"/>
      <protection hidden="1"/>
    </xf>
    <xf numFmtId="0" fontId="12" fillId="8" borderId="150" xfId="0" applyFont="1" applyFill="1" applyBorder="1" applyAlignment="1" applyProtection="1">
      <alignment horizontal="center" vertical="center" wrapText="1"/>
      <protection hidden="1"/>
    </xf>
    <xf numFmtId="0" fontId="12" fillId="8" borderId="151" xfId="0" applyFont="1" applyFill="1" applyBorder="1" applyAlignment="1" applyProtection="1">
      <alignment horizontal="center" vertical="center" wrapText="1"/>
      <protection hidden="1"/>
    </xf>
    <xf numFmtId="3" fontId="10" fillId="8" borderId="156" xfId="0" applyNumberFormat="1" applyFont="1" applyFill="1" applyBorder="1" applyAlignment="1" applyProtection="1">
      <alignment horizontal="center" vertical="center" wrapText="1"/>
      <protection hidden="1"/>
    </xf>
    <xf numFmtId="3" fontId="10" fillId="8" borderId="157" xfId="0" applyNumberFormat="1" applyFont="1" applyFill="1" applyBorder="1" applyAlignment="1" applyProtection="1">
      <alignment horizontal="center" vertical="center" wrapText="1"/>
      <protection hidden="1"/>
    </xf>
    <xf numFmtId="0" fontId="2" fillId="8" borderId="156" xfId="0" applyFont="1" applyFill="1" applyBorder="1" applyAlignment="1" applyProtection="1">
      <alignment horizontal="left" vertical="center" wrapText="1"/>
      <protection hidden="1"/>
    </xf>
    <xf numFmtId="0" fontId="0" fillId="0" borderId="158" xfId="0" applyBorder="1" applyAlignment="1">
      <alignment horizontal="left" vertical="center" wrapText="1"/>
    </xf>
    <xf numFmtId="0" fontId="0" fillId="0" borderId="159" xfId="0" applyBorder="1" applyAlignment="1">
      <alignment horizontal="left" vertical="center" wrapText="1"/>
    </xf>
    <xf numFmtId="0" fontId="12" fillId="8" borderId="119" xfId="0" applyFont="1" applyFill="1" applyBorder="1" applyAlignment="1" applyProtection="1">
      <alignment horizontal="center" vertical="center" wrapText="1"/>
      <protection hidden="1"/>
    </xf>
    <xf numFmtId="0" fontId="12" fillId="8" borderId="132" xfId="0" applyFont="1" applyFill="1" applyBorder="1" applyAlignment="1" applyProtection="1">
      <alignment horizontal="center" vertical="center" wrapText="1"/>
      <protection hidden="1"/>
    </xf>
    <xf numFmtId="0" fontId="12" fillId="8" borderId="137" xfId="0" applyFont="1" applyFill="1" applyBorder="1" applyAlignment="1" applyProtection="1">
      <alignment horizontal="center" vertical="center" wrapText="1"/>
      <protection hidden="1"/>
    </xf>
    <xf numFmtId="3" fontId="10" fillId="8" borderId="24" xfId="0" applyNumberFormat="1" applyFont="1" applyFill="1" applyBorder="1" applyAlignment="1" applyProtection="1">
      <alignment horizontal="center" vertical="center" wrapText="1"/>
      <protection hidden="1"/>
    </xf>
    <xf numFmtId="3" fontId="10" fillId="8" borderId="138" xfId="0" applyNumberFormat="1" applyFont="1" applyFill="1" applyBorder="1" applyAlignment="1" applyProtection="1">
      <alignment horizontal="center" vertical="center" wrapText="1"/>
      <protection hidden="1"/>
    </xf>
    <xf numFmtId="0" fontId="2" fillId="8" borderId="24" xfId="0" applyFont="1" applyFill="1" applyBorder="1" applyAlignment="1" applyProtection="1">
      <alignment horizontal="left" vertical="center" wrapText="1"/>
      <protection hidden="1"/>
    </xf>
    <xf numFmtId="0" fontId="12" fillId="8" borderId="141" xfId="0" applyFont="1" applyFill="1" applyBorder="1" applyAlignment="1" applyProtection="1">
      <alignment horizontal="center" vertical="center" wrapText="1"/>
      <protection hidden="1"/>
    </xf>
    <xf numFmtId="0" fontId="12" fillId="8" borderId="142" xfId="0" applyFont="1" applyFill="1" applyBorder="1" applyAlignment="1" applyProtection="1">
      <alignment horizontal="center" vertical="center" wrapText="1"/>
      <protection hidden="1"/>
    </xf>
    <xf numFmtId="0" fontId="12" fillId="8" borderId="143" xfId="0" applyFont="1" applyFill="1" applyBorder="1" applyAlignment="1" applyProtection="1">
      <alignment horizontal="center" vertical="center" wrapText="1"/>
      <protection hidden="1"/>
    </xf>
    <xf numFmtId="3" fontId="10" fillId="8" borderId="144" xfId="0" applyNumberFormat="1" applyFont="1" applyFill="1" applyBorder="1" applyAlignment="1" applyProtection="1">
      <alignment horizontal="center" vertical="center" wrapText="1"/>
      <protection hidden="1"/>
    </xf>
    <xf numFmtId="3" fontId="10" fillId="8" borderId="145" xfId="0" applyNumberFormat="1" applyFont="1" applyFill="1" applyBorder="1" applyAlignment="1" applyProtection="1">
      <alignment horizontal="center" vertical="center" wrapText="1"/>
      <protection hidden="1"/>
    </xf>
    <xf numFmtId="0" fontId="2" fillId="8" borderId="144" xfId="0" applyFont="1" applyFill="1" applyBorder="1" applyAlignment="1" applyProtection="1">
      <alignment horizontal="left" vertical="center" wrapText="1"/>
      <protection hidden="1"/>
    </xf>
    <xf numFmtId="3" fontId="10" fillId="0" borderId="156" xfId="0" applyNumberFormat="1" applyFont="1" applyBorder="1" applyAlignment="1" applyProtection="1">
      <alignment horizontal="center" vertical="center" wrapText="1"/>
      <protection hidden="1"/>
    </xf>
    <xf numFmtId="3" fontId="10" fillId="0" borderId="157" xfId="0" applyNumberFormat="1" applyFont="1" applyBorder="1" applyAlignment="1" applyProtection="1">
      <alignment horizontal="center" vertical="center" wrapText="1"/>
      <protection hidden="1"/>
    </xf>
    <xf numFmtId="0" fontId="2" fillId="0" borderId="156" xfId="0" applyFont="1" applyBorder="1" applyAlignment="1" applyProtection="1">
      <alignment horizontal="left" vertical="center" wrapText="1"/>
      <protection hidden="1"/>
    </xf>
    <xf numFmtId="0" fontId="12" fillId="0" borderId="132" xfId="0" applyFont="1" applyBorder="1" applyAlignment="1" applyProtection="1">
      <alignment horizontal="center" vertical="center" wrapText="1"/>
      <protection hidden="1"/>
    </xf>
    <xf numFmtId="0" fontId="12" fillId="0" borderId="137" xfId="0" applyFont="1" applyBorder="1" applyAlignment="1" applyProtection="1">
      <alignment horizontal="center" vertical="center" wrapText="1"/>
      <protection hidden="1"/>
    </xf>
    <xf numFmtId="3" fontId="10" fillId="0" borderId="24" xfId="0" applyNumberFormat="1" applyFont="1" applyBorder="1" applyAlignment="1" applyProtection="1">
      <alignment horizontal="center" vertical="center" wrapText="1"/>
      <protection hidden="1"/>
    </xf>
    <xf numFmtId="3" fontId="10" fillId="0" borderId="138" xfId="0" applyNumberFormat="1" applyFont="1" applyBorder="1" applyAlignment="1" applyProtection="1">
      <alignment horizontal="center" vertical="center" wrapText="1"/>
      <protection hidden="1"/>
    </xf>
    <xf numFmtId="0" fontId="2" fillId="0" borderId="24" xfId="0" applyFont="1" applyBorder="1" applyAlignment="1" applyProtection="1">
      <alignment horizontal="left" vertical="center" wrapText="1"/>
      <protection hidden="1"/>
    </xf>
    <xf numFmtId="0" fontId="2" fillId="0" borderId="144" xfId="0" applyFont="1" applyBorder="1" applyAlignment="1" applyProtection="1">
      <alignment horizontal="left" vertical="center" wrapText="1"/>
      <protection hidden="1"/>
    </xf>
    <xf numFmtId="0" fontId="12" fillId="7" borderId="149" xfId="0" applyFont="1" applyFill="1" applyBorder="1" applyAlignment="1" applyProtection="1">
      <alignment horizontal="center" vertical="center" wrapText="1"/>
      <protection hidden="1"/>
    </xf>
    <xf numFmtId="0" fontId="12" fillId="7" borderId="150" xfId="0" applyFont="1" applyFill="1" applyBorder="1" applyAlignment="1" applyProtection="1">
      <alignment horizontal="center" vertical="center" wrapText="1"/>
      <protection hidden="1"/>
    </xf>
    <xf numFmtId="0" fontId="12" fillId="7" borderId="151" xfId="0" applyFont="1" applyFill="1" applyBorder="1" applyAlignment="1" applyProtection="1">
      <alignment horizontal="center" vertical="center" wrapText="1"/>
      <protection hidden="1"/>
    </xf>
    <xf numFmtId="3" fontId="10" fillId="7" borderId="156" xfId="0" applyNumberFormat="1" applyFont="1" applyFill="1" applyBorder="1" applyAlignment="1" applyProtection="1">
      <alignment horizontal="center" vertical="center" wrapText="1"/>
      <protection hidden="1"/>
    </xf>
    <xf numFmtId="3" fontId="10" fillId="7" borderId="157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19" xfId="0" applyFont="1" applyFill="1" applyBorder="1" applyAlignment="1" applyProtection="1">
      <alignment horizontal="center" vertical="center" wrapText="1"/>
      <protection hidden="1"/>
    </xf>
    <xf numFmtId="0" fontId="12" fillId="7" borderId="132" xfId="0" applyFont="1" applyFill="1" applyBorder="1" applyAlignment="1" applyProtection="1">
      <alignment horizontal="center" vertical="center" wrapText="1"/>
      <protection hidden="1"/>
    </xf>
    <xf numFmtId="0" fontId="12" fillId="7" borderId="137" xfId="0" applyFont="1" applyFill="1" applyBorder="1" applyAlignment="1" applyProtection="1">
      <alignment horizontal="center" vertical="center" wrapText="1"/>
      <protection hidden="1"/>
    </xf>
    <xf numFmtId="3" fontId="10" fillId="7" borderId="24" xfId="0" applyNumberFormat="1" applyFont="1" applyFill="1" applyBorder="1" applyAlignment="1" applyProtection="1">
      <alignment horizontal="center" vertical="center" wrapText="1"/>
      <protection hidden="1"/>
    </xf>
    <xf numFmtId="3" fontId="10" fillId="7" borderId="138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60" xfId="0" applyFont="1" applyFill="1" applyBorder="1" applyAlignment="1" applyProtection="1">
      <alignment horizontal="center" vertical="center" wrapText="1"/>
      <protection hidden="1"/>
    </xf>
    <xf numFmtId="3" fontId="10" fillId="7" borderId="161" xfId="0" applyNumberFormat="1" applyFont="1" applyFill="1" applyBorder="1" applyAlignment="1" applyProtection="1">
      <alignment horizontal="center" vertical="center" wrapText="1"/>
      <protection hidden="1"/>
    </xf>
    <xf numFmtId="3" fontId="10" fillId="7" borderId="162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27" xfId="1" applyNumberFormat="1" applyFont="1" applyFill="1" applyBorder="1" applyAlignment="1" applyProtection="1">
      <alignment horizontal="center" vertical="center" wrapText="1"/>
      <protection hidden="1"/>
    </xf>
    <xf numFmtId="0" fontId="2" fillId="8" borderId="161" xfId="0" applyFont="1" applyFill="1" applyBorder="1" applyAlignment="1" applyProtection="1">
      <alignment horizontal="left" vertical="center" wrapText="1"/>
      <protection hidden="1"/>
    </xf>
    <xf numFmtId="0" fontId="0" fillId="0" borderId="163" xfId="0" applyBorder="1" applyAlignment="1">
      <alignment horizontal="left" vertical="center" wrapText="1"/>
    </xf>
    <xf numFmtId="0" fontId="0" fillId="0" borderId="164" xfId="0" applyBorder="1" applyAlignment="1">
      <alignment horizontal="left" vertical="center" wrapText="1"/>
    </xf>
    <xf numFmtId="0" fontId="12" fillId="0" borderId="165" xfId="0" applyFont="1" applyBorder="1" applyAlignment="1" applyProtection="1">
      <alignment horizontal="center" vertical="center" wrapText="1"/>
      <protection hidden="1"/>
    </xf>
    <xf numFmtId="3" fontId="10" fillId="0" borderId="122" xfId="0" applyNumberFormat="1" applyFont="1" applyBorder="1" applyAlignment="1" applyProtection="1">
      <alignment horizontal="center" vertical="center" wrapText="1"/>
      <protection hidden="1"/>
    </xf>
    <xf numFmtId="3" fontId="10" fillId="0" borderId="123" xfId="0" applyNumberFormat="1" applyFont="1" applyBorder="1" applyAlignment="1" applyProtection="1">
      <alignment horizontal="center" vertical="center" wrapText="1"/>
      <protection hidden="1"/>
    </xf>
    <xf numFmtId="0" fontId="2" fillId="0" borderId="124" xfId="0" applyFont="1" applyBorder="1" applyAlignment="1" applyProtection="1">
      <alignment horizontal="left" vertical="center" wrapText="1"/>
      <protection hidden="1"/>
    </xf>
    <xf numFmtId="0" fontId="2" fillId="0" borderId="125" xfId="0" applyFont="1" applyBorder="1" applyAlignment="1" applyProtection="1">
      <alignment horizontal="left" vertical="center" wrapText="1"/>
      <protection hidden="1"/>
    </xf>
    <xf numFmtId="0" fontId="12" fillId="0" borderId="166" xfId="0" applyFont="1" applyBorder="1" applyAlignment="1" applyProtection="1">
      <alignment horizontal="center" vertical="center" wrapText="1"/>
      <protection hidden="1"/>
    </xf>
    <xf numFmtId="0" fontId="12" fillId="0" borderId="167" xfId="0" applyFont="1" applyBorder="1" applyAlignment="1" applyProtection="1">
      <alignment horizontal="center" vertical="center" wrapText="1"/>
      <protection hidden="1"/>
    </xf>
    <xf numFmtId="0" fontId="12" fillId="8" borderId="168" xfId="0" applyFont="1" applyFill="1" applyBorder="1" applyAlignment="1" applyProtection="1">
      <alignment horizontal="center" vertical="center" wrapText="1"/>
      <protection hidden="1"/>
    </xf>
    <xf numFmtId="3" fontId="10" fillId="8" borderId="169" xfId="0" applyNumberFormat="1" applyFont="1" applyFill="1" applyBorder="1" applyAlignment="1" applyProtection="1">
      <alignment horizontal="center" vertical="center" wrapText="1"/>
      <protection hidden="1"/>
    </xf>
    <xf numFmtId="3" fontId="10" fillId="8" borderId="170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171" xfId="1" applyNumberFormat="1" applyFont="1" applyFill="1" applyBorder="1" applyAlignment="1" applyProtection="1">
      <alignment horizontal="center" vertical="center" wrapText="1"/>
      <protection hidden="1"/>
    </xf>
    <xf numFmtId="0" fontId="2" fillId="8" borderId="169" xfId="0" applyFont="1" applyFill="1" applyBorder="1" applyAlignment="1" applyProtection="1">
      <alignment horizontal="left" vertical="center" wrapText="1"/>
      <protection hidden="1"/>
    </xf>
    <xf numFmtId="0" fontId="0" fillId="0" borderId="172" xfId="0" applyBorder="1" applyAlignment="1">
      <alignment horizontal="left" vertical="center" wrapText="1"/>
    </xf>
    <xf numFmtId="0" fontId="0" fillId="0" borderId="173" xfId="0" applyBorder="1" applyAlignment="1">
      <alignment horizontal="left" vertical="center" wrapText="1"/>
    </xf>
    <xf numFmtId="0" fontId="12" fillId="0" borderId="174" xfId="0" applyFont="1" applyBorder="1" applyAlignment="1" applyProtection="1">
      <alignment horizontal="center" vertical="center" wrapText="1"/>
      <protection hidden="1"/>
    </xf>
    <xf numFmtId="0" fontId="2" fillId="0" borderId="175" xfId="0" applyFont="1" applyBorder="1" applyAlignment="1" applyProtection="1">
      <alignment vertical="center" wrapText="1"/>
      <protection hidden="1"/>
    </xf>
    <xf numFmtId="0" fontId="23" fillId="2" borderId="0" xfId="0" applyFont="1" applyFill="1" applyAlignment="1" applyProtection="1">
      <alignment horizontal="center" vertical="center" wrapText="1"/>
      <protection hidden="1"/>
    </xf>
    <xf numFmtId="0" fontId="2" fillId="0" borderId="0" xfId="0" applyFont="1"/>
  </cellXfs>
  <cellStyles count="3">
    <cellStyle name="Normal" xfId="0" builtinId="0"/>
    <cellStyle name="Normal 2" xfId="2" xr:uid="{F02F0479-C7F6-4C30-9747-F40A397661F7}"/>
    <cellStyle name="Porcentaje" xfId="1" builtinId="5"/>
  </cellStyles>
  <dxfs count="39"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8"/>
      </font>
    </dxf>
    <dxf>
      <font>
        <color theme="6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8"/>
      </font>
    </dxf>
    <dxf>
      <font>
        <color theme="6"/>
      </font>
    </dxf>
    <dxf>
      <font>
        <color theme="6"/>
      </font>
    </dxf>
    <dxf>
      <font>
        <color theme="8"/>
      </font>
    </dxf>
    <dxf>
      <font>
        <b/>
        <i val="0"/>
        <color theme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298</xdr:row>
      <xdr:rowOff>0</xdr:rowOff>
    </xdr:from>
    <xdr:to>
      <xdr:col>2</xdr:col>
      <xdr:colOff>1200149</xdr:colOff>
      <xdr:row>299</xdr:row>
      <xdr:rowOff>16755</xdr:rowOff>
    </xdr:to>
    <xdr:pic>
      <xdr:nvPicPr>
        <xdr:cNvPr id="2" name="2298 Imagen">
          <a:extLst>
            <a:ext uri="{FF2B5EF4-FFF2-40B4-BE49-F238E27FC236}">
              <a16:creationId xmlns:a16="http://schemas.microsoft.com/office/drawing/2014/main" id="{8CA0C818-C99C-4551-8CF9-270FEF76E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74961750"/>
          <a:ext cx="1200149" cy="654930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321</xdr:row>
      <xdr:rowOff>9525</xdr:rowOff>
    </xdr:from>
    <xdr:to>
      <xdr:col>9</xdr:col>
      <xdr:colOff>257175</xdr:colOff>
      <xdr:row>322</xdr:row>
      <xdr:rowOff>285750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1C42E88-2048-4CBA-B3DC-ECD87F978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83619975"/>
          <a:ext cx="38385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142875</xdr:colOff>
      <xdr:row>0</xdr:row>
      <xdr:rowOff>47625</xdr:rowOff>
    </xdr:from>
    <xdr:to>
      <xdr:col>3</xdr:col>
      <xdr:colOff>657225</xdr:colOff>
      <xdr:row>0</xdr:row>
      <xdr:rowOff>565846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D9C1E73-444B-4B84-8200-183707626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47625"/>
          <a:ext cx="1895475" cy="518221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60</xdr:row>
      <xdr:rowOff>85725</xdr:rowOff>
    </xdr:from>
    <xdr:to>
      <xdr:col>3</xdr:col>
      <xdr:colOff>657225</xdr:colOff>
      <xdr:row>60</xdr:row>
      <xdr:rowOff>603946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CACD76B-6166-4B1F-B30C-83AA0E007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16687800"/>
          <a:ext cx="1895475" cy="518221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116</xdr:row>
      <xdr:rowOff>57150</xdr:rowOff>
    </xdr:from>
    <xdr:to>
      <xdr:col>3</xdr:col>
      <xdr:colOff>647700</xdr:colOff>
      <xdr:row>116</xdr:row>
      <xdr:rowOff>575371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CED18B7-B607-48F0-83B0-8F99BA5BB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33823275"/>
          <a:ext cx="1895475" cy="518221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241</xdr:row>
      <xdr:rowOff>38100</xdr:rowOff>
    </xdr:from>
    <xdr:to>
      <xdr:col>3</xdr:col>
      <xdr:colOff>647700</xdr:colOff>
      <xdr:row>241</xdr:row>
      <xdr:rowOff>556321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60317B4-0546-4EB2-B2D6-E6DDAAA37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54473475"/>
          <a:ext cx="1895475" cy="5182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INVESTIGACION/Documentos%20compartidos/General/BOLETIN%20ESTAD&#205;STICO%20SPET/INDICADORES%20TURISTICOS%20DE%20TENERIFE/Indicadores%20Plantilla%20(bbdd%20sql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IZACIÓN"/>
      <sheetName val="Ind turísticos (vinculo)"/>
      <sheetName val="Hoja3"/>
      <sheetName val="Ind turísticos (vin com 2019)"/>
      <sheetName val="TTDD DATOS"/>
      <sheetName val="Hoja4"/>
      <sheetName val="gasto"/>
      <sheetName val="Hoja1"/>
      <sheetName val="Hoja2"/>
      <sheetName val="plazas autorizadas"/>
      <sheetName val="cruceros"/>
      <sheetName val="Ind turísticos invierno"/>
      <sheetName val="TTDD invierno"/>
      <sheetName val="Ind turísticos verano"/>
      <sheetName val="TTDD verano"/>
      <sheetName val="TTDD DATOS (2)"/>
      <sheetName val="para grafico de camas"/>
    </sheetNames>
    <sheetDataSet>
      <sheetData sheetId="0">
        <row r="1">
          <cell r="C1" t="str">
            <v>marzo</v>
          </cell>
        </row>
        <row r="2">
          <cell r="C2">
            <v>2022</v>
          </cell>
        </row>
        <row r="3">
          <cell r="C3" t="str">
            <v>definitivo</v>
          </cell>
        </row>
        <row r="7">
          <cell r="C7" t="str">
            <v>marzo</v>
          </cell>
        </row>
        <row r="8">
          <cell r="C8">
            <v>2022</v>
          </cell>
        </row>
        <row r="11">
          <cell r="C11" t="str">
            <v>marzo</v>
          </cell>
          <cell r="D11" t="str">
            <v/>
          </cell>
        </row>
        <row r="12">
          <cell r="C12">
            <v>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 t="str">
            <v>Suma de Plazas Autorizadas</v>
          </cell>
        </row>
        <row r="85">
          <cell r="A85" t="str">
            <v>Suma de Plazas Autorizadas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1">
          <cell r="B1" t="e">
            <v>#REF!</v>
          </cell>
          <cell r="C1" t="e">
            <v>#REF!</v>
          </cell>
          <cell r="D1" t="e">
            <v>#REF!</v>
          </cell>
          <cell r="E1" t="e">
            <v>#REF!</v>
          </cell>
          <cell r="F1" t="e">
            <v>#REF!</v>
          </cell>
          <cell r="G1" t="e">
            <v>#REF!</v>
          </cell>
          <cell r="H1" t="e">
            <v>#REF!</v>
          </cell>
          <cell r="I1" t="e">
            <v>#REF!</v>
          </cell>
          <cell r="J1" t="e">
            <v>#REF!</v>
          </cell>
          <cell r="K1" t="e">
            <v>#REF!</v>
          </cell>
        </row>
        <row r="2">
          <cell r="B2" t="e">
            <v>#REF!</v>
          </cell>
          <cell r="C2" t="e">
            <v>#REF!</v>
          </cell>
          <cell r="D2" t="e">
            <v>#REF!</v>
          </cell>
          <cell r="E2" t="e">
            <v>#REF!</v>
          </cell>
          <cell r="F2" t="e">
            <v>#REF!</v>
          </cell>
          <cell r="G2" t="e">
            <v>#REF!</v>
          </cell>
          <cell r="H2" t="e">
            <v>#REF!</v>
          </cell>
          <cell r="I2" t="e">
            <v>#REF!</v>
          </cell>
          <cell r="J2" t="e">
            <v>#REF!</v>
          </cell>
          <cell r="K2" t="e">
            <v>#REF!</v>
          </cell>
        </row>
        <row r="3">
          <cell r="B3" t="e">
            <v>#REF!</v>
          </cell>
          <cell r="C3" t="e">
            <v>#REF!</v>
          </cell>
          <cell r="D3" t="e">
            <v>#REF!</v>
          </cell>
          <cell r="E3" t="e">
            <v>#REF!</v>
          </cell>
          <cell r="F3" t="e">
            <v>#REF!</v>
          </cell>
          <cell r="G3" t="e">
            <v>#REF!</v>
          </cell>
          <cell r="H3" t="e">
            <v>#REF!</v>
          </cell>
          <cell r="I3" t="e">
            <v>#REF!</v>
          </cell>
          <cell r="J3" t="e">
            <v>#REF!</v>
          </cell>
          <cell r="K3" t="e">
            <v>#REF!</v>
          </cell>
        </row>
        <row r="4">
          <cell r="B4" t="e">
            <v>#REF!</v>
          </cell>
          <cell r="C4" t="e">
            <v>#REF!</v>
          </cell>
          <cell r="D4" t="e">
            <v>#REF!</v>
          </cell>
          <cell r="E4" t="e">
            <v>#REF!</v>
          </cell>
          <cell r="F4" t="e">
            <v>#REF!</v>
          </cell>
          <cell r="G4" t="e">
            <v>#REF!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</row>
        <row r="5">
          <cell r="B5" t="e">
            <v>#REF!</v>
          </cell>
          <cell r="C5" t="e">
            <v>#REF!</v>
          </cell>
          <cell r="D5" t="e">
            <v>#REF!</v>
          </cell>
          <cell r="E5" t="e">
            <v>#REF!</v>
          </cell>
          <cell r="F5" t="e">
            <v>#REF!</v>
          </cell>
          <cell r="G5" t="e">
            <v>#REF!</v>
          </cell>
          <cell r="H5" t="e">
            <v>#REF!</v>
          </cell>
          <cell r="I5" t="e">
            <v>#REF!</v>
          </cell>
          <cell r="J5" t="e">
            <v>#REF!</v>
          </cell>
          <cell r="K5" t="e">
            <v>#REF!</v>
          </cell>
        </row>
        <row r="6">
          <cell r="B6" t="e">
            <v>#REF!</v>
          </cell>
          <cell r="C6" t="e">
            <v>#REF!</v>
          </cell>
          <cell r="D6" t="e">
            <v>#REF!</v>
          </cell>
          <cell r="E6" t="e">
            <v>#REF!</v>
          </cell>
          <cell r="F6" t="e">
            <v>#REF!</v>
          </cell>
          <cell r="G6" t="e">
            <v>#REF!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Tenerife azul">
      <a:dk1>
        <a:srgbClr val="373A36"/>
      </a:dk1>
      <a:lt1>
        <a:sysClr val="window" lastClr="FFFFFF"/>
      </a:lt1>
      <a:dk2>
        <a:srgbClr val="1F497D"/>
      </a:dk2>
      <a:lt2>
        <a:srgbClr val="EEECE1"/>
      </a:lt2>
      <a:accent1>
        <a:srgbClr val="1226AA"/>
      </a:accent1>
      <a:accent2>
        <a:srgbClr val="0071CE"/>
      </a:accent2>
      <a:accent3>
        <a:srgbClr val="1ECAD3"/>
      </a:accent3>
      <a:accent4>
        <a:srgbClr val="3CB4E5"/>
      </a:accent4>
      <a:accent5>
        <a:srgbClr val="F32735"/>
      </a:accent5>
      <a:accent6>
        <a:srgbClr val="0047BA"/>
      </a:accent6>
      <a:hlink>
        <a:srgbClr val="000B8C"/>
      </a:hlink>
      <a:folHlink>
        <a:srgbClr val="009AD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48F78-946A-4F44-A39C-B599EC2A13D1}">
  <sheetPr published="0" codeName="Hoja2">
    <tabColor theme="5" tint="0.39997558519241921"/>
  </sheetPr>
  <dimension ref="C1:T337"/>
  <sheetViews>
    <sheetView showGridLines="0" tabSelected="1" showRuler="0" topLeftCell="A274" zoomScaleNormal="100" workbookViewId="0">
      <selection activeCell="M278" sqref="M278:M287"/>
    </sheetView>
  </sheetViews>
  <sheetFormatPr baseColWidth="10" defaultRowHeight="12.75" x14ac:dyDescent="0.2"/>
  <cols>
    <col min="1" max="2" width="2.85546875" style="3" customWidth="1"/>
    <col min="3" max="3" width="20.7109375" style="3" customWidth="1"/>
    <col min="4" max="4" width="16.42578125" style="3" customWidth="1"/>
    <col min="5" max="5" width="16.140625" style="3" customWidth="1"/>
    <col min="6" max="7" width="16" style="3" customWidth="1"/>
    <col min="8" max="8" width="16.85546875" style="3" customWidth="1"/>
    <col min="9" max="9" width="16.140625" style="3" customWidth="1"/>
    <col min="10" max="10" width="16.7109375" style="3" customWidth="1"/>
    <col min="11" max="11" width="16.140625" style="3" customWidth="1"/>
    <col min="12" max="13" width="15.7109375" style="3" customWidth="1"/>
    <col min="14" max="14" width="12.140625" style="3" bestFit="1" customWidth="1"/>
    <col min="15" max="17" width="8.85546875" style="3" customWidth="1"/>
    <col min="18" max="18" width="23.28515625" style="3" customWidth="1"/>
    <col min="19" max="19" width="2.7109375" style="3" customWidth="1"/>
    <col min="20" max="20" width="23.28515625" style="3" customWidth="1"/>
    <col min="21" max="21" width="2.7109375" style="3" customWidth="1"/>
    <col min="22" max="22" width="23.28515625" style="3" customWidth="1"/>
    <col min="23" max="16384" width="11.42578125" style="3"/>
  </cols>
  <sheetData>
    <row r="1" spans="3:13" ht="50.25" customHeight="1" thickBot="1" x14ac:dyDescent="0.25">
      <c r="C1" s="1"/>
      <c r="D1" s="1"/>
      <c r="E1" s="2" t="str">
        <f>CONCATENATE("INDICADORES TURÍSTICOS DE TENERIFE ",[1]ACTUALIZACIÓN!C3 )</f>
        <v>INDICADORES TURÍSTICOS DE TENERIFE definitivo</v>
      </c>
      <c r="F1" s="2"/>
      <c r="G1" s="2"/>
      <c r="H1" s="2"/>
      <c r="I1" s="2"/>
      <c r="J1" s="2"/>
      <c r="K1" s="2"/>
      <c r="L1" s="1"/>
      <c r="M1" s="1"/>
    </row>
    <row r="2" spans="3:13" ht="15" customHeight="1" x14ac:dyDescent="0.2">
      <c r="C2" s="4" t="str">
        <f>CONCATENATE([1]ACTUALIZACIÓN!$C$1," ",[1]ACTUALIZACIÓN!$C$2)</f>
        <v>marzo 2022</v>
      </c>
      <c r="D2" s="4"/>
      <c r="E2" s="4"/>
      <c r="F2" s="4"/>
      <c r="G2" s="4"/>
      <c r="H2" s="5"/>
      <c r="I2" s="6" t="str">
        <f>CONCATENATE(IF([1]ACTUALIZACIÓN!$C$1="diciembre","año",IF([1]ACTUALIZACIÓN!$C$1="enero","año",CONCATENATE("acumulado ",[1]ACTUALIZACIÓN!$C$1,)))," ",IF([1]ACTUALIZACIÓN!$C$1="enero",[1]ACTUALIZACIÓN!$C$2-1,[1]ACTUALIZACIÓN!$C$2))</f>
        <v>acumulado marzo 2022</v>
      </c>
      <c r="J2" s="6"/>
      <c r="K2" s="6"/>
      <c r="L2" s="6"/>
      <c r="M2" s="6"/>
    </row>
    <row r="3" spans="3:13" ht="16.5" customHeight="1" thickBot="1" x14ac:dyDescent="0.25">
      <c r="C3" s="7"/>
      <c r="D3" s="7"/>
      <c r="E3" s="7"/>
      <c r="F3" s="7"/>
      <c r="G3" s="7"/>
      <c r="H3" s="8"/>
      <c r="I3" s="9"/>
      <c r="J3" s="9"/>
      <c r="K3" s="9"/>
      <c r="L3" s="9"/>
      <c r="M3" s="9"/>
    </row>
    <row r="4" spans="3:13" ht="5.25" customHeight="1" x14ac:dyDescent="0.2">
      <c r="C4" s="10"/>
      <c r="E4" s="11"/>
      <c r="F4" s="11"/>
      <c r="G4" s="11"/>
      <c r="H4" s="12"/>
      <c r="I4" s="13"/>
      <c r="J4" s="11"/>
      <c r="K4" s="14"/>
      <c r="L4" s="15"/>
      <c r="M4" s="16"/>
    </row>
    <row r="5" spans="3:13" ht="81.75" customHeight="1" x14ac:dyDescent="0.2">
      <c r="C5" s="17" t="s">
        <v>0</v>
      </c>
      <c r="D5" s="18"/>
      <c r="E5" s="19" t="s">
        <v>1</v>
      </c>
      <c r="F5" s="19" t="s">
        <v>2</v>
      </c>
      <c r="G5" s="20" t="s">
        <v>3</v>
      </c>
      <c r="H5" s="21"/>
      <c r="I5" s="22" t="s">
        <v>0</v>
      </c>
      <c r="J5" s="19" t="s">
        <v>1</v>
      </c>
      <c r="K5" s="19" t="s">
        <v>4</v>
      </c>
      <c r="L5" s="20" t="s">
        <v>3</v>
      </c>
      <c r="M5" s="20" t="s">
        <v>5</v>
      </c>
    </row>
    <row r="6" spans="3:13" ht="5.25" customHeight="1" thickBot="1" x14ac:dyDescent="0.25"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3:13" ht="18.75" customHeight="1" thickBot="1" x14ac:dyDescent="0.25">
      <c r="C7" s="24" t="s">
        <v>6</v>
      </c>
      <c r="D7" s="25"/>
      <c r="E7" s="25"/>
      <c r="F7" s="25"/>
      <c r="G7" s="25"/>
      <c r="H7" s="25"/>
      <c r="I7" s="25"/>
      <c r="J7" s="25"/>
      <c r="K7" s="25"/>
      <c r="L7" s="25"/>
      <c r="M7" s="26"/>
    </row>
    <row r="8" spans="3:13" ht="5.25" customHeight="1" thickBot="1" x14ac:dyDescent="0.25">
      <c r="C8" s="27"/>
      <c r="D8" s="27"/>
      <c r="E8" s="27"/>
      <c r="F8" s="27"/>
      <c r="G8" s="27"/>
      <c r="H8" s="27"/>
      <c r="I8" s="27"/>
      <c r="J8" s="27"/>
      <c r="K8" s="27"/>
      <c r="L8" s="27"/>
      <c r="M8" s="28"/>
    </row>
    <row r="9" spans="3:13" ht="24.75" customHeight="1" x14ac:dyDescent="0.2">
      <c r="C9" s="29" t="s">
        <v>7</v>
      </c>
      <c r="D9" s="30"/>
      <c r="E9" s="31" t="s">
        <v>8</v>
      </c>
      <c r="F9" s="32">
        <f>GETPIVOTDATA("Suma de turistas",'[1]TTDD DATOS'!$B$6,"País","Total","categoría","Total","tipología","Total","zona","tenerife","municipio","total municipios","Años",[1]ACTUALIZACIÓN!$C$2)</f>
        <v>354116</v>
      </c>
      <c r="G9" s="33">
        <f>IFERROR(GETPIVOTDATA("Suma de turistas",'[1]TTDD DATOS'!$B$6,"País","Total","categoría","Total","tipología","Total","zona","tenerife","municipio","total municipios","Años",[1]ACTUALIZACIÓN!$C$2)/GETPIVOTDATA("Suma de turistas",'[1]TTDD DATOS'!$B$6,"País","Total","categoría","Total","tipología","Total","zona","tenerife","municipio","total municipios","Años",[1]ACTUALIZACIÓN!$C$2-1)-1,"-")</f>
        <v>3.4926605853769939</v>
      </c>
      <c r="H9" s="34"/>
      <c r="I9" s="35" t="s">
        <v>7</v>
      </c>
      <c r="J9" s="36" t="s">
        <v>8</v>
      </c>
      <c r="K9" s="37">
        <f>GETPIVOTDATA("Suma de turistas",'[1]TTDD DATOS'!$B$49,"País","Total","categoría","Total","tipología","Total","zona","tenerife","municipio","total municipios","Años",IF([1]ACTUALIZACIÓN!$C$1="enero",[1]ACTUALIZACIÓN!$C$2-1,[1]ACTUALIZACIÓN!$C$2))</f>
        <v>930647</v>
      </c>
      <c r="L9" s="38">
        <f>GETPIVOTDATA("Suma de turistas",'[1]TTDD DATOS'!$B$49,"País","Total","categoría","Total","tipología","Total","zona","tenerife","municipio","total municipios","Años",IF([1]ACTUALIZACIÓN!$C$1="enero",[1]ACTUALIZACIÓN!$C$2-1,[1]ACTUALIZACIÓN!$C$2))/GETPIVOTDATA("Suma de turistas",'[1]TTDD DATOS'!$B$49,"País","Total","categoría","Total","tipología","Total","zona","tenerife","municipio","total municipios","Años",IF([1]ACTUALIZACIÓN!$C$1="enero",[1]ACTUALIZACIÓN!$C$2-2,[1]ACTUALIZACIÓN!$C$2-1))-1</f>
        <v>3.7974709645491709</v>
      </c>
      <c r="M9" s="39" t="s">
        <v>9</v>
      </c>
    </row>
    <row r="10" spans="3:13" ht="24.75" customHeight="1" x14ac:dyDescent="0.2">
      <c r="C10" s="29"/>
      <c r="D10" s="30"/>
      <c r="E10" s="40" t="s">
        <v>10</v>
      </c>
      <c r="F10" s="41">
        <f>GETPIVOTDATA("Suma de turistas",'[1]TTDD DATOS'!$B$6,"País","Total","categoría","Total","tipología","hotelera","zona","tenerife","municipio","total municipios","Años",[1]ACTUALIZACIÓN!$C$2)</f>
        <v>278321</v>
      </c>
      <c r="G10" s="42">
        <f>IFERROR(GETPIVOTDATA("Suma de turistas",'[1]TTDD DATOS'!$B$6,"País","Total","categoría","Total","tipología","hotelera","zona","tenerife","municipio","total municipios","Años",[1]ACTUALIZACIÓN!$C$2)/GETPIVOTDATA("Suma de turistas",'[1]TTDD DATOS'!$B$6,"País","Total","categoría","Total","tipología","hotelera","zona","tenerife","municipio","total municipios","Años",[1]ACTUALIZACIÓN!$C$2-1)-1,"-")</f>
        <v>3.6956573086786344</v>
      </c>
      <c r="H10" s="43"/>
      <c r="I10" s="44"/>
      <c r="J10" s="40" t="s">
        <v>10</v>
      </c>
      <c r="K10" s="41">
        <f>GETPIVOTDATA("Suma de turistas",'[1]TTDD DATOS'!$B$49,"País","Total","categoría","Total","tipología","hotelera","zona","tenerife","municipio","total municipios","Años",IF([1]ACTUALIZACIÓN!$C$1="enero",[1]ACTUALIZACIÓN!$C$2-1,[1]ACTUALIZACIÓN!$C$2))</f>
        <v>729271</v>
      </c>
      <c r="L10" s="45">
        <f>GETPIVOTDATA("Suma de turistas",'[1]TTDD DATOS'!$B$49,"País","Total","categoría","Total","tipología","hotelera","zona","tenerife","municipio","total municipios","Años",IF([1]ACTUALIZACIÓN!$C$1="enero",[1]ACTUALIZACIÓN!$C$2-1,[1]ACTUALIZACIÓN!$C$2))/GETPIVOTDATA("Suma de turistas",'[1]TTDD DATOS'!$B$49,"País","Total","categoría","Total","tipología","hotelera","zona","tenerife","municipio","total municipios","Años",IF([1]ACTUALIZACIÓN!$C$1="enero",[1]ACTUALIZACIÓN!$C$2-2,[1]ACTUALIZACIÓN!$C$2-1))-1</f>
        <v>3.9968207637018915</v>
      </c>
      <c r="M10" s="39"/>
    </row>
    <row r="11" spans="3:13" ht="24.75" customHeight="1" thickBot="1" x14ac:dyDescent="0.25">
      <c r="C11" s="46"/>
      <c r="D11" s="47"/>
      <c r="E11" s="48" t="s">
        <v>11</v>
      </c>
      <c r="F11" s="32">
        <f>GETPIVOTDATA("Suma de turistas",'[1]TTDD DATOS'!$B$6,"País","Total","categoría","Total","tipología","extrahotelera","zona","tenerife","municipio","total municipios","Años",[1]ACTUALIZACIÓN!$C$2)</f>
        <v>75795</v>
      </c>
      <c r="G11" s="33">
        <f>IFERROR(GETPIVOTDATA("Suma de turistas",'[1]TTDD DATOS'!$B$6,"País","Total","categoría","Total","tipología","extrahotelera","zona","tenerife","municipio","total municipios","Años",[1]ACTUALIZACIÓN!$C$2)/GETPIVOTDATA("Suma de turistas",'[1]TTDD DATOS'!$B$6,"País","Total","categoría","Total","tipología","extrahotelera","zona","tenerife","municipio","total municipios","Años",[1]ACTUALIZACIÓN!$C$2-1)-1,"-")</f>
        <v>2.8771804184357257</v>
      </c>
      <c r="H11" s="43"/>
      <c r="I11" s="49"/>
      <c r="J11" s="50" t="s">
        <v>11</v>
      </c>
      <c r="K11" s="51">
        <f>GETPIVOTDATA("Suma de turistas",'[1]TTDD DATOS'!$B$49,"País","Total","categoría","Total","tipología","extrahotelera","zona","tenerife","municipio","total municipios","Años",IF([1]ACTUALIZACIÓN!$C$1="enero",[1]ACTUALIZACIÓN!$C$2-1,[1]ACTUALIZACIÓN!$C$2))</f>
        <v>201376</v>
      </c>
      <c r="L11" s="52">
        <f>GETPIVOTDATA("Suma de turistas",'[1]TTDD DATOS'!$B$49,"País","Total","categoría","Total","tipología","extrahotelera","zona","tenerife","municipio","total municipios","Años",IF([1]ACTUALIZACIÓN!$C$1="enero",[1]ACTUALIZACIÓN!$C$2-1,[1]ACTUALIZACIÓN!$C$2))/GETPIVOTDATA("Suma de turistas",'[1]TTDD DATOS'!$B$49,"País","Total","categoría","Total","tipología","extrahotelera","zona","tenerife","municipio","total municipios","Años",IF([1]ACTUALIZACIÓN!$C$1="enero",[1]ACTUALIZACIÓN!$C$2-2,[1]ACTUALIZACIÓN!$C$2-1))-1</f>
        <v>3.191840133222315</v>
      </c>
      <c r="M11" s="39"/>
    </row>
    <row r="12" spans="3:13" ht="24.75" hidden="1" customHeight="1" x14ac:dyDescent="0.2">
      <c r="C12" s="53" t="s">
        <v>12</v>
      </c>
      <c r="D12" s="54"/>
      <c r="E12" s="55" t="s">
        <v>8</v>
      </c>
      <c r="F12" s="56">
        <f>GETPIVOTDATA("Suma de turistas",'[1]TTDD DATOS'!$B$6,"País","Total","categoría","Total","tipología","Total","zona","santa cruz","municipio","total municipios","Años",[1]ACTUALIZACIÓN!$C$2)</f>
        <v>19141</v>
      </c>
      <c r="G12" s="57">
        <f>GETPIVOTDATA("Suma de turistas",'[1]TTDD DATOS'!$B$6,"País","Total","categoría","Total","tipología","Total","zona","santa cruz","municipio","total municipios","Años",[1]ACTUALIZACIÓN!$C$2)/GETPIVOTDATA("Suma de turistas",'[1]TTDD DATOS'!$B$6,"País","Total","categoría","Total","tipología","Total","zona","santa cruz","municipio","total municipios","Años",[1]ACTUALIZACIÓN!$C$2-1)-1</f>
        <v>0.71284116331096192</v>
      </c>
      <c r="H12" s="58"/>
      <c r="I12" s="59" t="s">
        <v>12</v>
      </c>
      <c r="J12" s="55" t="s">
        <v>8</v>
      </c>
      <c r="K12" s="56">
        <f>GETPIVOTDATA("Suma de turistas",'[1]TTDD DATOS'!$B$49,"País","Total","categoría","Total","tipología","Total","zona","santa cruz","municipio","total municipios","Años",IF([1]ACTUALIZACIÓN!$C$1="enero",[1]ACTUALIZACIÓN!$C$2-1,[1]ACTUALIZACIÓN!$C$2))</f>
        <v>49787</v>
      </c>
      <c r="L12" s="38">
        <f>GETPIVOTDATA("Suma de turistas",'[1]TTDD DATOS'!$B$49,"País","Total","categoría","Total","tipología","Total","zona","santa cruz","municipio","total municipios","Años",IF([1]ACTUALIZACIÓN!$C$1="enero",[1]ACTUALIZACIÓN!$C$2-1,[1]ACTUALIZACIÓN!$C$2))/GETPIVOTDATA("Suma de turistas",'[1]TTDD DATOS'!$B$49,"País","Total","categoría","Total","tipología","Total","zona","santa cruz","municipio","total municipios","Años",IF([1]ACTUALIZACIÓN!$C$1="enero",[1]ACTUALIZACIÓN!$C$2-2,[1]ACTUALIZACIÓN!$C$2-1))-1</f>
        <v>0.89671987504285888</v>
      </c>
      <c r="M12" s="39"/>
    </row>
    <row r="13" spans="3:13" ht="46.5" customHeight="1" thickBot="1" x14ac:dyDescent="0.25">
      <c r="C13" s="60"/>
      <c r="D13" s="61"/>
      <c r="E13" s="62" t="s">
        <v>10</v>
      </c>
      <c r="F13" s="63">
        <f>GETPIVOTDATA("Suma de turistas",'[1]TTDD DATOS'!$B$6,"País","Total","categoría","Total","tipología","hotelera","zona","santa cruz","municipio","total municipios","Años",[1]ACTUALIZACIÓN!$C$2)</f>
        <v>19141</v>
      </c>
      <c r="G13" s="42">
        <f>IFERROR(GETPIVOTDATA("Suma de turistas",'[1]TTDD DATOS'!$B$6,"País","Total","categoría","Total","tipología","hotelera","zona","santa cruz","municipio","total municipios","Años",[1]ACTUALIZACIÓN!$C$2)/GETPIVOTDATA("Suma de turistas",'[1]TTDD DATOS'!$B$6,"País","Total","categoría","Total","tipología","hotelera","zona","santa cruz","municipio","total municipios","Años",[1]ACTUALIZACIÓN!$C$2-1)-1,"-")</f>
        <v>0.71284116331096192</v>
      </c>
      <c r="H13" s="58"/>
      <c r="I13" s="64"/>
      <c r="J13" s="62" t="s">
        <v>10</v>
      </c>
      <c r="K13" s="63">
        <f>GETPIVOTDATA("Suma de turistas",'[1]TTDD DATOS'!$B$49,"País","Total","categoría","Total","tipología","hotelera","zona","santa cruz","municipio","total municipios","Años",IF([1]ACTUALIZACIÓN!$C$1="enero",[1]ACTUALIZACIÓN!$C$2-1,[1]ACTUALIZACIÓN!$C$2))</f>
        <v>49787</v>
      </c>
      <c r="L13" s="45">
        <f>GETPIVOTDATA("Suma de turistas",'[1]TTDD DATOS'!$B$49,"País","Total","categoría","Total","tipología","hotelera","zona","santa cruz","municipio","total municipios","Años",IF([1]ACTUALIZACIÓN!$C$1="enero",[1]ACTUALIZACIÓN!$C$2-1,[1]ACTUALIZACIÓN!$C$2))/GETPIVOTDATA("Suma de turistas",'[1]TTDD DATOS'!$B$49,"País","Total","categoría","Total","tipología","hotelera","zona","santa cruz","municipio","total municipios","Años",IF([1]ACTUALIZACIÓN!$C$1="enero",[1]ACTUALIZACIÓN!$C$2-2,[1]ACTUALIZACIÓN!$C$2-1))-1</f>
        <v>0.89671987504285888</v>
      </c>
      <c r="M13" s="39"/>
    </row>
    <row r="14" spans="3:13" ht="24.75" hidden="1" customHeight="1" x14ac:dyDescent="0.2">
      <c r="C14" s="65"/>
      <c r="D14" s="66"/>
      <c r="E14" s="67" t="s">
        <v>11</v>
      </c>
      <c r="F14" s="68">
        <f>GETPIVOTDATA("Suma de turistas",'[1]TTDD DATOS'!$B$6,"País","Total","categoría","Total","tipología","extrahotelera","zona","santa cruz","municipio","total municipios","Años",[1]ACTUALIZACIÓN!$C$2)</f>
        <v>0</v>
      </c>
      <c r="G14" s="69" t="str">
        <f>IFERROR(GETPIVOTDATA("Suma de turistas",'[1]TTDD DATOS'!$B$6,"País","Total","categoría","Total","tipología","extrahotelera","zona","santa cruz","municipio","total municipios","Años",[1]ACTUALIZACIÓN!$C$2)/GETPIVOTDATA("Suma de turistas",'[1]TTDD DATOS'!$B$6,"País","Total","categoría","Total","tipología","extrahotelera","zona","santa cruz","municipio","total municipios","Años",[1]ACTUALIZACIÓN!$C$2-1)-1,"-")</f>
        <v>-</v>
      </c>
      <c r="H14" s="58"/>
      <c r="I14" s="70"/>
      <c r="J14" s="67" t="s">
        <v>11</v>
      </c>
      <c r="K14" s="68">
        <f>GETPIVOTDATA("Suma de turistas",'[1]TTDD DATOS'!$B$49,"País","Total","categoría","Total","tipología","extrahotelera","zona","santa cruz","municipio","total municipios","Años",IF([1]ACTUALIZACIÓN!$C$1="enero",[1]ACTUALIZACIÓN!$C$2-1,[1]ACTUALIZACIÓN!$C$2))</f>
        <v>0</v>
      </c>
      <c r="L14" s="52" t="str">
        <f>IFERROR(GETPIVOTDATA("Suma de turistas",'[1]TTDD DATOS'!$B$49,"País","Total","categoría","Total","tipología","extrahotelera","zona","santa cruz","municipio","total municipios","Años",IF([1]ACTUALIZACIÓN!$C$1="enero",[1]ACTUALIZACIÓN!$C$2-1,[1]ACTUALIZACIÓN!$C$2))/GETPIVOTDATA("Suma de turistas",'[1]TTDD DATOS'!$B$49,"País","Total","categoría","Total","tipología","extrahotelera","zona","santa cruz","municipio","total municipios","Años",IF([1]ACTUALIZACIÓN!$C$1="enero",[1]ACTUALIZACIÓN!$C$2-2,[1]ACTUALIZACIÓN!$C$2-1))-1,"-")</f>
        <v>-</v>
      </c>
      <c r="M14" s="39"/>
    </row>
    <row r="15" spans="3:13" ht="24.75" customHeight="1" x14ac:dyDescent="0.2">
      <c r="C15" s="71" t="s">
        <v>13</v>
      </c>
      <c r="D15" s="72"/>
      <c r="E15" s="73" t="s">
        <v>8</v>
      </c>
      <c r="F15" s="74">
        <f>GETPIVOTDATA("Suma de turistas",'[1]TTDD DATOS'!$B$6,"País","Total","categoría","Total","tipología","Total","zona","la laguna-bajamar-la punta","municipio","total municipios","Años",[1]ACTUALIZACIÓN!$C$2)</f>
        <v>4965</v>
      </c>
      <c r="G15" s="57">
        <f>IFERROR(GETPIVOTDATA("Suma de turistas",'[1]TTDD DATOS'!$B$6,"País","Total","categoría","Total","tipología","Total","zona","la laguna-bajamar-la punta","municipio","total municipios","Años",[1]ACTUALIZACIÓN!$C$2)/GETPIVOTDATA("Suma de turistas",'[1]TTDD DATOS'!$B$6,"País","Total","categoría","Total","tipología","Total","zona","la laguna-bajamar-la punta","municipio","total municipios","Años",[1]ACTUALIZACIÓN!$C$2-1)-1,"-")</f>
        <v>1.3642857142857143</v>
      </c>
      <c r="H15" s="58"/>
      <c r="I15" s="75" t="s">
        <v>13</v>
      </c>
      <c r="J15" s="73" t="s">
        <v>8</v>
      </c>
      <c r="K15" s="74">
        <f>GETPIVOTDATA("Suma de turistas",'[1]TTDD DATOS'!$B$49,"País","Total","categoría","Total","tipología","Total","zona","la laguna-bajamar-la punta","municipio","total municipios","Años",IF([1]ACTUALIZACIÓN!$C$1="enero",[1]ACTUALIZACIÓN!$C$2-1,[1]ACTUALIZACIÓN!$C$2))</f>
        <v>13337</v>
      </c>
      <c r="L15" s="38">
        <f>GETPIVOTDATA("Suma de turistas",'[1]TTDD DATOS'!$B$49,"País","Total","categoría","Total","tipología","Total","zona","la laguna-bajamar-la punta","municipio","total municipios","Años",IF([1]ACTUALIZACIÓN!$C$1="enero",[1]ACTUALIZACIÓN!$C$2-1,[1]ACTUALIZACIÓN!$C$2))/GETPIVOTDATA("Suma de turistas",'[1]TTDD DATOS'!$B$49,"País","Total","categoría","Total","tipología","Total","zona","la laguna-bajamar-la punta","municipio","total municipios","Años",IF([1]ACTUALIZACIÓN!$C$1="enero",[1]ACTUALIZACIÓN!$C$2-2,[1]ACTUALIZACIÓN!$C$2-1))-1</f>
        <v>1.6567729083665337</v>
      </c>
      <c r="M15" s="39"/>
    </row>
    <row r="16" spans="3:13" ht="24.75" customHeight="1" x14ac:dyDescent="0.2">
      <c r="C16" s="76"/>
      <c r="D16" s="77"/>
      <c r="E16" s="78" t="s">
        <v>10</v>
      </c>
      <c r="F16" s="79">
        <f>GETPIVOTDATA("Suma de turistas",'[1]TTDD DATOS'!$B$6,"País","Total","categoría","Total","tipología","hotelera","zona","la laguna-bajamar-la punta","municipio","total municipios","Años",[1]ACTUALIZACIÓN!$C$2)</f>
        <v>4522</v>
      </c>
      <c r="G16" s="42">
        <f>IFERROR(GETPIVOTDATA("Suma de turistas",'[1]TTDD DATOS'!$B$6,"País","Total","categoría","Total","tipología","hotelera","zona","la laguna-bajamar-la punta","municipio","total municipios","Años",[1]ACTUALIZACIÓN!$C$2)/GETPIVOTDATA("Suma de turistas",'[1]TTDD DATOS'!$B$6,"País","Total","categoría","Total","tipología","hotelera","zona","la laguna-bajamar-la punta","municipio","total municipios","Años",[1]ACTUALIZACIÓN!$C$2-1)-1,"-")</f>
        <v>1.2134116495349976</v>
      </c>
      <c r="H16" s="58"/>
      <c r="I16" s="80"/>
      <c r="J16" s="78" t="s">
        <v>10</v>
      </c>
      <c r="K16" s="79">
        <f>GETPIVOTDATA("Suma de turistas",'[1]TTDD DATOS'!$B$49,"País","Total","categoría","Total","tipología","hotelera","zona","la laguna-bajamar-la punta","municipio","total municipios","Años",IF([1]ACTUALIZACIÓN!$C$1="enero",[1]ACTUALIZACIÓN!$C$2-1,[1]ACTUALIZACIÓN!$C$2))</f>
        <v>12001</v>
      </c>
      <c r="L16" s="45">
        <f>GETPIVOTDATA("Suma de turistas",'[1]TTDD DATOS'!$B$49,"País","Total","categoría","Total","tipología","hotelera","zona","la laguna-bajamar-la punta","municipio","total municipios","Años",IF([1]ACTUALIZACIÓN!$C$1="enero",[1]ACTUALIZACIÓN!$C$2-1,[1]ACTUALIZACIÓN!$C$2))/GETPIVOTDATA("Suma de turistas",'[1]TTDD DATOS'!$B$49,"País","Total","categoría","Total","tipología","hotelera","zona","la laguna-bajamar-la punta","municipio","total municipios","Años",IF([1]ACTUALIZACIÓN!$C$1="enero",[1]ACTUALIZACIÓN!$C$2-2,[1]ACTUALIZACIÓN!$C$2-1))-1</f>
        <v>1.4577104239197216</v>
      </c>
      <c r="M16" s="39"/>
    </row>
    <row r="17" spans="3:13" ht="24.75" customHeight="1" thickBot="1" x14ac:dyDescent="0.25">
      <c r="C17" s="81"/>
      <c r="D17" s="82"/>
      <c r="E17" s="83" t="s">
        <v>11</v>
      </c>
      <c r="F17" s="84">
        <f>GETPIVOTDATA("Suma de turistas",'[1]TTDD DATOS'!$B$6,"País","Total","categoría","Total","tipología","extrahotelera","zona","la laguna-bajamar-la punta","municipio","total municipios","Años",[1]ACTUALIZACIÓN!$C$2)</f>
        <v>443</v>
      </c>
      <c r="G17" s="69">
        <f>IFERROR(GETPIVOTDATA("Suma de turistas",'[1]TTDD DATOS'!$B$6,"País","Total","categoría","Total","tipología","extrahotelera","zona","la laguna-bajamar-la punta","municipio","total municipios","Años",[1]ACTUALIZACIÓN!$C$2)/GETPIVOTDATA("Suma de turistas",'[1]TTDD DATOS'!$B$6,"País","Total","categoría","Total","tipología","extrahotelera","zona","la laguna-bajamar-la punta","municipio","total municipios","Años",[1]ACTUALIZACIÓN!$C$2-1)-1,"-")</f>
        <v>6.7719298245614032</v>
      </c>
      <c r="H17" s="58"/>
      <c r="I17" s="85"/>
      <c r="J17" s="83" t="s">
        <v>11</v>
      </c>
      <c r="K17" s="84">
        <f>GETPIVOTDATA("Suma de turistas",'[1]TTDD DATOS'!$B$49,"País","Total","categoría","Total","tipología","extrahotelera","zona","la laguna-bajamar-la punta","municipio","total municipios","Años",IF([1]ACTUALIZACIÓN!$C$1="enero",[1]ACTUALIZACIÓN!$C$2-1,[1]ACTUALIZACIÓN!$C$2))</f>
        <v>1336</v>
      </c>
      <c r="L17" s="52">
        <f>GETPIVOTDATA("Suma de turistas",'[1]TTDD DATOS'!$B$49,"País","Total","categoría","Total","tipología","extrahotelera","zona","la laguna-bajamar-la punta","municipio","total municipios","Años",IF([1]ACTUALIZACIÓN!$C$1="enero",[1]ACTUALIZACIÓN!$C$2-1,[1]ACTUALIZACIÓN!$C$2))/GETPIVOTDATA("Suma de turistas",'[1]TTDD DATOS'!$B$49,"País","Total","categoría","Total","tipología","extrahotelera","zona","la laguna-bajamar-la punta","municipio","total municipios","Años",IF([1]ACTUALIZACIÓN!$C$1="enero",[1]ACTUALIZACIÓN!$C$2-2,[1]ACTUALIZACIÓN!$C$2-1))-1</f>
        <v>8.7518248175182478</v>
      </c>
      <c r="M17" s="39"/>
    </row>
    <row r="18" spans="3:13" ht="24.75" customHeight="1" x14ac:dyDescent="0.2">
      <c r="C18" s="53" t="s">
        <v>14</v>
      </c>
      <c r="D18" s="54"/>
      <c r="E18" s="55" t="s">
        <v>8</v>
      </c>
      <c r="F18" s="56">
        <f>GETPIVOTDATA("Suma de turistas",'[1]TTDD DATOS'!$B$6,"País","Total","categoría","Total","tipología","Total","zona","norte","municipio","total municipios","Años",[1]ACTUALIZACIÓN!$C$2)</f>
        <v>56554</v>
      </c>
      <c r="G18" s="57">
        <f>IFERROR(GETPIVOTDATA("Suma de turistas",'[1]TTDD DATOS'!$B$6,"País","Total","categoría","Total","tipología","Total","zona","norte","municipio","total municipios","Años",[1]ACTUALIZACIÓN!$C$2)/GETPIVOTDATA("Suma de turistas",'[1]TTDD DATOS'!$B$6,"País","Total","categoría","Total","tipología","Total","zona","norte","municipio","total municipios","Años",[1]ACTUALIZACIÓN!$C$2-1)-1,"-")</f>
        <v>3.4485172657909224</v>
      </c>
      <c r="H18" s="58"/>
      <c r="I18" s="59" t="s">
        <v>14</v>
      </c>
      <c r="J18" s="55" t="s">
        <v>8</v>
      </c>
      <c r="K18" s="56">
        <f>GETPIVOTDATA("Suma de turistas",'[1]TTDD DATOS'!$B$49,"País","Total","categoría","Total","tipología","Total","zona","norte","municipio","total municipios","Años",IF([1]ACTUALIZACIÓN!$C$1="enero",[1]ACTUALIZACIÓN!$C$2-1,[1]ACTUALIZACIÓN!$C$2))</f>
        <v>144978</v>
      </c>
      <c r="L18" s="38">
        <f>GETPIVOTDATA("Suma de turistas",'[1]TTDD DATOS'!$B$49,"País","Total","categoría","Total","tipología","Total","zona","norte","municipio","total municipios","Años",IF([1]ACTUALIZACIÓN!$C$1="enero",[1]ACTUALIZACIÓN!$C$2-1,[1]ACTUALIZACIÓN!$C$2))/GETPIVOTDATA("Suma de turistas",'[1]TTDD DATOS'!$B$49,"País","Total","categoría","Total","tipología","Total","zona","norte","municipio","total municipios","Años",IF([1]ACTUALIZACIÓN!$C$1="enero",[1]ACTUALIZACIÓN!$C$2-2,[1]ACTUALIZACIÓN!$C$2-1))-1</f>
        <v>3.4914030794014685</v>
      </c>
      <c r="M18" s="39"/>
    </row>
    <row r="19" spans="3:13" ht="24.75" customHeight="1" x14ac:dyDescent="0.2">
      <c r="C19" s="60"/>
      <c r="D19" s="61"/>
      <c r="E19" s="62" t="s">
        <v>10</v>
      </c>
      <c r="F19" s="63">
        <f>GETPIVOTDATA("Suma de turistas",'[1]TTDD DATOS'!$B$6,"País","Total","categoría","Total","tipología","hotelera","zona","norte","municipio","total municipios","Años",[1]ACTUALIZACIÓN!$C$2)</f>
        <v>46539</v>
      </c>
      <c r="G19" s="42">
        <f>IFERROR(GETPIVOTDATA("Suma de turistas",'[1]TTDD DATOS'!$B$6,"País","Total","categoría","Total","tipología","hotelera","zona","norte","municipio","total municipios","Años",[1]ACTUALIZACIÓN!$C$2)/GETPIVOTDATA("Suma de turistas",'[1]TTDD DATOS'!$B$6,"País","Total","categoría","Total","tipología","hotelera","zona","norte","municipio","total municipios","Años",[1]ACTUALIZACIÓN!$C$2-1)-1,"-")</f>
        <v>5.3301142546245917</v>
      </c>
      <c r="H19" s="58"/>
      <c r="I19" s="64"/>
      <c r="J19" s="62" t="s">
        <v>10</v>
      </c>
      <c r="K19" s="63">
        <f>GETPIVOTDATA("Suma de turistas",'[1]TTDD DATOS'!$B$49,"País","Total","categoría","Total","tipología","hotelera","zona","norte","municipio","total municipios","Años",IF([1]ACTUALIZACIÓN!$C$1="enero",[1]ACTUALIZACIÓN!$C$2-1,[1]ACTUALIZACIÓN!$C$2))</f>
        <v>117471</v>
      </c>
      <c r="L19" s="45">
        <f>GETPIVOTDATA("Suma de turistas",'[1]TTDD DATOS'!$B$49,"País","Total","categoría","Total","tipología","hotelera","zona","norte","municipio","total municipios","Años",IF([1]ACTUALIZACIÓN!$C$1="enero",[1]ACTUALIZACIÓN!$C$2-1,[1]ACTUALIZACIÓN!$C$2))/GETPIVOTDATA("Suma de turistas",'[1]TTDD DATOS'!$B$49,"País","Total","categoría","Total","tipología","hotelera","zona","norte","municipio","total municipios","Años",IF([1]ACTUALIZACIÓN!$C$1="enero",[1]ACTUALIZACIÓN!$C$2-2,[1]ACTUALIZACIÓN!$C$2-1))-1</f>
        <v>5.0573918424173669</v>
      </c>
      <c r="M19" s="39"/>
    </row>
    <row r="20" spans="3:13" ht="24.75" customHeight="1" thickBot="1" x14ac:dyDescent="0.25">
      <c r="C20" s="65"/>
      <c r="D20" s="66"/>
      <c r="E20" s="67" t="s">
        <v>11</v>
      </c>
      <c r="F20" s="68">
        <f>GETPIVOTDATA("Suma de turistas",'[1]TTDD DATOS'!$B$6,"País","Total","categoría","Total","tipología","extrahotelera","zona","norte","municipio","total municipios","Años",[1]ACTUALIZACIÓN!$C$2)</f>
        <v>10015</v>
      </c>
      <c r="G20" s="69">
        <f>IFERROR(GETPIVOTDATA("Suma de turistas",'[1]TTDD DATOS'!$B$6,"País","Total","categoría","Total","tipología","extrahotelera","zona","norte","municipio","total municipios","Años",[1]ACTUALIZACIÓN!$C$2)/GETPIVOTDATA("Suma de turistas",'[1]TTDD DATOS'!$B$6,"País","Total","categoría","Total","tipología","extrahotelera","zona","norte","municipio","total municipios","Años",[1]ACTUALIZACIÓN!$C$2-1)-1,"-")</f>
        <v>0.86812161910091401</v>
      </c>
      <c r="H20" s="58"/>
      <c r="I20" s="70"/>
      <c r="J20" s="67" t="s">
        <v>11</v>
      </c>
      <c r="K20" s="68">
        <f>GETPIVOTDATA("Suma de turistas",'[1]TTDD DATOS'!$B$49,"País","Total","categoría","Total","tipología","extrahotelera","zona","norte","municipio","total municipios","Años",IF([1]ACTUALIZACIÓN!$C$1="enero",[1]ACTUALIZACIÓN!$C$2-1,[1]ACTUALIZACIÓN!$C$2))</f>
        <v>27507</v>
      </c>
      <c r="L20" s="52">
        <f>GETPIVOTDATA("Suma de turistas",'[1]TTDD DATOS'!$B$49,"País","Total","categoría","Total","tipología","extrahotelera","zona","norte","municipio","total municipios","Años",IF([1]ACTUALIZACIÓN!$C$1="enero",[1]ACTUALIZACIÓN!$C$2-1,[1]ACTUALIZACIÓN!$C$2))/GETPIVOTDATA("Suma de turistas",'[1]TTDD DATOS'!$B$49,"País","Total","categoría","Total","tipología","extrahotelera","zona","norte","municipio","total municipios","Años",IF([1]ACTUALIZACIÓN!$C$1="enero",[1]ACTUALIZACIÓN!$C$2-2,[1]ACTUALIZACIÓN!$C$2-1))-1</f>
        <v>1.1346422474002793</v>
      </c>
      <c r="M20" s="39"/>
    </row>
    <row r="21" spans="3:13" ht="24.75" customHeight="1" x14ac:dyDescent="0.2">
      <c r="C21" s="86" t="s">
        <v>15</v>
      </c>
      <c r="D21" s="87"/>
      <c r="E21" s="88" t="s">
        <v>8</v>
      </c>
      <c r="F21" s="89">
        <f>GETPIVOTDATA("Suma de turistas",'[1]TTDD DATOS'!$B$6,"País","Total","categoría","Total","tipología","Total","zona","sur","municipio","total municipios","Años",[1]ACTUALIZACIÓN!$C$2)</f>
        <v>273456</v>
      </c>
      <c r="G21" s="57">
        <f>IFERROR(GETPIVOTDATA("Suma de turistas",'[1]TTDD DATOS'!$B$6,"País","Total","categoría","Total","tipología","Total","zona","sur","municipio","total municipios","Años",[1]ACTUALIZACIÓN!$C$2)/GETPIVOTDATA("Suma de turistas",'[1]TTDD DATOS'!$B$6,"País","Total","categoría","Total","tipología","Total","zona","sur","municipio","total municipios","Años",[1]ACTUALIZACIÓN!$C$2-1)-1,"-")</f>
        <v>4.1758559990914765</v>
      </c>
      <c r="H21" s="58"/>
      <c r="I21" s="90" t="s">
        <v>15</v>
      </c>
      <c r="J21" s="88" t="s">
        <v>8</v>
      </c>
      <c r="K21" s="89">
        <f>GETPIVOTDATA("Suma de turistas",'[1]TTDD DATOS'!$B$49,"País","Total","categoría","Total","tipología","Total","zona","sur","municipio","total municipios","Años",IF([1]ACTUALIZACIÓN!$C$1="enero",[1]ACTUALIZACIÓN!$C$2-1,[1]ACTUALIZACIÓN!$C$2))</f>
        <v>722545</v>
      </c>
      <c r="L21" s="38">
        <f>GETPIVOTDATA("Suma de turistas",'[1]TTDD DATOS'!$B$49,"País","Total","categoría","Total","tipología","Total","zona","sur","municipio","total municipios","Años",IF([1]ACTUALIZACIÓN!$C$1="enero",[1]ACTUALIZACIÓN!$C$2-1,[1]ACTUALIZACIÓN!$C$2))/GETPIVOTDATA("Suma de turistas",'[1]TTDD DATOS'!$B$49,"País","Total","categoría","Total","tipología","Total","zona","sur","municipio","total municipios","Años",IF([1]ACTUALIZACIÓN!$C$1="enero",[1]ACTUALIZACIÓN!$C$2-2,[1]ACTUALIZACIÓN!$C$2-1))-1</f>
        <v>4.5393325615805091</v>
      </c>
      <c r="M21" s="39"/>
    </row>
    <row r="22" spans="3:13" ht="24.75" customHeight="1" x14ac:dyDescent="0.2">
      <c r="C22" s="91"/>
      <c r="D22" s="92"/>
      <c r="E22" s="93" t="s">
        <v>10</v>
      </c>
      <c r="F22" s="94">
        <f>GETPIVOTDATA("Suma de turistas",'[1]TTDD DATOS'!$B$6,"País","Total","categoría","Total","tipología","hotelera","zona","sur","municipio","total municipios","Años",[1]ACTUALIZACIÓN!$C$2)</f>
        <v>208119</v>
      </c>
      <c r="G22" s="42">
        <f>IFERROR(GETPIVOTDATA("Suma de turistas",'[1]TTDD DATOS'!$B$6,"País","Total","categoría","Total","tipología","hotelera","zona","sur","municipio","total municipios","Años",[1]ACTUALIZACIÓN!$C$2)/GETPIVOTDATA("Suma de turistas",'[1]TTDD DATOS'!$B$6,"País","Total","categoría","Total","tipología","hotelera","zona","sur","municipio","total municipios","Años",[1]ACTUALIZACIÓN!$C$2-1)-1,"-")</f>
        <v>4.377474032349749</v>
      </c>
      <c r="H22" s="58"/>
      <c r="I22" s="95"/>
      <c r="J22" s="93" t="s">
        <v>10</v>
      </c>
      <c r="K22" s="94">
        <f>GETPIVOTDATA("Suma de turistas",'[1]TTDD DATOS'!$B$49,"País","Total","categoría","Total","tipología","hotelera","zona","sur","municipio","total municipios","Años",IF([1]ACTUALIZACIÓN!$C$1="enero",[1]ACTUALIZACIÓN!$C$2-1,[1]ACTUALIZACIÓN!$C$2))</f>
        <v>550012</v>
      </c>
      <c r="L22" s="45">
        <f>GETPIVOTDATA("Suma de turistas",'[1]TTDD DATOS'!$B$49,"País","Total","categoría","Total","tipología","hotelera","zona","sur","municipio","total municipios","Años",IF([1]ACTUALIZACIÓN!$C$1="enero",[1]ACTUALIZACIÓN!$C$2-1,[1]ACTUALIZACIÓN!$C$2))/GETPIVOTDATA("Suma de turistas",'[1]TTDD DATOS'!$B$49,"País","Total","categoría","Total","tipología","hotelera","zona","sur","municipio","total municipios","Años",IF([1]ACTUALIZACIÓN!$C$1="enero",[1]ACTUALIZACIÓN!$C$2-2,[1]ACTUALIZACIÓN!$C$2-1))-1</f>
        <v>4.7639957242564606</v>
      </c>
      <c r="M22" s="39"/>
    </row>
    <row r="23" spans="3:13" ht="24.75" customHeight="1" thickBot="1" x14ac:dyDescent="0.25">
      <c r="C23" s="96"/>
      <c r="D23" s="97"/>
      <c r="E23" s="98" t="s">
        <v>11</v>
      </c>
      <c r="F23" s="99">
        <f>GETPIVOTDATA("Suma de turistas",'[1]TTDD DATOS'!$B$6,"País","Total","categoría","Total","tipología","extrahotelera","zona","sur","municipio","total municipios","Años",[1]ACTUALIZACIÓN!$C$2)</f>
        <v>65337</v>
      </c>
      <c r="G23" s="69">
        <f>IFERROR(GETPIVOTDATA("Suma de turistas",'[1]TTDD DATOS'!$B$6,"País","Total","categoría","Total","tipología","extrahotelera","zona","sur","municipio","total municipios","Años",[1]ACTUALIZACIÓN!$C$2)/GETPIVOTDATA("Suma de turistas",'[1]TTDD DATOS'!$B$6,"País","Total","categoría","Total","tipología","extrahotelera","zona","sur","municipio","total municipios","Años",[1]ACTUALIZACIÓN!$C$2-1)-1,"-")</f>
        <v>3.6236642841978632</v>
      </c>
      <c r="H23" s="58"/>
      <c r="I23" s="100"/>
      <c r="J23" s="98" t="s">
        <v>11</v>
      </c>
      <c r="K23" s="99">
        <f>GETPIVOTDATA("Suma de turistas",'[1]TTDD DATOS'!$B$49,"País","Total","categoría","Total","tipología","extrahotelera","zona","sur","municipio","total municipios","Años",IF([1]ACTUALIZACIÓN!$C$1="enero",[1]ACTUALIZACIÓN!$C$2-1,[1]ACTUALIZACIÓN!$C$2))</f>
        <v>172533</v>
      </c>
      <c r="L23" s="52">
        <f>GETPIVOTDATA("Suma de turistas",'[1]TTDD DATOS'!$B$49,"País","Total","categoría","Total","tipología","extrahotelera","zona","sur","municipio","total municipios","Años",IF([1]ACTUALIZACIÓN!$C$1="enero",[1]ACTUALIZACIÓN!$C$2-1,[1]ACTUALIZACIÓN!$C$2))/GETPIVOTDATA("Suma de turistas",'[1]TTDD DATOS'!$B$49,"País","Total","categoría","Total","tipología","extrahotelera","zona","sur","municipio","total municipios","Años",IF([1]ACTUALIZACIÓN!$C$1="enero",[1]ACTUALIZACIÓN!$C$2-2,[1]ACTUALIZACIÓN!$C$2-1))-1</f>
        <v>3.9271211126024506</v>
      </c>
      <c r="M23" s="39"/>
    </row>
    <row r="24" spans="3:13" ht="5.25" customHeight="1" thickBot="1" x14ac:dyDescent="0.25"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</row>
    <row r="25" spans="3:13" ht="20.100000000000001" customHeight="1" thickBot="1" x14ac:dyDescent="0.25">
      <c r="C25" s="24" t="s">
        <v>16</v>
      </c>
      <c r="D25" s="25"/>
      <c r="E25" s="25"/>
      <c r="F25" s="25"/>
      <c r="G25" s="25"/>
      <c r="H25" s="25"/>
      <c r="I25" s="25"/>
      <c r="J25" s="25"/>
      <c r="K25" s="25"/>
      <c r="L25" s="25"/>
      <c r="M25" s="26"/>
    </row>
    <row r="26" spans="3:13" ht="5.25" customHeight="1" thickBot="1" x14ac:dyDescent="0.25"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102"/>
    </row>
    <row r="27" spans="3:13" ht="24.95" customHeight="1" x14ac:dyDescent="0.2">
      <c r="C27" s="103" t="s">
        <v>7</v>
      </c>
      <c r="D27" s="104"/>
      <c r="E27" s="36" t="s">
        <v>8</v>
      </c>
      <c r="F27" s="32">
        <f>GETPIVOTDATA("Suma de pernoctaciones",'[1]TTDD DATOS'!$B$6,"País","Total","categoría","Total","tipología","Total","zona","tenerife","municipio","total municipios","Años",[1]ACTUALIZACIÓN!$C$2)</f>
        <v>2395706</v>
      </c>
      <c r="G27" s="33">
        <f>IFERROR(GETPIVOTDATA("Suma de pernoctaciones",'[1]TTDD DATOS'!$B$6,"País","Total","categoría","Total","tipología","Total","zona","tenerife","municipio","total municipios","Años",[1]ACTUALIZACIÓN!$C$2)/GETPIVOTDATA("Suma de pernoctaciones",'[1]TTDD DATOS'!$B$6,"País","Total","categoría","Total","tipología","Total","zona","tenerife","municipio","total municipios","Años",[1]ACTUALIZACIÓN!$C$2-1)-1,"-")</f>
        <v>6.3581583918178053</v>
      </c>
      <c r="H27" s="34"/>
      <c r="I27" s="35" t="s">
        <v>7</v>
      </c>
      <c r="J27" s="36" t="s">
        <v>8</v>
      </c>
      <c r="K27" s="37">
        <f>GETPIVOTDATA("Suma de pernoctaciones",'[1]TTDD DATOS'!$B$49,"País","Total","categoría","Total","tipología","Total","zona","tenerife","municipio","total municipios","Años",IF([1]ACTUALIZACIÓN!$C$1="enero",[1]ACTUALIZACIÓN!$C$2-1,[1]ACTUALIZACIÓN!$C$2))</f>
        <v>6343480</v>
      </c>
      <c r="L27" s="38">
        <f>GETPIVOTDATA("Suma de pernoctaciones",'[1]TTDD DATOS'!$B$49,"País","Total","categoría","Total","tipología","Total","zona","tenerife","municipio","total municipios","Años",IF([1]ACTUALIZACIÓN!$C$1="enero",[1]ACTUALIZACIÓN!$C$2-1,[1]ACTUALIZACIÓN!$C$2))/GETPIVOTDATA("Suma de pernoctaciones",'[1]TTDD DATOS'!$B$49,"País","Total","categoría","Total","tipología","Total","zona","tenerife","municipio","total municipios","Años",IF([1]ACTUALIZACIÓN!$C$1="enero",[1]ACTUALIZACIÓN!$C$2-2,[1]ACTUALIZACIÓN!$C$2-1))-1</f>
        <v>6.6715661968696862</v>
      </c>
      <c r="M27" s="39" t="s">
        <v>9</v>
      </c>
    </row>
    <row r="28" spans="3:13" ht="24.95" customHeight="1" x14ac:dyDescent="0.2">
      <c r="C28" s="29"/>
      <c r="D28" s="30"/>
      <c r="E28" s="40" t="s">
        <v>10</v>
      </c>
      <c r="F28" s="41">
        <f>GETPIVOTDATA("Suma de pernoctaciones",'[1]TTDD DATOS'!$B$6,"País","Total","categoría","Total","tipología","hotelera","zona","tenerife","municipio","total municipios","Años",[1]ACTUALIZACIÓN!$C$2)</f>
        <v>1819663</v>
      </c>
      <c r="G28" s="42">
        <f>IFERROR(GETPIVOTDATA("Suma de pernoctaciones",'[1]TTDD DATOS'!$B$6,"País","Total","categoría","Total","tipología","hotelera","zona","tenerife","municipio","total municipios","Años",[1]ACTUALIZACIÓN!$C$2)/GETPIVOTDATA("Suma de pernoctaciones",'[1]TTDD DATOS'!$B$6,"País","Total","categoría","Total","tipología","hotelera","zona","tenerife","municipio","total municipios","Años",[1]ACTUALIZACIÓN!$C$2-1)-1,"-")</f>
        <v>6.7541686375277514</v>
      </c>
      <c r="H28" s="43"/>
      <c r="I28" s="44"/>
      <c r="J28" s="40" t="s">
        <v>10</v>
      </c>
      <c r="K28" s="41">
        <f>GETPIVOTDATA("Suma de pernoctaciones",'[1]TTDD DATOS'!$B$49,"País","Total","categoría","Total","tipología","hotelera","zona","tenerife","municipio","total municipios","Años",IF([1]ACTUALIZACIÓN!$C$1="enero",[1]ACTUALIZACIÓN!$C$2-1,[1]ACTUALIZACIÓN!$C$2))</f>
        <v>4717141</v>
      </c>
      <c r="L28" s="45">
        <f>GETPIVOTDATA("Suma de pernoctaciones",'[1]TTDD DATOS'!$B$49,"País","Total","categoría","Total","tipología","hotelera","zona","tenerife","municipio","total municipios","Años",IF([1]ACTUALIZACIÓN!$C$1="enero",[1]ACTUALIZACIÓN!$C$2-1,[1]ACTUALIZACIÓN!$C$2))/GETPIVOTDATA("Suma de pernoctaciones",'[1]TTDD DATOS'!$B$49,"País","Total","categoría","Total","tipología","hotelera","zona","tenerife","municipio","total municipios","Años",IF([1]ACTUALIZACIÓN!$C$1="enero",[1]ACTUALIZACIÓN!$C$2-2,[1]ACTUALIZACIÓN!$C$2-1))-1</f>
        <v>7.1137665018275644</v>
      </c>
      <c r="M28" s="39"/>
    </row>
    <row r="29" spans="3:13" ht="24.95" customHeight="1" thickBot="1" x14ac:dyDescent="0.25">
      <c r="C29" s="46"/>
      <c r="D29" s="47"/>
      <c r="E29" s="50" t="s">
        <v>11</v>
      </c>
      <c r="F29" s="32">
        <f>GETPIVOTDATA("Suma de pernoctaciones",'[1]TTDD DATOS'!$B$6,"País","Total","categoría","Total","tipología","extrahotelera","zona","tenerife","municipio","total municipios","Años",[1]ACTUALIZACIÓN!$C$2)</f>
        <v>576043</v>
      </c>
      <c r="G29" s="33">
        <f>IFERROR(GETPIVOTDATA("Suma de pernoctaciones",'[1]TTDD DATOS'!$B$6,"País","Total","categoría","Total","tipología","extrahotelera","zona","tenerife","municipio","total municipios","Años",[1]ACTUALIZACIÓN!$C$2)/GETPIVOTDATA("Suma de pernoctaciones",'[1]TTDD DATOS'!$B$6,"País","Total","categoría","Total","tipología","extrahotelera","zona","tenerife","municipio","total municipios","Años",[1]ACTUALIZACIÓN!$C$2-1)-1,"-")</f>
        <v>5.3359914646486866</v>
      </c>
      <c r="H29" s="43"/>
      <c r="I29" s="49"/>
      <c r="J29" s="50" t="s">
        <v>11</v>
      </c>
      <c r="K29" s="51">
        <f>GETPIVOTDATA("Suma de pernoctaciones",'[1]TTDD DATOS'!$B$49,"País","Total","categoría","Total","tipología","extrahotelera","zona","tenerife","municipio","total municipios","Años",IF([1]ACTUALIZACIÓN!$C$1="enero",[1]ACTUALIZACIÓN!$C$2-1,[1]ACTUALIZACIÓN!$C$2))</f>
        <v>1626339</v>
      </c>
      <c r="L29" s="52">
        <f>GETPIVOTDATA("Suma de pernoctaciones",'[1]TTDD DATOS'!$B$49,"País","Total","categoría","Total","tipología","extrahotelera","zona","tenerife","municipio","total municipios","Años",IF([1]ACTUALIZACIÓN!$C$1="enero",[1]ACTUALIZACIÓN!$C$2-1,[1]ACTUALIZACIÓN!$C$2))/GETPIVOTDATA("Suma de pernoctaciones",'[1]TTDD DATOS'!$B$49,"País","Total","categoría","Total","tipología","extrahotelera","zona","tenerife","municipio","total municipios","Años",IF([1]ACTUALIZACIÓN!$C$1="enero",[1]ACTUALIZACIÓN!$C$2-2,[1]ACTUALIZACIÓN!$C$2-1))-1</f>
        <v>5.6244098946262229</v>
      </c>
      <c r="M29" s="39"/>
    </row>
    <row r="30" spans="3:13" ht="24.95" hidden="1" customHeight="1" x14ac:dyDescent="0.2">
      <c r="C30" s="53" t="s">
        <v>12</v>
      </c>
      <c r="D30" s="54"/>
      <c r="E30" s="55" t="s">
        <v>8</v>
      </c>
      <c r="F30" s="56">
        <f>GETPIVOTDATA("Suma de pernoctaciones",'[1]TTDD DATOS'!$B$6,"País","Total","categoría","Total","tipología","Total","zona","santa cruz","municipio","total municipios","Años",[1]ACTUALIZACIÓN!$C$2)</f>
        <v>50759</v>
      </c>
      <c r="G30" s="57">
        <f>GETPIVOTDATA("Suma de pernoctaciones",'[1]TTDD DATOS'!$B$6,"País","Total","categoría","Total","tipología","Total","zona","santa cruz","municipio","total municipios","Años",[1]ACTUALIZACIÓN!$C$2)/GETPIVOTDATA("Suma de pernoctaciones",'[1]TTDD DATOS'!$B$6,"País","Total","categoría","Total","tipología","Total","zona","santa cruz","municipio","total municipios","Años",[1]ACTUALIZACIÓN!$C$2-1)-1</f>
        <v>1.0579363470504766</v>
      </c>
      <c r="H30" s="58"/>
      <c r="I30" s="59" t="s">
        <v>12</v>
      </c>
      <c r="J30" s="55" t="s">
        <v>8</v>
      </c>
      <c r="K30" s="56">
        <f>GETPIVOTDATA("Suma de pernoctaciones",'[1]TTDD DATOS'!$B$49,"País","Total","categoría","Total","tipología","Total","zona","santa cruz","municipio","total municipios","Años",IF([1]ACTUALIZACIÓN!$C$1="enero",[1]ACTUALIZACIÓN!$C$2-1,[1]ACTUALIZACIÓN!$C$2))</f>
        <v>136836</v>
      </c>
      <c r="L30" s="38">
        <f>GETPIVOTDATA("Suma de pernoctaciones",'[1]TTDD DATOS'!$B$49,"País","Total","categoría","Total","tipología","Total","zona","santa cruz","municipio","total municipios","Años",IF([1]ACTUALIZACIÓN!$C$1="enero",[1]ACTUALIZACIÓN!$C$2-1,[1]ACTUALIZACIÓN!$C$2))/GETPIVOTDATA("Suma de pernoctaciones",'[1]TTDD DATOS'!$B$49,"País","Total","categoría","Total","tipología","Total","zona","santa cruz","municipio","total municipios","Años",IF([1]ACTUALIZACIÓN!$C$1="enero",[1]ACTUALIZACIÓN!$C$2-2,[1]ACTUALIZACIÓN!$C$2-1))-1</f>
        <v>1.5572520510568317</v>
      </c>
      <c r="M30" s="39"/>
    </row>
    <row r="31" spans="3:13" ht="48" customHeight="1" thickBot="1" x14ac:dyDescent="0.25">
      <c r="C31" s="60"/>
      <c r="D31" s="61"/>
      <c r="E31" s="62" t="s">
        <v>10</v>
      </c>
      <c r="F31" s="63">
        <f>GETPIVOTDATA("Suma de pernoctaciones",'[1]TTDD DATOS'!$B$6,"País","Total","categoría","Total","tipología","hotelera","zona","santa cruz","municipio","total municipios","Años",[1]ACTUALIZACIÓN!$C$2)</f>
        <v>50759</v>
      </c>
      <c r="G31" s="42">
        <f>IFERROR(GETPIVOTDATA("Suma de pernoctaciones",'[1]TTDD DATOS'!$B$6,"País","Total","categoría","Total","tipología","hotelera","zona","santa cruz","municipio","total municipios","Años",[1]ACTUALIZACIÓN!$C$2)/GETPIVOTDATA("Suma de pernoctaciones",'[1]TTDD DATOS'!$B$6,"País","Total","categoría","Total","tipología","hotelera","zona","santa cruz","municipio","total municipios","Años",[1]ACTUALIZACIÓN!$C$2-1)-1,"-")</f>
        <v>1.0579363470504766</v>
      </c>
      <c r="H31" s="58"/>
      <c r="I31" s="64"/>
      <c r="J31" s="62" t="s">
        <v>10</v>
      </c>
      <c r="K31" s="63">
        <f>GETPIVOTDATA("Suma de pernoctaciones",'[1]TTDD DATOS'!$B$49,"País","Total","categoría","Total","tipología","hotelera","zona","santa cruz","municipio","total municipios","Años",IF([1]ACTUALIZACIÓN!$C$1="enero",[1]ACTUALIZACIÓN!$C$2-1,[1]ACTUALIZACIÓN!$C$2))</f>
        <v>136836</v>
      </c>
      <c r="L31" s="45">
        <f>GETPIVOTDATA("Suma de pernoctaciones",'[1]TTDD DATOS'!$B$49,"País","Total","categoría","Total","tipología","hotelera","zona","santa cruz","municipio","total municipios","Años",IF([1]ACTUALIZACIÓN!$C$1="enero",[1]ACTUALIZACIÓN!$C$2-1,[1]ACTUALIZACIÓN!$C$2))/GETPIVOTDATA("Suma de pernoctaciones",'[1]TTDD DATOS'!$B$49,"País","Total","categoría","Total","tipología","hotelera","zona","santa cruz","municipio","total municipios","Años",IF([1]ACTUALIZACIÓN!$C$1="enero",[1]ACTUALIZACIÓN!$C$2-2,[1]ACTUALIZACIÓN!$C$2-1))-1</f>
        <v>1.5572520510568317</v>
      </c>
      <c r="M31" s="39"/>
    </row>
    <row r="32" spans="3:13" ht="24.95" hidden="1" customHeight="1" x14ac:dyDescent="0.2">
      <c r="C32" s="65"/>
      <c r="D32" s="66"/>
      <c r="E32" s="67" t="s">
        <v>11</v>
      </c>
      <c r="F32" s="68">
        <f>GETPIVOTDATA("Suma de pernoctaciones",'[1]TTDD DATOS'!$B$6,"País","Total","categoría","Total","tipología","extrahotelera","zona","santa cruz","municipio","total municipios","Años",[1]ACTUALIZACIÓN!$C$2)</f>
        <v>0</v>
      </c>
      <c r="G32" s="69" t="str">
        <f>IFERROR(GETPIVOTDATA("Suma de pernoctaciones",'[1]TTDD DATOS'!$B$6,"País","Total","categoría","Total","tipología","extrahotelera","zona","santa cruz","municipio","total municipios","Años",[1]ACTUALIZACIÓN!$C$2)/GETPIVOTDATA("Suma de pernoctaciones",'[1]TTDD DATOS'!$B$6,"País","Total","categoría","Total","tipología","extrahotelera","zona","santa cruz","municipio","total municipios","Años",[1]ACTUALIZACIÓN!$C$2-1)-1,"-")</f>
        <v>-</v>
      </c>
      <c r="H32" s="58"/>
      <c r="I32" s="70"/>
      <c r="J32" s="67" t="s">
        <v>11</v>
      </c>
      <c r="K32" s="68">
        <f>GETPIVOTDATA("Suma de pernoctaciones",'[1]TTDD DATOS'!$B$49,"País","Total","categoría","Total","tipología","extrahotelera","zona","santa cruz","municipio","total municipios","Años",IF([1]ACTUALIZACIÓN!$C$1="enero",[1]ACTUALIZACIÓN!$C$2-1,[1]ACTUALIZACIÓN!$C$2))</f>
        <v>0</v>
      </c>
      <c r="L32" s="52" t="str">
        <f>IFERROR(GETPIVOTDATA("Suma de pernoctaciones",'[1]TTDD DATOS'!$B$49,"País","Total","categoría","Total","tipología","extrahotelera","zona","santa cruz","municipio","total municipios","Años",IF([1]ACTUALIZACIÓN!$C$1="enero",[1]ACTUALIZACIÓN!$C$2-1,[1]ACTUALIZACIÓN!$C$2))/GETPIVOTDATA("Suma de pernoctaciones",'[1]TTDD DATOS'!$B$49,"País","Total","categoría","Total","tipología","extrahotelera","zona","santa cruz","municipio","total municipios","Años",IF([1]ACTUALIZACIÓN!$C$1="enero",[1]ACTUALIZACIÓN!$C$2-2,[1]ACTUALIZACIÓN!$C$2-1))-1,"-")</f>
        <v>-</v>
      </c>
      <c r="M32" s="39"/>
    </row>
    <row r="33" spans="3:13" ht="24.95" customHeight="1" x14ac:dyDescent="0.2">
      <c r="C33" s="71" t="s">
        <v>13</v>
      </c>
      <c r="D33" s="72"/>
      <c r="E33" s="73" t="s">
        <v>8</v>
      </c>
      <c r="F33" s="74">
        <f>GETPIVOTDATA("Suma de pernoctaciones",'[1]TTDD DATOS'!$B$6,"País","Total","categoría","Total","tipología","Total","zona","la laguna-bajamar-la punta","municipio","total municipios","Años",[1]ACTUALIZACIÓN!$C$2)</f>
        <v>13555</v>
      </c>
      <c r="G33" s="57">
        <f>IFERROR(GETPIVOTDATA("Suma de pernoctaciones",'[1]TTDD DATOS'!$B$6,"País","Total","categoría","Total","tipología","Total","zona","la laguna-bajamar-la punta","municipio","total municipios","Años",[1]ACTUALIZACIÓN!$C$2)/GETPIVOTDATA("Suma de pernoctaciones",'[1]TTDD DATOS'!$B$6,"País","Total","categoría","Total","tipología","Total","zona","la laguna-bajamar-la punta","municipio","total municipios","Años",[1]ACTUALIZACIÓN!$C$2-1)-1,"-")</f>
        <v>1.8633291085762567</v>
      </c>
      <c r="H33" s="58"/>
      <c r="I33" s="75" t="s">
        <v>13</v>
      </c>
      <c r="J33" s="73" t="s">
        <v>8</v>
      </c>
      <c r="K33" s="74">
        <f>GETPIVOTDATA("Suma de pernoctaciones",'[1]TTDD DATOS'!$B$49,"País","Total","categoría","Total","tipología","Total","zona","la laguna-bajamar-la punta","municipio","total municipios","Años",IF([1]ACTUALIZACIÓN!$C$1="enero",[1]ACTUALIZACIÓN!$C$2-1,[1]ACTUALIZACIÓN!$C$2))</f>
        <v>39257</v>
      </c>
      <c r="L33" s="38">
        <f>GETPIVOTDATA("Suma de pernoctaciones",'[1]TTDD DATOS'!$B$49,"País","Total","categoría","Total","tipología","Total","zona","la laguna-bajamar-la punta","municipio","total municipios","Años",IF([1]ACTUALIZACIÓN!$C$1="enero",[1]ACTUALIZACIÓN!$C$2-1,[1]ACTUALIZACIÓN!$C$2))/GETPIVOTDATA("Suma de pernoctaciones",'[1]TTDD DATOS'!$B$49,"País","Total","categoría","Total","tipología","Total","zona","la laguna-bajamar-la punta","municipio","total municipios","Años",IF([1]ACTUALIZACIÓN!$C$1="enero",[1]ACTUALIZACIÓN!$C$2-2,[1]ACTUALIZACIÓN!$C$2-1))-1</f>
        <v>2.3336447010869565</v>
      </c>
      <c r="M33" s="39"/>
    </row>
    <row r="34" spans="3:13" ht="24.95" customHeight="1" x14ac:dyDescent="0.2">
      <c r="C34" s="76"/>
      <c r="D34" s="77"/>
      <c r="E34" s="78" t="s">
        <v>10</v>
      </c>
      <c r="F34" s="79">
        <f>GETPIVOTDATA("Suma de pernoctaciones",'[1]TTDD DATOS'!$B$6,"País","Total","categoría","Total","tipología","hotelera","zona","la laguna-bajamar-la punta","municipio","total municipios","Años",[1]ACTUALIZACIÓN!$C$2)</f>
        <v>11768</v>
      </c>
      <c r="G34" s="42">
        <f>IFERROR(GETPIVOTDATA("Suma de pernoctaciones",'[1]TTDD DATOS'!$B$6,"País","Total","categoría","Total","tipología","hotelera","zona","la laguna-bajamar-la punta","municipio","total municipios","Años",[1]ACTUALIZACIÓN!$C$2)/GETPIVOTDATA("Suma de pernoctaciones",'[1]TTDD DATOS'!$B$6,"País","Total","categoría","Total","tipología","hotelera","zona","la laguna-bajamar-la punta","municipio","total municipios","Años",[1]ACTUALIZACIÓN!$C$2-1)-1,"-")</f>
        <v>1.5972191569190026</v>
      </c>
      <c r="H34" s="58"/>
      <c r="I34" s="80"/>
      <c r="J34" s="78" t="s">
        <v>10</v>
      </c>
      <c r="K34" s="79">
        <f>GETPIVOTDATA("Suma de pernoctaciones",'[1]TTDD DATOS'!$B$49,"País","Total","categoría","Total","tipología","hotelera","zona","la laguna-bajamar-la punta","municipio","total municipios","Años",IF([1]ACTUALIZACIÓN!$C$1="enero",[1]ACTUALIZACIÓN!$C$2-1,[1]ACTUALIZACIÓN!$C$2))</f>
        <v>34043</v>
      </c>
      <c r="L34" s="45">
        <f>GETPIVOTDATA("Suma de pernoctaciones",'[1]TTDD DATOS'!$B$49,"País","Total","categoría","Total","tipología","hotelera","zona","la laguna-bajamar-la punta","municipio","total municipios","Años",IF([1]ACTUALIZACIÓN!$C$1="enero",[1]ACTUALIZACIÓN!$C$2-1,[1]ACTUALIZACIÓN!$C$2))/GETPIVOTDATA("Suma de pernoctaciones",'[1]TTDD DATOS'!$B$49,"País","Total","categoría","Total","tipología","hotelera","zona","la laguna-bajamar-la punta","municipio","total municipios","Años",IF([1]ACTUALIZACIÓN!$C$1="enero",[1]ACTUALIZACIÓN!$C$2-2,[1]ACTUALIZACIÓN!$C$2-1))-1</f>
        <v>2.0488088841124843</v>
      </c>
      <c r="M34" s="39"/>
    </row>
    <row r="35" spans="3:13" ht="24.95" customHeight="1" thickBot="1" x14ac:dyDescent="0.25">
      <c r="C35" s="81"/>
      <c r="D35" s="82"/>
      <c r="E35" s="83" t="s">
        <v>11</v>
      </c>
      <c r="F35" s="84">
        <f>GETPIVOTDATA("Suma de pernoctaciones",'[1]TTDD DATOS'!$B$6,"País","Total","categoría","Total","tipología","extrahotelera","zona","la laguna-bajamar-la punta","municipio","total municipios","Años",[1]ACTUALIZACIÓN!$C$2)</f>
        <v>1787</v>
      </c>
      <c r="G35" s="69">
        <f>IFERROR(GETPIVOTDATA("Suma de pernoctaciones",'[1]TTDD DATOS'!$B$6,"País","Total","categoría","Total","tipología","extrahotelera","zona","la laguna-bajamar-la punta","municipio","total municipios","Años",[1]ACTUALIZACIÓN!$C$2)/GETPIVOTDATA("Suma de pernoctaciones",'[1]TTDD DATOS'!$B$6,"País","Total","categoría","Total","tipología","extrahotelera","zona","la laguna-bajamar-la punta","municipio","total municipios","Años",[1]ACTUALIZACIÓN!$C$2-1)-1,"-")</f>
        <v>7.8029556650246299</v>
      </c>
      <c r="H35" s="58"/>
      <c r="I35" s="85"/>
      <c r="J35" s="83" t="s">
        <v>11</v>
      </c>
      <c r="K35" s="84">
        <f>GETPIVOTDATA("Suma de pernoctaciones",'[1]TTDD DATOS'!$B$49,"País","Total","categoría","Total","tipología","extrahotelera","zona","la laguna-bajamar-la punta","municipio","total municipios","Años",IF([1]ACTUALIZACIÓN!$C$1="enero",[1]ACTUALIZACIÓN!$C$2-1,[1]ACTUALIZACIÓN!$C$2))</f>
        <v>5214</v>
      </c>
      <c r="L35" s="52">
        <f>GETPIVOTDATA("Suma de pernoctaciones",'[1]TTDD DATOS'!$B$49,"País","Total","categoría","Total","tipología","extrahotelera","zona","la laguna-bajamar-la punta","municipio","total municipios","Años",IF([1]ACTUALIZACIÓN!$C$1="enero",[1]ACTUALIZACIÓN!$C$2-1,[1]ACTUALIZACIÓN!$C$2))/GETPIVOTDATA("Suma de pernoctaciones",'[1]TTDD DATOS'!$B$49,"País","Total","categoría","Total","tipología","extrahotelera","zona","la laguna-bajamar-la punta","municipio","total municipios","Años",IF([1]ACTUALIZACIÓN!$C$1="enero",[1]ACTUALIZACIÓN!$C$2-2,[1]ACTUALIZACIÓN!$C$2-1))-1</f>
        <v>7.5475409836065577</v>
      </c>
      <c r="M35" s="39"/>
    </row>
    <row r="36" spans="3:13" ht="24.95" customHeight="1" x14ac:dyDescent="0.2">
      <c r="C36" s="53" t="s">
        <v>14</v>
      </c>
      <c r="D36" s="54"/>
      <c r="E36" s="55" t="s">
        <v>8</v>
      </c>
      <c r="F36" s="56">
        <f>GETPIVOTDATA("Suma de pernoctaciones",'[1]TTDD DATOS'!$B$6,"País","Total","categoría","Total","tipología","Total","zona","norte","municipio","total municipios","Años",[1]ACTUALIZACIÓN!$C$2)</f>
        <v>368145</v>
      </c>
      <c r="G36" s="57">
        <f>IFERROR(GETPIVOTDATA("Suma de pernoctaciones",'[1]TTDD DATOS'!$B$6,"País","Total","categoría","Total","tipología","Total","zona","norte","municipio","total municipios","Años",[1]ACTUALIZACIÓN!$C$2)/GETPIVOTDATA("Suma de pernoctaciones",'[1]TTDD DATOS'!$B$6,"País","Total","categoría","Total","tipología","Total","zona","norte","municipio","total municipios","Años",[1]ACTUALIZACIÓN!$C$2-1)-1,"-")</f>
        <v>7.2429134387174781</v>
      </c>
      <c r="H36" s="58"/>
      <c r="I36" s="59" t="s">
        <v>14</v>
      </c>
      <c r="J36" s="55" t="s">
        <v>8</v>
      </c>
      <c r="K36" s="56">
        <f>GETPIVOTDATA("Suma de pernoctaciones",'[1]TTDD DATOS'!$B$49,"País","Total","categoría","Total","tipología","Total","zona","norte","municipio","total municipios","Años",IF([1]ACTUALIZACIÓN!$C$1="enero",[1]ACTUALIZACIÓN!$C$2-1,[1]ACTUALIZACIÓN!$C$2))</f>
        <v>971905</v>
      </c>
      <c r="L36" s="38">
        <f>GETPIVOTDATA("Suma de pernoctaciones",'[1]TTDD DATOS'!$B$49,"País","Total","categoría","Total","tipología","Total","zona","norte","municipio","total municipios","Años",IF([1]ACTUALIZACIÓN!$C$1="enero",[1]ACTUALIZACIÓN!$C$2-1,[1]ACTUALIZACIÓN!$C$2))/GETPIVOTDATA("Suma de pernoctaciones",'[1]TTDD DATOS'!$B$49,"País","Total","categoría","Total","tipología","Total","zona","norte","municipio","total municipios","Años",IF([1]ACTUALIZACIÓN!$C$1="enero",[1]ACTUALIZACIÓN!$C$2-2,[1]ACTUALIZACIÓN!$C$2-1))-1</f>
        <v>7.555426448710838</v>
      </c>
      <c r="M36" s="39"/>
    </row>
    <row r="37" spans="3:13" ht="24.95" customHeight="1" x14ac:dyDescent="0.2">
      <c r="C37" s="60"/>
      <c r="D37" s="61"/>
      <c r="E37" s="62" t="s">
        <v>10</v>
      </c>
      <c r="F37" s="63">
        <f>GETPIVOTDATA("Suma de pernoctaciones",'[1]TTDD DATOS'!$B$6,"País","Total","categoría","Total","tipología","hotelera","zona","norte","municipio","total municipios","Años",[1]ACTUALIZACIÓN!$C$2)</f>
        <v>291835</v>
      </c>
      <c r="G37" s="42">
        <f>IFERROR(GETPIVOTDATA("Suma de pernoctaciones",'[1]TTDD DATOS'!$B$6,"País","Total","categoría","Total","tipología","hotelera","zona","norte","municipio","total municipios","Años",[1]ACTUALIZACIÓN!$C$2)/GETPIVOTDATA("Suma de pernoctaciones",'[1]TTDD DATOS'!$B$6,"País","Total","categoría","Total","tipología","hotelera","zona","norte","municipio","total municipios","Años",[1]ACTUALIZACIÓN!$C$2-1)-1,"-")</f>
        <v>11.459866791905046</v>
      </c>
      <c r="H37" s="58"/>
      <c r="I37" s="64"/>
      <c r="J37" s="62" t="s">
        <v>10</v>
      </c>
      <c r="K37" s="63">
        <f>GETPIVOTDATA("Suma de pernoctaciones",'[1]TTDD DATOS'!$B$49,"País","Total","categoría","Total","tipología","hotelera","zona","norte","municipio","total municipios","Años",IF([1]ACTUALIZACIÓN!$C$1="enero",[1]ACTUALIZACIÓN!$C$2-1,[1]ACTUALIZACIÓN!$C$2))</f>
        <v>747690</v>
      </c>
      <c r="L37" s="45">
        <f>GETPIVOTDATA("Suma de pernoctaciones",'[1]TTDD DATOS'!$B$49,"País","Total","categoría","Total","tipología","hotelera","zona","norte","municipio","total municipios","Años",IF([1]ACTUALIZACIÓN!$C$1="enero",[1]ACTUALIZACIÓN!$C$2-1,[1]ACTUALIZACIÓN!$C$2))/GETPIVOTDATA("Suma de pernoctaciones",'[1]TTDD DATOS'!$B$49,"País","Total","categoría","Total","tipología","hotelera","zona","norte","municipio","total municipios","Años",IF([1]ACTUALIZACIÓN!$C$1="enero",[1]ACTUALIZACIÓN!$C$2-2,[1]ACTUALIZACIÓN!$C$2-1))-1</f>
        <v>11.423401568523195</v>
      </c>
      <c r="M37" s="39"/>
    </row>
    <row r="38" spans="3:13" ht="24.95" customHeight="1" thickBot="1" x14ac:dyDescent="0.25">
      <c r="C38" s="65"/>
      <c r="D38" s="66"/>
      <c r="E38" s="67" t="s">
        <v>11</v>
      </c>
      <c r="F38" s="68">
        <f>GETPIVOTDATA("Suma de pernoctaciones",'[1]TTDD DATOS'!$B$6,"País","Total","categoría","Total","tipología","extrahotelera","zona","norte","municipio","total municipios","Años",[1]ACTUALIZACIÓN!$C$2)</f>
        <v>76310</v>
      </c>
      <c r="G38" s="69">
        <f>IFERROR(GETPIVOTDATA("Suma de pernoctaciones",'[1]TTDD DATOS'!$B$6,"País","Total","categoría","Total","tipología","extrahotelera","zona","norte","municipio","total municipios","Años",[1]ACTUALIZACIÓN!$C$2)/GETPIVOTDATA("Suma de pernoctaciones",'[1]TTDD DATOS'!$B$6,"País","Total","categoría","Total","tipología","extrahotelera","zona","norte","municipio","total municipios","Años",[1]ACTUALIZACIÓN!$C$2-1)-1,"-")</f>
        <v>2.5927495291902072</v>
      </c>
      <c r="H38" s="58"/>
      <c r="I38" s="70"/>
      <c r="J38" s="67" t="s">
        <v>11</v>
      </c>
      <c r="K38" s="68">
        <f>GETPIVOTDATA("Suma de pernoctaciones",'[1]TTDD DATOS'!$B$49,"País","Total","categoría","Total","tipología","extrahotelera","zona","norte","municipio","total municipios","Años",IF([1]ACTUALIZACIÓN!$C$1="enero",[1]ACTUALIZACIÓN!$C$2-1,[1]ACTUALIZACIÓN!$C$2))</f>
        <v>224215</v>
      </c>
      <c r="L38" s="52">
        <f>GETPIVOTDATA("Suma de pernoctaciones",'[1]TTDD DATOS'!$B$49,"País","Total","categoría","Total","tipología","extrahotelera","zona","norte","municipio","total municipios","Años",IF([1]ACTUALIZACIÓN!$C$1="enero",[1]ACTUALIZACIÓN!$C$2-1,[1]ACTUALIZACIÓN!$C$2))/GETPIVOTDATA("Suma de pernoctaciones",'[1]TTDD DATOS'!$B$49,"País","Total","categoría","Total","tipología","extrahotelera","zona","norte","municipio","total municipios","Años",IF([1]ACTUALIZACIÓN!$C$1="enero",[1]ACTUALIZACIÓN!$C$2-2,[1]ACTUALIZACIÓN!$C$2-1))-1</f>
        <v>3.1974465057940353</v>
      </c>
      <c r="M38" s="39"/>
    </row>
    <row r="39" spans="3:13" ht="24.95" customHeight="1" x14ac:dyDescent="0.2">
      <c r="C39" s="86" t="s">
        <v>15</v>
      </c>
      <c r="D39" s="87"/>
      <c r="E39" s="88" t="s">
        <v>8</v>
      </c>
      <c r="F39" s="89">
        <f>GETPIVOTDATA("Suma de pernoctaciones",'[1]TTDD DATOS'!$B$6,"País","Total","categoría","Total","tipología","Total","zona","sur","municipio","total municipios","Años",[1]ACTUALIZACIÓN!$C$2)</f>
        <v>1963247</v>
      </c>
      <c r="G39" s="57">
        <f>IFERROR(GETPIVOTDATA("Suma de pernoctaciones",'[1]TTDD DATOS'!$B$6,"País","Total","categoría","Total","tipología","Total","zona","sur","municipio","total municipios","Años",[1]ACTUALIZACIÓN!$C$2)/GETPIVOTDATA("Suma de pernoctaciones",'[1]TTDD DATOS'!$B$6,"País","Total","categoría","Total","tipología","Total","zona","sur","municipio","total municipios","Años",[1]ACTUALIZACIÓN!$C$2-1)-1,"-")</f>
        <v>6.8054062435393838</v>
      </c>
      <c r="H39" s="58"/>
      <c r="I39" s="90" t="s">
        <v>15</v>
      </c>
      <c r="J39" s="88" t="s">
        <v>8</v>
      </c>
      <c r="K39" s="89">
        <f>GETPIVOTDATA("Suma de pernoctaciones",'[1]TTDD DATOS'!$B$49,"País","Total","categoría","Total","tipología","Total","zona","sur","municipio","total municipios","Años",IF([1]ACTUALIZACIÓN!$C$1="enero",[1]ACTUALIZACIÓN!$C$2-1,[1]ACTUALIZACIÓN!$C$2))</f>
        <v>5195482</v>
      </c>
      <c r="L39" s="38">
        <f>GETPIVOTDATA("Suma de pernoctaciones",'[1]TTDD DATOS'!$B$49,"País","Total","categoría","Total","tipología","Total","zona","sur","municipio","total municipios","Años",IF([1]ACTUALIZACIÓN!$C$1="enero",[1]ACTUALIZACIÓN!$C$2-1,[1]ACTUALIZACIÓN!$C$2))/GETPIVOTDATA("Suma de pernoctaciones",'[1]TTDD DATOS'!$B$49,"País","Total","categoría","Total","tipología","Total","zona","sur","municipio","total municipios","Años",IF([1]ACTUALIZACIÓN!$C$1="enero",[1]ACTUALIZACIÓN!$C$2-2,[1]ACTUALIZACIÓN!$C$2-1))-1</f>
        <v>7.0177686282014093</v>
      </c>
      <c r="M39" s="39"/>
    </row>
    <row r="40" spans="3:13" ht="24.95" customHeight="1" x14ac:dyDescent="0.2">
      <c r="C40" s="91"/>
      <c r="D40" s="92"/>
      <c r="E40" s="93" t="s">
        <v>10</v>
      </c>
      <c r="F40" s="94">
        <f>GETPIVOTDATA("Suma de pernoctaciones",'[1]TTDD DATOS'!$B$6,"País","Total","categoría","Total","tipología","hotelera","zona","sur","municipio","total municipios","Años",[1]ACTUALIZACIÓN!$C$2)</f>
        <v>1465301</v>
      </c>
      <c r="G40" s="42">
        <f>IFERROR(GETPIVOTDATA("Suma de pernoctaciones",'[1]TTDD DATOS'!$B$6,"País","Total","categoría","Total","tipología","hotelera","zona","sur","municipio","total municipios","Años",[1]ACTUALIZACIÓN!$C$2)/GETPIVOTDATA("Suma de pernoctaciones",'[1]TTDD DATOS'!$B$6,"País","Total","categoría","Total","tipología","hotelera","zona","sur","municipio","total municipios","Años",[1]ACTUALIZACIÓN!$C$2-1)-1,"-")</f>
        <v>7.0488489489209076</v>
      </c>
      <c r="H40" s="58"/>
      <c r="I40" s="95"/>
      <c r="J40" s="93" t="s">
        <v>10</v>
      </c>
      <c r="K40" s="94">
        <f>GETPIVOTDATA("Suma de pernoctaciones",'[1]TTDD DATOS'!$B$49,"País","Total","categoría","Total","tipología","hotelera","zona","sur","municipio","total municipios","Años",IF([1]ACTUALIZACIÓN!$C$1="enero",[1]ACTUALIZACIÓN!$C$2-1,[1]ACTUALIZACIÓN!$C$2))</f>
        <v>3798572</v>
      </c>
      <c r="L40" s="45">
        <f>GETPIVOTDATA("Suma de pernoctaciones",'[1]TTDD DATOS'!$B$49,"País","Total","categoría","Total","tipología","hotelera","zona","sur","municipio","total municipios","Años",IF([1]ACTUALIZACIÓN!$C$1="enero",[1]ACTUALIZACIÓN!$C$2-1,[1]ACTUALIZACIÓN!$C$2))/GETPIVOTDATA("Suma de pernoctaciones",'[1]TTDD DATOS'!$B$49,"País","Total","categoría","Total","tipología","hotelera","zona","sur","municipio","total municipios","Años",IF([1]ACTUALIZACIÓN!$C$1="enero",[1]ACTUALIZACIÓN!$C$2-2,[1]ACTUALIZACIÓN!$C$2-1))-1</f>
        <v>7.3207861279779891</v>
      </c>
      <c r="M40" s="39"/>
    </row>
    <row r="41" spans="3:13" ht="24.95" customHeight="1" thickBot="1" x14ac:dyDescent="0.25">
      <c r="C41" s="96"/>
      <c r="D41" s="97"/>
      <c r="E41" s="98" t="s">
        <v>11</v>
      </c>
      <c r="F41" s="99">
        <f>GETPIVOTDATA("Suma de pernoctaciones",'[1]TTDD DATOS'!$B$6,"País","Total","categoría","Total","tipología","extrahotelera","zona","sur","municipio","total municipios","Años",[1]ACTUALIZACIÓN!$C$2)</f>
        <v>497946</v>
      </c>
      <c r="G41" s="69">
        <f>IFERROR(GETPIVOTDATA("Suma de pernoctaciones",'[1]TTDD DATOS'!$B$6,"País","Total","categoría","Total","tipología","extrahotelera","zona","sur","municipio","total municipios","Años",[1]ACTUALIZACIÓN!$C$2)/GETPIVOTDATA("Suma de pernoctaciones",'[1]TTDD DATOS'!$B$6,"País","Total","categoría","Total","tipología","extrahotelera","zona","sur","municipio","total municipios","Años",[1]ACTUALIZACIÓN!$C$2-1)-1,"-")</f>
        <v>6.1674751342248069</v>
      </c>
      <c r="H41" s="58"/>
      <c r="I41" s="100"/>
      <c r="J41" s="98" t="s">
        <v>11</v>
      </c>
      <c r="K41" s="99">
        <f>GETPIVOTDATA("Suma de pernoctaciones",'[1]TTDD DATOS'!$B$49,"País","Total","categoría","Total","tipología","extrahotelera","zona","sur","municipio","total municipios","Años",IF([1]ACTUALIZACIÓN!$C$1="enero",[1]ACTUALIZACIÓN!$C$2-1,[1]ACTUALIZACIÓN!$C$2))</f>
        <v>1396910</v>
      </c>
      <c r="L41" s="52">
        <f>GETPIVOTDATA("Suma de pernoctaciones",'[1]TTDD DATOS'!$B$49,"País","Total","categoría","Total","tipología","extrahotelera","zona","sur","municipio","total municipios","Años",IF([1]ACTUALIZACIÓN!$C$1="enero",[1]ACTUALIZACIÓN!$C$2-1,[1]ACTUALIZACIÓN!$C$2))/GETPIVOTDATA("Suma de pernoctaciones",'[1]TTDD DATOS'!$B$49,"País","Total","categoría","Total","tipología","extrahotelera","zona","sur","municipio","total municipios","Años",IF([1]ACTUALIZACIÓN!$C$1="enero",[1]ACTUALIZACIÓN!$C$2-2,[1]ACTUALIZACIÓN!$C$2-1))-1</f>
        <v>6.2953311050762482</v>
      </c>
      <c r="M41" s="39"/>
    </row>
    <row r="42" spans="3:13" ht="5.25" customHeight="1" thickBot="1" x14ac:dyDescent="0.25">
      <c r="C42" s="101"/>
      <c r="D42" s="101"/>
      <c r="F42" s="101"/>
      <c r="G42" s="101"/>
      <c r="H42" s="101"/>
      <c r="I42" s="101"/>
      <c r="J42" s="101"/>
      <c r="K42" s="101"/>
      <c r="L42" s="101"/>
      <c r="M42" s="101"/>
    </row>
    <row r="43" spans="3:13" ht="20.100000000000001" customHeight="1" thickBot="1" x14ac:dyDescent="0.25">
      <c r="C43" s="24" t="s">
        <v>17</v>
      </c>
      <c r="D43" s="25"/>
      <c r="E43" s="25"/>
      <c r="F43" s="25"/>
      <c r="G43" s="25"/>
      <c r="H43" s="25"/>
      <c r="I43" s="25"/>
      <c r="J43" s="25"/>
      <c r="K43" s="25"/>
      <c r="L43" s="25"/>
      <c r="M43" s="26"/>
    </row>
    <row r="44" spans="3:13" ht="5.25" customHeight="1" thickBot="1" x14ac:dyDescent="0.25"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102"/>
    </row>
    <row r="45" spans="3:13" ht="24.75" customHeight="1" x14ac:dyDescent="0.2">
      <c r="C45" s="103" t="s">
        <v>7</v>
      </c>
      <c r="D45" s="104"/>
      <c r="E45" s="36" t="s">
        <v>8</v>
      </c>
      <c r="F45" s="105">
        <f>GETPIVOTDATA("Suma de pernoctaciones",'[1]TTDD DATOS'!$B$6,"País","Total","categoría","Total","tipología","Total","zona","tenerife","municipio","total municipios","Años",[1]ACTUALIZACIÓN!$C$2)/GETPIVOTDATA("Suma de turistas",'[1]TTDD DATOS'!$B$6,"País","Total","categoría","Total","tipología","Total","zona","tenerife","municipio","total municipios","Años",[1]ACTUALIZACIÓN!$C$2)</f>
        <v>6.7653141908301233</v>
      </c>
      <c r="G45" s="106">
        <f>(GETPIVOTDATA("Suma de pernoctaciones",'[1]TTDD DATOS'!$B$6,"País","Total","categoría","Total","tipología","Total","zona","tenerife","municipio","total municipios","Años",[1]ACTUALIZACIÓN!$C$2)/GETPIVOTDATA("Suma de turistas",'[1]TTDD DATOS'!$B$6,"País","Total","categoría","Total","tipología","Total","zona","tenerife","municipio","total municipios","Años",[1]ACTUALIZACIÓN!$C$2))-(GETPIVOTDATA("Suma de pernoctaciones",'[1]TTDD DATOS'!$B$6,"País","Total","categoría","Total","tipología","Total","zona","tenerife","municipio","total municipios","Años",[1]ACTUALIZACIÓN!$C$2-1)/GETPIVOTDATA("Suma de turistas",'[1]TTDD DATOS'!$B$6,"País","Total","categoría","Total","tipología","Total","zona","tenerife","municipio","total municipios","Años",[1]ACTUALIZACIÓN!$C$2-1))</f>
        <v>2.6346256687357572</v>
      </c>
      <c r="H45" s="34"/>
      <c r="I45" s="35" t="s">
        <v>7</v>
      </c>
      <c r="J45" s="36" t="s">
        <v>8</v>
      </c>
      <c r="K45" s="105">
        <f>(GETPIVOTDATA("Suma de pernoctaciones",'[1]TTDD DATOS'!$B$49,"País","Total","categoría","Total","tipología","Total","zona","tenerife","municipio","total municipios","Años",IF([1]ACTUALIZACIÓN!$C$1="enero",[1]ACTUALIZACIÓN!$C$2-1,[1]ACTUALIZACIÓN!$C$2))/GETPIVOTDATA("Suma de turistas",'[1]TTDD DATOS'!$B$49,"País","Total","categoría","Total","tipología","Total","zona","tenerife","municipio","total municipios","Años",IF([1]ACTUALIZACIÓN!$C$1="enero",[1]ACTUALIZACIÓN!$C$2-1,[1]ACTUALIZACIÓN!$C$2)))</f>
        <v>6.8162042106190643</v>
      </c>
      <c r="L45" s="107">
        <f>(GETPIVOTDATA("pernoctaciones",'[1]TTDD DATOS'!$B$49,"País","total","categoría","Total","tipología","total","zona","tenerife","municipio","total municipios","Años",IF([1]ACTUALIZACIÓN!$C$1="enero",[1]ACTUALIZACIÓN!$C$2-1,[1]ACTUALIZACIÓN!$C$2))/GETPIVOTDATA("Suma de turistas",'[1]TTDD DATOS'!$B$49,"País","Total","categoría","Total","tipología","Total","zona","tenerife","municipio","total municipios","Años",IF([1]ACTUALIZACIÓN!$C$1="enero",[1]ACTUALIZACIÓN!$C$2-1,[1]ACTUALIZACIÓN!$C$2)))-(GETPIVOTDATA("pernoctaciones",'[1]TTDD DATOS'!$B$49,"País","total","categoría","Total","tipología","total","zona","tenerife","municipio","total municipios","Años",IF([1]ACTUALIZACIÓN!$C$1="enero",[1]ACTUALIZACIÓN!$C$2-2,[1]ACTUALIZACIÓN!$C$2-1))/GETPIVOTDATA("Suma de turistas",'[1]TTDD DATOS'!$B$49,"País","Total","categoría","Total","tipología","Total","zona","tenerife","municipio","total municipios","Años",IF([1]ACTUALIZACIÓN!$C$1="enero",[1]ACTUALIZACIÓN!$C$2-2,[1]ACTUALIZACIÓN!$C$2-1)))</f>
        <v>2.5536402243725629</v>
      </c>
      <c r="M45" s="39" t="s">
        <v>9</v>
      </c>
    </row>
    <row r="46" spans="3:13" ht="24.75" customHeight="1" x14ac:dyDescent="0.2">
      <c r="C46" s="29"/>
      <c r="D46" s="30"/>
      <c r="E46" s="40" t="s">
        <v>10</v>
      </c>
      <c r="F46" s="108">
        <f>GETPIVOTDATA("Suma de pernoctaciones",'[1]TTDD DATOS'!$B$6,"País","Total","categoría","Total","tipología","hotelera","zona","tenerife","municipio","total municipios","Años",[1]ACTUALIZACIÓN!$C$2)/GETPIVOTDATA("Suma de turistas",'[1]TTDD DATOS'!$B$6,"País","Total","categoría","Total","tipología","hotelera","zona","tenerife","municipio","total municipios","Años",[1]ACTUALIZACIÓN!$C$2)</f>
        <v>6.5380010850780215</v>
      </c>
      <c r="G46" s="109">
        <f>(GETPIVOTDATA("Suma de pernoctaciones",'[1]TTDD DATOS'!$B$6,"País","Total","categoría","Total","tipología","hotelera","zona","tenerife","municipio","total municipios","Años",[1]ACTUALIZACIÓN!$C$2)/GETPIVOTDATA("Suma de turistas",'[1]TTDD DATOS'!$B$6,"País","Total","categoría","Total","tipología","hotelera","zona","tenerife","municipio","total municipios","Años",[1]ACTUALIZACIÓN!$C$2))-(GETPIVOTDATA("Suma de pernoctaciones",'[1]TTDD DATOS'!$B$6,"País","Total","categoría","Total","tipología","hotelera","zona","tenerife","municipio","total municipios","Años",[1]ACTUALIZACIÓN!$C$2-1)/GETPIVOTDATA("Suma de turistas",'[1]TTDD DATOS'!$B$6,"País","Total","categoría","Total","tipología","hotelera","zona","tenerife","municipio","total municipios","Años",[1]ACTUALIZACIÓN!$C$2-1))</f>
        <v>2.5788129355301743</v>
      </c>
      <c r="H46" s="43"/>
      <c r="I46" s="44"/>
      <c r="J46" s="40" t="s">
        <v>10</v>
      </c>
      <c r="K46" s="108">
        <f>(GETPIVOTDATA("pernoctaciones",'[1]TTDD DATOS'!$B$49,"País","total","categoría","Total","tipología","hotelera","zona","tenerife","municipio","total municipios","Años",IF([1]ACTUALIZACIÓN!$C$1="enero",[1]ACTUALIZACIÓN!$C$2-1,[1]ACTUALIZACIÓN!$C$2))/GETPIVOTDATA("Suma de turistas",'[1]TTDD DATOS'!$B$49,"País","Total","categoría","Total","tipología","hotelera","zona","tenerife","municipio","total municipios","Años",IF([1]ACTUALIZACIÓN!$C$1="enero",[1]ACTUALIZACIÓN!$C$2-1,[1]ACTUALIZACIÓN!$C$2)))</f>
        <v>6.468296422043383</v>
      </c>
      <c r="L46" s="110">
        <f>(GETPIVOTDATA("pernoctaciones",'[1]TTDD DATOS'!$B$49,"País","total","categoría","Total","tipología","hotelera","zona","tenerife","municipio","total municipios","Años",IF([1]ACTUALIZACIÓN!$C$1="enero",[1]ACTUALIZACIÓN!$C$2-1,[1]ACTUALIZACIÓN!$C$2))/GETPIVOTDATA("Suma de turistas",'[1]TTDD DATOS'!$B$49,"País","Total","categoría","Total","tipología","hotelera","zona","tenerife","municipio","total municipios","Años",IF([1]ACTUALIZACIÓN!$C$1="enero",[1]ACTUALIZACIÓN!$C$2-1,[1]ACTUALIZACIÓN!$C$2)))-(GETPIVOTDATA("pernoctaciones",'[1]TTDD DATOS'!$B$49,"País","total","categoría","Total","tipología","hotelera","zona","tenerife","municipio","total municipios","Años",IF([1]ACTUALIZACIÓN!$C$1="enero",[1]ACTUALIZACIÓN!$C$2-2,[1]ACTUALIZACIÓN!$C$2-1))/GETPIVOTDATA("Suma de turistas",'[1]TTDD DATOS'!$B$49,"País","Total","categoría","Total","tipología","hotelera","zona","tenerife","municipio","total municipios","Años",IF([1]ACTUALIZACIÓN!$C$1="enero",[1]ACTUALIZACIÓN!$C$2-2,[1]ACTUALIZACIÓN!$C$2-1)))</f>
        <v>2.484829821154019</v>
      </c>
      <c r="M46" s="39"/>
    </row>
    <row r="47" spans="3:13" ht="24.75" customHeight="1" thickBot="1" x14ac:dyDescent="0.25">
      <c r="C47" s="46"/>
      <c r="D47" s="47"/>
      <c r="E47" s="50" t="s">
        <v>11</v>
      </c>
      <c r="F47" s="111">
        <f>GETPIVOTDATA("Suma de pernoctaciones",'[1]TTDD DATOS'!$B$6,"País","Total","categoría","Total","tipología","extrahotelera","zona","tenerife","municipio","total municipios","Años",[1]ACTUALIZACIÓN!$C$2)/GETPIVOTDATA("Suma de turistas",'[1]TTDD DATOS'!$B$6,"País","Total","categoría","Total","tipología","extrahotelera","zona","tenerife","municipio","total municipios","Años",[1]ACTUALIZACIÓN!$C$2)</f>
        <v>7.60001319348242</v>
      </c>
      <c r="G47" s="112">
        <f>(GETPIVOTDATA("Suma de pernoctaciones",'[1]TTDD DATOS'!$B$6,"País","Total","categoría","Total","tipología","extrahotelera","zona","tenerife","municipio","total municipios","Años",[1]ACTUALIZACIÓN!$C$2)/GETPIVOTDATA("Suma de turistas",'[1]TTDD DATOS'!$B$6,"País","Total","categoría","Total","tipología","extrahotelera","zona","tenerife","municipio","total municipios","Años",[1]ACTUALIZACIÓN!$C$2))-(GETPIVOTDATA("Suma de pernoctaciones",'[1]TTDD DATOS'!$B$6,"País","Total","categoría","Total","tipología","extrahotelera","zona","tenerife","municipio","total municipios","Años",[1]ACTUALIZACIÓN!$C$2-1)/GETPIVOTDATA("Suma de turistas",'[1]TTDD DATOS'!$B$6,"País","Total","categoría","Total","tipología","extrahotelera","zona","tenerife","municipio","total municipios","Años",[1]ACTUALIZACIÓN!$C$2-1))</f>
        <v>2.9493405248037154</v>
      </c>
      <c r="H47" s="43"/>
      <c r="I47" s="49"/>
      <c r="J47" s="50" t="s">
        <v>11</v>
      </c>
      <c r="K47" s="111">
        <f>(GETPIVOTDATA("pernoctaciones",'[1]TTDD DATOS'!$B$49,"País","total","categoría","Total","tipología","extrahotelera","zona","tenerife","municipio","total municipios","Años",IF([1]ACTUALIZACIÓN!$C$1="enero",[1]ACTUALIZACIÓN!$C$2-1,[1]ACTUALIZACIÓN!$C$2))/GETPIVOTDATA("Suma de turistas",'[1]TTDD DATOS'!$B$49,"País","Total","categoría","Total","tipología","extrahotelera","zona","tenerife","municipio","total municipios","Años",IF([1]ACTUALIZACIÓN!$C$1="enero",[1]ACTUALIZACIÓN!$C$2-1,[1]ACTUALIZACIÓN!$C$2)))</f>
        <v>8.0761312172254893</v>
      </c>
      <c r="L47" s="113">
        <f>(GETPIVOTDATA("pernoctaciones",'[1]TTDD DATOS'!$B$49,"País","total","categoría","Total","tipología","extrahotelera","zona","tenerife","municipio","total municipios","Años",IF([1]ACTUALIZACIÓN!$C$1="enero",[1]ACTUALIZACIÓN!$C$2-1,[1]ACTUALIZACIÓN!$C$2))/GETPIVOTDATA("Suma de turistas",'[1]TTDD DATOS'!$B$49,"País","Total","categoría","Total","tipología","extrahotelera","zona","tenerife","municipio","total municipios","Años",IF([1]ACTUALIZACIÓN!$C$1="enero",[1]ACTUALIZACIÓN!$C$2-1,[1]ACTUALIZACIÓN!$C$2)))-(GETPIVOTDATA("pernoctaciones",'[1]TTDD DATOS'!$B$49,"País","total","categoría","Total","tipología","extrahotelera","zona","tenerife","municipio","total municipios","Años",IF([1]ACTUALIZACIÓN!$C$1="enero",[1]ACTUALIZACIÓN!$C$2-2,[1]ACTUALIZACIÓN!$C$2-1))/GETPIVOTDATA("Suma de turistas",'[1]TTDD DATOS'!$B$49,"País","Total","categoría","Total","tipología","extrahotelera","zona","tenerife","municipio","total municipios","Años",IF([1]ACTUALIZACIÓN!$C$1="enero",[1]ACTUALIZACIÓN!$C$2-2,[1]ACTUALIZACIÓN!$C$2-1)))</f>
        <v>2.9656607759265716</v>
      </c>
      <c r="M47" s="39"/>
    </row>
    <row r="48" spans="3:13" ht="24.75" hidden="1" customHeight="1" x14ac:dyDescent="0.2">
      <c r="C48" s="53" t="s">
        <v>12</v>
      </c>
      <c r="D48" s="54"/>
      <c r="E48" s="55" t="s">
        <v>8</v>
      </c>
      <c r="F48" s="114">
        <f>GETPIVOTDATA("Suma de pernoctaciones",'[1]TTDD DATOS'!$B$6,"País","Total","categoría","Total","tipología","Total","zona","santa cruz","municipio","total municipios","Años",[1]ACTUALIZACIÓN!$C$2)/GETPIVOTDATA("Suma de turistas",'[1]TTDD DATOS'!$B$6,"País","Total","categoría","Total","tipología","Total","zona","santa cruz","municipio","total municipios","Años",[1]ACTUALIZACIÓN!$C$2)</f>
        <v>2.6518468209602424</v>
      </c>
      <c r="G48" s="106">
        <f>(GETPIVOTDATA("Suma de pernoctaciones",'[1]TTDD DATOS'!$B$6,"País","Total","categoría","Total","tipología","Total","zona","santa cruz","municipio","total municipios","Años",[1]ACTUALIZACIÓN!$C$2)/GETPIVOTDATA("Suma de turistas",'[1]TTDD DATOS'!$B$6,"País","Total","categoría","Total","tipología","Total","zona","santa cruz","municipio","total municipios","Años",[1]ACTUALIZACIÓN!$C$2))-(GETPIVOTDATA("Suma de pernoctaciones",'[1]TTDD DATOS'!$B$6,"País","Total","categoría","Total","tipología","Total","zona","santa cruz","municipio","total municipios","Años",[1]ACTUALIZACIÓN!$C$2-1)/GETPIVOTDATA("Suma de turistas",'[1]TTDD DATOS'!$B$6,"País","Total","categoría","Total","tipología","Total","zona","santa cruz","municipio","total municipios","Años",[1]ACTUALIZACIÓN!$C$2-1))</f>
        <v>0.44468798427120415</v>
      </c>
      <c r="H48" s="58"/>
      <c r="I48" s="59" t="s">
        <v>12</v>
      </c>
      <c r="J48" s="55" t="s">
        <v>8</v>
      </c>
      <c r="K48" s="114">
        <f>(GETPIVOTDATA("Suma de pernoctaciones",'[1]TTDD DATOS'!$B$49,"País","Total","categoría","Total","tipología","Total","zona","santa cruz","municipio","total municipios","Años",IF([1]ACTUALIZACIÓN!$C$1="enero",[1]ACTUALIZACIÓN!$C$2-1,[1]ACTUALIZACIÓN!$C$2))/GETPIVOTDATA("Suma de turistas",'[1]TTDD DATOS'!$B$49,"País","Total","categoría","Total","tipología","Total","zona","santa cruz","municipio","total municipios","Años",IF([1]ACTUALIZACIÓN!$C$1="enero",[1]ACTUALIZACIÓN!$C$2-1,[1]ACTUALIZACIÓN!$C$2)))</f>
        <v>2.7484283045775002</v>
      </c>
      <c r="L48" s="107">
        <f>(GETPIVOTDATA("pernoctaciones",'[1]TTDD DATOS'!$B$49,"País","total","categoría","Total","tipología","total","zona","santa cruz","municipio","total municipios","Años",IF([1]ACTUALIZACIÓN!$C$1="enero",[1]ACTUALIZACIÓN!$C$2-1,[1]ACTUALIZACIÓN!$C$2))/GETPIVOTDATA("Suma de turistas",'[1]TTDD DATOS'!$B$49,"País","Total","categoría","Total","tipología","Total","zona","santa cruz","municipio","total municipios","Años",IF([1]ACTUALIZACIÓN!$C$1="enero",[1]ACTUALIZACIÓN!$C$2-1,[1]ACTUALIZACIÓN!$C$2)))-(GETPIVOTDATA("pernoctaciones",'[1]TTDD DATOS'!$B$49,"País","total","categoría","Total","tipología","total","zona","santa cruz","municipio","total municipios","Años",IF([1]ACTUALIZACIÓN!$C$1="enero",[1]ACTUALIZACIÓN!$C$2-2,[1]ACTUALIZACIÓN!$C$2-1))/GETPIVOTDATA("Suma de turistas",'[1]TTDD DATOS'!$B$49,"País","Total","categoría","Total","tipología","Total","zona","santa cruz","municipio","total municipios","Años",IF([1]ACTUALIZACIÓN!$C$1="enero",[1]ACTUALIZACIÓN!$C$2-2,[1]ACTUALIZACIÓN!$C$2-1)))</f>
        <v>0.7099125515964344</v>
      </c>
      <c r="M48" s="39"/>
    </row>
    <row r="49" spans="3:13" ht="50.25" customHeight="1" thickBot="1" x14ac:dyDescent="0.25">
      <c r="C49" s="60"/>
      <c r="D49" s="61"/>
      <c r="E49" s="62" t="s">
        <v>10</v>
      </c>
      <c r="F49" s="115">
        <f>GETPIVOTDATA("Suma de pernoctaciones",'[1]TTDD DATOS'!$B$6,"País","Total","categoría","Total","tipología","hotelera","zona","santa cruz","municipio","total municipios","Años",[1]ACTUALIZACIÓN!$C$2)/GETPIVOTDATA("Suma de turistas",'[1]TTDD DATOS'!$B$6,"País","Total","categoría","Total","tipología","hotelera","zona","santa cruz","municipio","total municipios","Años",[1]ACTUALIZACIÓN!$C$2)</f>
        <v>2.6518468209602424</v>
      </c>
      <c r="G49" s="109">
        <f>(GETPIVOTDATA("Suma de pernoctaciones",'[1]TTDD DATOS'!$B$6,"País","Total","categoría","Total","tipología","hotelera","zona","santa cruz","municipio","total municipios","Años",[1]ACTUALIZACIÓN!$C$2)/GETPIVOTDATA("Suma de turistas",'[1]TTDD DATOS'!$B$6,"País","Total","categoría","Total","tipología","hotelera","zona","santa cruz","municipio","total municipios","Años",[1]ACTUALIZACIÓN!$C$2))-(GETPIVOTDATA("Suma de pernoctaciones",'[1]TTDD DATOS'!$B$6,"País","Total","categoría","Total","tipología","hotelera","zona","santa cruz","municipio","total municipios","Años",[1]ACTUALIZACIÓN!$C$2-1)/GETPIVOTDATA("Suma de turistas",'[1]TTDD DATOS'!$B$6,"País","Total","categoría","Total","tipología","hotelera","zona","santa cruz","municipio","total municipios","Años",[1]ACTUALIZACIÓN!$C$2-1))</f>
        <v>0.44468798427120415</v>
      </c>
      <c r="H49" s="58"/>
      <c r="I49" s="64"/>
      <c r="J49" s="62" t="s">
        <v>10</v>
      </c>
      <c r="K49" s="115">
        <f>(GETPIVOTDATA("pernoctaciones",'[1]TTDD DATOS'!$B$49,"País","total","categoría","Total","tipología","hotelera","zona","santa cruz","municipio","total municipios","Años",IF([1]ACTUALIZACIÓN!$C$1="enero",[1]ACTUALIZACIÓN!$C$2-1,[1]ACTUALIZACIÓN!$C$2))/GETPIVOTDATA("Suma de turistas",'[1]TTDD DATOS'!$B$49,"País","Total","categoría","Total","tipología","hotelera","zona","santa cruz","municipio","total municipios","Años",IF([1]ACTUALIZACIÓN!$C$1="enero",[1]ACTUALIZACIÓN!$C$2-1,[1]ACTUALIZACIÓN!$C$2)))</f>
        <v>2.7484283045775002</v>
      </c>
      <c r="L49" s="110">
        <f>(GETPIVOTDATA("pernoctaciones",'[1]TTDD DATOS'!$B$49,"País","total","categoría","Total","tipología","hotelera","zona","santa cruz","municipio","total municipios","Años",IF([1]ACTUALIZACIÓN!$C$1="enero",[1]ACTUALIZACIÓN!$C$2-1,[1]ACTUALIZACIÓN!$C$2))/GETPIVOTDATA("Suma de turistas",'[1]TTDD DATOS'!$B$49,"País","Total","categoría","Total","tipología","hotelera","zona","santa cruz","municipio","total municipios","Años",IF([1]ACTUALIZACIÓN!$C$1="enero",[1]ACTUALIZACIÓN!$C$2-1,[1]ACTUALIZACIÓN!$C$2)))-(GETPIVOTDATA("pernoctaciones",'[1]TTDD DATOS'!$B$49,"País","total","categoría","Total","tipología","hotelera","zona","santa cruz","municipio","total municipios","Años",IF([1]ACTUALIZACIÓN!$C$1="enero",[1]ACTUALIZACIÓN!$C$2-2,[1]ACTUALIZACIÓN!$C$2-1))/GETPIVOTDATA("Suma de turistas",'[1]TTDD DATOS'!$B$49,"País","Total","categoría","Total","tipología","hotelera","zona","santa cruz","municipio","total municipios","Años",IF([1]ACTUALIZACIÓN!$C$1="enero",[1]ACTUALIZACIÓN!$C$2-2,[1]ACTUALIZACIÓN!$C$2-1)))</f>
        <v>0.7099125515964344</v>
      </c>
      <c r="M49" s="39"/>
    </row>
    <row r="50" spans="3:13" ht="24.75" hidden="1" customHeight="1" x14ac:dyDescent="0.2">
      <c r="C50" s="65"/>
      <c r="D50" s="66"/>
      <c r="E50" s="67" t="s">
        <v>11</v>
      </c>
      <c r="F50" s="116" t="str">
        <f>IFERROR(GETPIVOTDATA("Suma de pernoctaciones",'[1]TTDD DATOS'!$B$6,"País","Total","categoría","Total","tipología","extrahotelera","zona","santa cruz","municipio","total municipios","Años",[1]ACTUALIZACIÓN!$C$2)/GETPIVOTDATA("Suma de turistas",'[1]TTDD DATOS'!$B$6,"País","Total","categoría","Total","tipología","extrahotelera","zona","santa cruz","municipio","total municipios","Años",[1]ACTUALIZACIÓN!$C$2),"-")</f>
        <v>-</v>
      </c>
      <c r="G50" s="112" t="str">
        <f>IFERROR((GETPIVOTDATA("Suma de pernoctaciones",'[1]TTDD DATOS'!$B$6,"País","Total","categoría","Total","tipología","extrahotelera","zona","santa cruz","municipio","total municipios","Años",[1]ACTUALIZACIÓN!$C$2)/GETPIVOTDATA("Suma de turistas",'[1]TTDD DATOS'!$B$6,"País","Total","categoría","Total","tipología","extrahotelera","zona","santa cruz","municipio","total municipios","Años",[1]ACTUALIZACIÓN!$C$2))-(GETPIVOTDATA("Suma de pernoctaciones",'[1]TTDD DATOS'!$B$6,"País","Total","categoría","Total","tipología","extrahotelera","zona","santa cruz","municipio","total municipios","Años",[1]ACTUALIZACIÓN!$C$2-1)/GETPIVOTDATA("Suma de turistas",'[1]TTDD DATOS'!$B$6,"País","Total","categoría","Total","tipología","extrahotelera","zona","santa cruz","municipio","total municipios","Años",[1]ACTUALIZACIÓN!$C$2-1)),"-")</f>
        <v>-</v>
      </c>
      <c r="H50" s="58"/>
      <c r="I50" s="70"/>
      <c r="J50" s="67" t="s">
        <v>11</v>
      </c>
      <c r="K50" s="116" t="e">
        <f>(GETPIVOTDATA("pernoctaciones",'[1]TTDD DATOS'!$B$49,"País","total","categoría","Total","tipología","extrahotelera","zona","santa cruz","municipio","total municipios","Años",IF([1]ACTUALIZACIÓN!$C$1="enero",[1]ACTUALIZACIÓN!$C$2-1,[1]ACTUALIZACIÓN!$C$2))/GETPIVOTDATA("Suma de turistas",'[1]TTDD DATOS'!$B$49,"País","Total","categoría","Total","tipología","extrahotelera","zona","santa cruz","municipio","total municipios","Años",IF([1]ACTUALIZACIÓN!$C$1="enero",[1]ACTUALIZACIÓN!$C$2-1,[1]ACTUALIZACIÓN!$C$2)))</f>
        <v>#DIV/0!</v>
      </c>
      <c r="L50" s="113" t="str">
        <f>IFERROR((GETPIVOTDATA("pernoctaciones",'[1]TTDD DATOS'!$B$49,"País","total","categoría","Total","tipología","extrahotelera","zona","santa cruz","municipio","total municipios","Años",IF([1]ACTUALIZACIÓN!$C$1="enero",[1]ACTUALIZACIÓN!$C$2-1,[1]ACTUALIZACIÓN!$C$2))/GETPIVOTDATA("Suma de turistas",'[1]TTDD DATOS'!$B$49,"País","Total","categoría","Total","tipología","extrahotelera","zona","santa cruz","municipio","total municipios","Años",IF([1]ACTUALIZACIÓN!$C$1="enero",[1]ACTUALIZACIÓN!$C$2-1,[1]ACTUALIZACIÓN!$C$2)))-(GETPIVOTDATA("pernoctaciones",'[1]TTDD DATOS'!$B$49,"País","total","categoría","Total","tipología","extrahotelera","zona","santa cruz","municipio","total municipios","Años",IF([1]ACTUALIZACIÓN!$C$1="enero",[1]ACTUALIZACIÓN!$C$2-2,[1]ACTUALIZACIÓN!$C$2-1))/GETPIVOTDATA("Suma de turistas",'[1]TTDD DATOS'!$B$49,"País","Total","categoría","Total","tipología","extrahotelera","zona","santa cruz","municipio","total municipios","Años",IF([1]ACTUALIZACIÓN!$C$1="enero",[1]ACTUALIZACIÓN!$C$2-2,[1]ACTUALIZACIÓN!$C$2-1))),"-")</f>
        <v>-</v>
      </c>
      <c r="M50" s="39"/>
    </row>
    <row r="51" spans="3:13" ht="24.75" customHeight="1" x14ac:dyDescent="0.2">
      <c r="C51" s="71" t="s">
        <v>13</v>
      </c>
      <c r="D51" s="72"/>
      <c r="E51" s="73" t="s">
        <v>8</v>
      </c>
      <c r="F51" s="117">
        <f>GETPIVOTDATA("Suma de pernoctaciones",'[1]TTDD DATOS'!$B$6,"País","Total","categoría","Total","tipología","Total","zona","la laguna-bajamar-la punta","municipio","total municipios","Años",[1]ACTUALIZACIÓN!$C$2)/GETPIVOTDATA("Suma de turistas",'[1]TTDD DATOS'!$B$6,"País","Total","categoría","Total","tipología","Total","zona","la laguna-bajamar-la punta","municipio","total municipios","Años",[1]ACTUALIZACIÓN!$C$2)</f>
        <v>2.7301107754279959</v>
      </c>
      <c r="G51" s="106">
        <f>(GETPIVOTDATA("Suma de pernoctaciones",'[1]TTDD DATOS'!$B$6,"País","Total","categoría","Total","tipología","Total","zona","la laguna-bajamar-la punta","municipio","total municipios","Años",[1]ACTUALIZACIÓN!$C$2)/GETPIVOTDATA("Suma de turistas",'[1]TTDD DATOS'!$B$6,"País","Total","categoría","Total","tipología","Total","zona","la laguna-bajamar-la punta","municipio","total municipios","Años",[1]ACTUALIZACIÓN!$C$2))-(GETPIVOTDATA("Suma de pernoctaciones",'[1]TTDD DATOS'!$B$6,"País","Total","categoría","Total","tipología","Total","zona","la laguna-bajamar-la punta","municipio","total municipios","Años",[1]ACTUALIZACIÓN!$C$2-1)/GETPIVOTDATA("Suma de turistas",'[1]TTDD DATOS'!$B$6,"País","Total","categoría","Total","tipología","Total","zona","la laguna-bajamar-la punta","municipio","total municipios","Años",[1]ACTUALIZACIÓN!$C$2-1))</f>
        <v>0.4758250611422814</v>
      </c>
      <c r="H51" s="58"/>
      <c r="I51" s="75" t="s">
        <v>13</v>
      </c>
      <c r="J51" s="73" t="s">
        <v>8</v>
      </c>
      <c r="K51" s="117">
        <f>(GETPIVOTDATA("Suma de pernoctaciones",'[1]TTDD DATOS'!$B$49,"País","Total","categoría","Total","tipología","Total","zona","la laguna-bajamar-la punta","municipio","total municipios","Años",IF([1]ACTUALIZACIÓN!$C$1="enero",[1]ACTUALIZACIÓN!$C$2-1,[1]ACTUALIZACIÓN!$C$2))/GETPIVOTDATA("Suma de turistas",'[1]TTDD DATOS'!$B$49,"País","Total","categoría","Total","tipología","Total","zona","la laguna-bajamar-la punta","municipio","total municipios","Años",IF([1]ACTUALIZACIÓN!$C$1="enero",[1]ACTUALIZACIÓN!$C$2-1,[1]ACTUALIZACIÓN!$C$2)))</f>
        <v>2.9434655469745818</v>
      </c>
      <c r="L51" s="107">
        <f>(GETPIVOTDATA("pernoctaciones",'[1]TTDD DATOS'!$B$49,"País","total","categoría","Total","tipología","total","zona","la laguna-bajamar-la punta","municipio","total municipios","Años",IF([1]ACTUALIZACIÓN!$C$1="enero",[1]ACTUALIZACIÓN!$C$2-1,[1]ACTUALIZACIÓN!$C$2))/GETPIVOTDATA("Suma de turistas",'[1]TTDD DATOS'!$B$49,"País","Total","categoría","Total","tipología","Total","zona","la laguna-bajamar-la punta","municipio","total municipios","Años",IF([1]ACTUALIZACIÓN!$C$1="enero",[1]ACTUALIZACIÓN!$C$2-1,[1]ACTUALIZACIÓN!$C$2)))-(GETPIVOTDATA("pernoctaciones",'[1]TTDD DATOS'!$B$49,"País","total","categoría","Total","tipología","total","zona","la laguna-bajamar-la punta","municipio","total municipios","Años",IF([1]ACTUALIZACIÓN!$C$1="enero",[1]ACTUALIZACIÓN!$C$2-2,[1]ACTUALIZACIÓN!$C$2-1))/GETPIVOTDATA("Suma de turistas",'[1]TTDD DATOS'!$B$49,"País","Total","categoría","Total","tipología","Total","zona","la laguna-bajamar-la punta","municipio","total municipios","Años",IF([1]ACTUALIZACIÓN!$C$1="enero",[1]ACTUALIZACIÓN!$C$2-2,[1]ACTUALIZACIÓN!$C$2-1)))</f>
        <v>0.59764881390685298</v>
      </c>
      <c r="M51" s="39"/>
    </row>
    <row r="52" spans="3:13" ht="24.75" customHeight="1" x14ac:dyDescent="0.2">
      <c r="C52" s="76"/>
      <c r="D52" s="77"/>
      <c r="E52" s="78" t="s">
        <v>10</v>
      </c>
      <c r="F52" s="118">
        <f>GETPIVOTDATA("Suma de pernoctaciones",'[1]TTDD DATOS'!$B$6,"País","Total","categoría","Total","tipología","hotelera","zona","la laguna-bajamar-la punta","municipio","total municipios","Años",[1]ACTUALIZACIÓN!$C$2)/GETPIVOTDATA("Suma de turistas",'[1]TTDD DATOS'!$B$6,"País","Total","categoría","Total","tipología","hotelera","zona","la laguna-bajamar-la punta","municipio","total municipios","Años",[1]ACTUALIZACIÓN!$C$2)</f>
        <v>2.602388323750553</v>
      </c>
      <c r="G52" s="109">
        <f>(GETPIVOTDATA("Suma de pernoctaciones",'[1]TTDD DATOS'!$B$6,"País","Total","categoría","Total","tipología","hotelera","zona","la laguna-bajamar-la punta","municipio","total municipios","Años",[1]ACTUALIZACIÓN!$C$2)/GETPIVOTDATA("Suma de turistas",'[1]TTDD DATOS'!$B$6,"País","Total","categoría","Total","tipología","hotelera","zona","la laguna-bajamar-la punta","municipio","total municipios","Años",[1]ACTUALIZACIÓN!$C$2))-(GETPIVOTDATA("Suma de pernoctaciones",'[1]TTDD DATOS'!$B$6,"País","Total","categoría","Total","tipología","hotelera","zona","la laguna-bajamar-la punta","municipio","total municipios","Años",[1]ACTUALIZACIÓN!$C$2-1)/GETPIVOTDATA("Suma de turistas",'[1]TTDD DATOS'!$B$6,"País","Total","categoría","Total","tipología","hotelera","zona","la laguna-bajamar-la punta","municipio","total municipios","Años",[1]ACTUALIZACIÓN!$C$2-1))</f>
        <v>0.38457138787194323</v>
      </c>
      <c r="H52" s="58"/>
      <c r="I52" s="80"/>
      <c r="J52" s="78" t="s">
        <v>10</v>
      </c>
      <c r="K52" s="118">
        <f>(GETPIVOTDATA("pernoctaciones",'[1]TTDD DATOS'!$B$49,"País","total","categoría","Total","tipología","hotelera","zona","la laguna-bajamar-la punta","municipio","total municipios","Años",IF([1]ACTUALIZACIÓN!$C$1="enero",[1]ACTUALIZACIÓN!$C$2-1,[1]ACTUALIZACIÓN!$C$2))/GETPIVOTDATA("Suma de turistas",'[1]TTDD DATOS'!$B$49,"País","Total","categoría","Total","tipología","hotelera","zona","la laguna-bajamar-la punta","municipio","total municipios","Años",IF([1]ACTUALIZACIÓN!$C$1="enero",[1]ACTUALIZACIÓN!$C$2-1,[1]ACTUALIZACIÓN!$C$2)))</f>
        <v>2.8366802766436132</v>
      </c>
      <c r="L52" s="110">
        <f>(GETPIVOTDATA("pernoctaciones",'[1]TTDD DATOS'!$B$49,"País","total","categoría","Total","tipología","hotelera","zona","la laguna-bajamar-la punta","municipio","total municipios","Años",IF([1]ACTUALIZACIÓN!$C$1="enero",[1]ACTUALIZACIÓN!$C$2-1,[1]ACTUALIZACIÓN!$C$2))/GETPIVOTDATA("Suma de turistas",'[1]TTDD DATOS'!$B$49,"País","Total","categoría","Total","tipología","hotelera","zona","la laguna-bajamar-la punta","municipio","total municipios","Años",IF([1]ACTUALIZACIÓN!$C$1="enero",[1]ACTUALIZACIÓN!$C$2-1,[1]ACTUALIZACIÓN!$C$2)))-(GETPIVOTDATA("pernoctaciones",'[1]TTDD DATOS'!$B$49,"País","total","categoría","Total","tipología","hotelera","zona","la laguna-bajamar-la punta","municipio","total municipios","Años",IF([1]ACTUALIZACIÓN!$C$1="enero",[1]ACTUALIZACIÓN!$C$2-2,[1]ACTUALIZACIÓN!$C$2-1))/GETPIVOTDATA("Suma de turistas",'[1]TTDD DATOS'!$B$49,"País","Total","categoría","Total","tipología","hotelera","zona","la laguna-bajamar-la punta","municipio","total municipios","Años",IF([1]ACTUALIZACIÓN!$C$1="enero",[1]ACTUALIZACIÓN!$C$2-2,[1]ACTUALIZACIÓN!$C$2-1)))</f>
        <v>0.54997128626884351</v>
      </c>
      <c r="M52" s="39"/>
    </row>
    <row r="53" spans="3:13" ht="24.75" customHeight="1" thickBot="1" x14ac:dyDescent="0.25">
      <c r="C53" s="81"/>
      <c r="D53" s="82"/>
      <c r="E53" s="83" t="s">
        <v>11</v>
      </c>
      <c r="F53" s="119">
        <f>GETPIVOTDATA("Suma de pernoctaciones",'[1]TTDD DATOS'!$B$6,"País","Total","categoría","Total","tipología","extrahotelera","zona","la laguna-bajamar-la punta","municipio","total municipios","Años",[1]ACTUALIZACIÓN!$C$2)/GETPIVOTDATA("Suma de turistas",'[1]TTDD DATOS'!$B$6,"País","Total","categoría","Total","tipología","extrahotelera","zona","la laguna-bajamar-la punta","municipio","total municipios","Años",[1]ACTUALIZACIÓN!$C$2)</f>
        <v>4.033860045146727</v>
      </c>
      <c r="G53" s="112">
        <f>(GETPIVOTDATA("Suma de pernoctaciones",'[1]TTDD DATOS'!$B$6,"País","Total","categoría","Total","tipología","extrahotelera","zona","la laguna-bajamar-la punta","municipio","total municipios","Años",[1]ACTUALIZACIÓN!$C$2)/GETPIVOTDATA("Suma de turistas",'[1]TTDD DATOS'!$B$6,"País","Total","categoría","Total","tipología","extrahotelera","zona","la laguna-bajamar-la punta","municipio","total municipios","Años",[1]ACTUALIZACIÓN!$C$2))-(GETPIVOTDATA("Suma de pernoctaciones",'[1]TTDD DATOS'!$B$6,"País","Total","categoría","Total","tipología","extrahotelera","zona","la laguna-bajamar-la punta","municipio","total municipios","Años",[1]ACTUALIZACIÓN!$C$2-1)/GETPIVOTDATA("Suma de turistas",'[1]TTDD DATOS'!$B$6,"País","Total","categoría","Total","tipología","extrahotelera","zona","la laguna-bajamar-la punta","municipio","total municipios","Años",[1]ACTUALIZACIÓN!$C$2-1))</f>
        <v>0.47245653637479723</v>
      </c>
      <c r="H53" s="58"/>
      <c r="I53" s="85"/>
      <c r="J53" s="83" t="s">
        <v>11</v>
      </c>
      <c r="K53" s="119">
        <f>(GETPIVOTDATA("pernoctaciones",'[1]TTDD DATOS'!$B$49,"País","total","categoría","Total","tipología","extrahotelera","zona","la laguna-bajamar-la punta","municipio","total municipios","Años",IF([1]ACTUALIZACIÓN!$C$1="enero",[1]ACTUALIZACIÓN!$C$2-1,[1]ACTUALIZACIÓN!$C$2))/GETPIVOTDATA("Suma de turistas",'[1]TTDD DATOS'!$B$49,"País","Total","categoría","Total","tipología","extrahotelera","zona","la laguna-bajamar-la punta","municipio","total municipios","Años",IF([1]ACTUALIZACIÓN!$C$1="enero",[1]ACTUALIZACIÓN!$C$2-1,[1]ACTUALIZACIÓN!$C$2)))</f>
        <v>3.9026946107784433</v>
      </c>
      <c r="L53" s="113">
        <f>(GETPIVOTDATA("pernoctaciones",'[1]TTDD DATOS'!$B$49,"País","total","categoría","Total","tipología","extrahotelera","zona","la laguna-bajamar-la punta","municipio","total municipios","Años",IF([1]ACTUALIZACIÓN!$C$1="enero",[1]ACTUALIZACIÓN!$C$2-1,[1]ACTUALIZACIÓN!$C$2))/GETPIVOTDATA("Suma de turistas",'[1]TTDD DATOS'!$B$49,"País","Total","categoría","Total","tipología","extrahotelera","zona","la laguna-bajamar-la punta","municipio","total municipios","Años",IF([1]ACTUALIZACIÓN!$C$1="enero",[1]ACTUALIZACIÓN!$C$2-1,[1]ACTUALIZACIÓN!$C$2)))-(GETPIVOTDATA("pernoctaciones",'[1]TTDD DATOS'!$B$49,"País","total","categoría","Total","tipología","extrahotelera","zona","la laguna-bajamar-la punta","municipio","total municipios","Años",IF([1]ACTUALIZACIÓN!$C$1="enero",[1]ACTUALIZACIÓN!$C$2-2,[1]ACTUALIZACIÓN!$C$2-1))/GETPIVOTDATA("Suma de turistas",'[1]TTDD DATOS'!$B$49,"País","Total","categoría","Total","tipología","extrahotelera","zona","la laguna-bajamar-la punta","municipio","total municipios","Años",IF([1]ACTUALIZACIÓN!$C$1="enero",[1]ACTUALIZACIÓN!$C$2-2,[1]ACTUALIZACIÓN!$C$2-1)))</f>
        <v>-0.54986013374710385</v>
      </c>
      <c r="M53" s="39"/>
    </row>
    <row r="54" spans="3:13" ht="24.75" customHeight="1" x14ac:dyDescent="0.2">
      <c r="C54" s="53" t="s">
        <v>14</v>
      </c>
      <c r="D54" s="54"/>
      <c r="E54" s="55" t="s">
        <v>8</v>
      </c>
      <c r="F54" s="114">
        <f>GETPIVOTDATA("Suma de pernoctaciones",'[1]TTDD DATOS'!$B$6,"País","Total","categoría","Total","tipología","Total","zona","norte","municipio","total municipios","Años",[1]ACTUALIZACIÓN!$C$2)/GETPIVOTDATA("Suma de turistas",'[1]TTDD DATOS'!$B$6,"País","Total","categoría","Total","tipología","Total","zona","norte","municipio","total municipios","Años",[1]ACTUALIZACIÓN!$C$2)</f>
        <v>6.5096191250839901</v>
      </c>
      <c r="G54" s="106">
        <f>(GETPIVOTDATA("Suma de pernoctaciones",'[1]TTDD DATOS'!$B$6,"País","Total","categoría","Total","tipología","Total","zona","norte","municipio","total municipios","Años",[1]ACTUALIZACIÓN!$C$2)/GETPIVOTDATA("Suma de turistas",'[1]TTDD DATOS'!$B$6,"País","Total","categoría","Total","tipología","Total","zona","norte","municipio","total municipios","Años",[1]ACTUALIZACIÓN!$C$2))-(GETPIVOTDATA("Suma de pernoctaciones",'[1]TTDD DATOS'!$B$6,"País","Total","categoría","Total","tipología","Total","zona","norte","municipio","total municipios","Años",[1]ACTUALIZACIÓN!$C$2-1)/GETPIVOTDATA("Suma de turistas",'[1]TTDD DATOS'!$B$6,"País","Total","categoría","Total","tipología","Total","zona","norte","municipio","total municipios","Años",[1]ACTUALIZACIÓN!$C$2-1))</f>
        <v>2.9965222950674715</v>
      </c>
      <c r="H54" s="58"/>
      <c r="I54" s="59" t="s">
        <v>14</v>
      </c>
      <c r="J54" s="55" t="s">
        <v>8</v>
      </c>
      <c r="K54" s="114">
        <f>(GETPIVOTDATA("Suma de pernoctaciones",'[1]TTDD DATOS'!$B$49,"País","Total","categoría","Total","tipología","Total","zona","norte","municipio","total municipios","Años",IF([1]ACTUALIZACIÓN!$C$1="enero",[1]ACTUALIZACIÓN!$C$2-1,[1]ACTUALIZACIÓN!$C$2))/GETPIVOTDATA("Suma de turistas",'[1]TTDD DATOS'!$B$49,"País","Total","categoría","Total","tipología","Total","zona","norte","municipio","total municipios","Años",IF([1]ACTUALIZACIÓN!$C$1="enero",[1]ACTUALIZACIÓN!$C$2-1,[1]ACTUALIZACIÓN!$C$2)))</f>
        <v>6.7038102332767728</v>
      </c>
      <c r="L54" s="107">
        <f>(GETPIVOTDATA("pernoctaciones",'[1]TTDD DATOS'!$B$49,"País","total","categoría","Total","tipología","total","zona","norte","municipio","total municipios","Años",IF([1]ACTUALIZACIÓN!$C$1="enero",[1]ACTUALIZACIÓN!$C$2-1,[1]ACTUALIZACIÓN!$C$2))/GETPIVOTDATA("Suma de turistas",'[1]TTDD DATOS'!$B$49,"País","Total","categoría","Total","tipología","Total","zona","norte","municipio","total municipios","Años",IF([1]ACTUALIZACIÓN!$C$1="enero",[1]ACTUALIZACIÓN!$C$2-1,[1]ACTUALIZACIÓN!$C$2)))-(GETPIVOTDATA("pernoctaciones",'[1]TTDD DATOS'!$B$49,"País","total","categoría","Total","tipología","total","zona","norte","municipio","total municipios","Años",IF([1]ACTUALIZACIÓN!$C$1="enero",[1]ACTUALIZACIÓN!$C$2-2,[1]ACTUALIZACIÓN!$C$2-1))/GETPIVOTDATA("Suma de turistas",'[1]TTDD DATOS'!$B$49,"País","Total","categoría","Total","tipología","Total","zona","norte","municipio","total municipios","Años",IF([1]ACTUALIZACIÓN!$C$1="enero",[1]ACTUALIZACIÓN!$C$2-2,[1]ACTUALIZACIÓN!$C$2-1)))</f>
        <v>3.1844632894433209</v>
      </c>
      <c r="M54" s="39"/>
    </row>
    <row r="55" spans="3:13" ht="24.75" customHeight="1" x14ac:dyDescent="0.2">
      <c r="C55" s="60"/>
      <c r="D55" s="61"/>
      <c r="E55" s="62" t="s">
        <v>10</v>
      </c>
      <c r="F55" s="115">
        <f>GETPIVOTDATA("Suma de pernoctaciones",'[1]TTDD DATOS'!$B$6,"País","Total","categoría","Total","tipología","hotelera","zona","norte","municipio","total municipios","Años",[1]ACTUALIZACIÓN!$C$2)/GETPIVOTDATA("Suma de turistas",'[1]TTDD DATOS'!$B$6,"País","Total","categoría","Total","tipología","hotelera","zona","norte","municipio","total municipios","Años",[1]ACTUALIZACIÓN!$C$2)</f>
        <v>6.2707621564709166</v>
      </c>
      <c r="G55" s="109">
        <f>(GETPIVOTDATA("Suma de pernoctaciones",'[1]TTDD DATOS'!$B$6,"País","Total","categoría","Total","tipología","hotelera","zona","norte","municipio","total municipios","Años",[1]ACTUALIZACIÓN!$C$2)/GETPIVOTDATA("Suma de turistas",'[1]TTDD DATOS'!$B$6,"País","Total","categoría","Total","tipología","hotelera","zona","norte","municipio","total municipios","Años",[1]ACTUALIZACIÓN!$C$2))-(GETPIVOTDATA("Suma de pernoctaciones",'[1]TTDD DATOS'!$B$6,"País","Total","categoría","Total","tipología","hotelera","zona","norte","municipio","total municipios","Años",[1]ACTUALIZACIÓN!$C$2-1)/GETPIVOTDATA("Suma de turistas",'[1]TTDD DATOS'!$B$6,"País","Total","categoría","Total","tipología","hotelera","zona","norte","municipio","total municipios","Años",[1]ACTUALIZACIÓN!$C$2-1))</f>
        <v>3.0849623740987728</v>
      </c>
      <c r="H55" s="58"/>
      <c r="I55" s="64"/>
      <c r="J55" s="62" t="s">
        <v>10</v>
      </c>
      <c r="K55" s="115">
        <f>(GETPIVOTDATA("pernoctaciones",'[1]TTDD DATOS'!$B$49,"País","total","categoría","Total","tipología","hotelera","zona","norte","municipio","total municipios","Años",IF([1]ACTUALIZACIÓN!$C$1="enero",[1]ACTUALIZACIÓN!$C$2-1,[1]ACTUALIZACIÓN!$C$2))/GETPIVOTDATA("Suma de turistas",'[1]TTDD DATOS'!$B$49,"País","Total","categoría","Total","tipología","hotelera","zona","norte","municipio","total municipios","Años",IF([1]ACTUALIZACIÓN!$C$1="enero",[1]ACTUALIZACIÓN!$C$2-1,[1]ACTUALIZACIÓN!$C$2)))</f>
        <v>6.3648900579717544</v>
      </c>
      <c r="L55" s="110">
        <f>(GETPIVOTDATA("pernoctaciones",'[1]TTDD DATOS'!$B$49,"País","total","categoría","Total","tipología","hotelera","zona","norte","municipio","total municipios","Años",IF([1]ACTUALIZACIÓN!$C$1="enero",[1]ACTUALIZACIÓN!$C$2-1,[1]ACTUALIZACIÓN!$C$2))/GETPIVOTDATA("Suma de turistas",'[1]TTDD DATOS'!$B$49,"País","Total","categoría","Total","tipología","hotelera","zona","norte","municipio","total municipios","Años",IF([1]ACTUALIZACIÓN!$C$1="enero",[1]ACTUALIZACIÓN!$C$2-1,[1]ACTUALIZACIÓN!$C$2)))-(GETPIVOTDATA("pernoctaciones",'[1]TTDD DATOS'!$B$49,"País","total","categoría","Total","tipología","hotelera","zona","norte","municipio","total municipios","Años",IF([1]ACTUALIZACIÓN!$C$1="enero",[1]ACTUALIZACIÓN!$C$2-2,[1]ACTUALIZACIÓN!$C$2-1))/GETPIVOTDATA("Suma de turistas",'[1]TTDD DATOS'!$B$49,"País","Total","categoría","Total","tipología","hotelera","zona","norte","municipio","total municipios","Años",IF([1]ACTUALIZACIÓN!$C$1="enero",[1]ACTUALIZACIÓN!$C$2-2,[1]ACTUALIZACIÓN!$C$2-1)))</f>
        <v>3.2615022376242062</v>
      </c>
      <c r="M55" s="39"/>
    </row>
    <row r="56" spans="3:13" ht="24.75" customHeight="1" thickBot="1" x14ac:dyDescent="0.25">
      <c r="C56" s="65"/>
      <c r="D56" s="66"/>
      <c r="E56" s="67" t="s">
        <v>11</v>
      </c>
      <c r="F56" s="116">
        <f>GETPIVOTDATA("Suma de pernoctaciones",'[1]TTDD DATOS'!$B$6,"País","Total","categoría","Total","tipología","extrahotelera","zona","norte","municipio","total municipios","Años",[1]ACTUALIZACIÓN!$C$2)/GETPIVOTDATA("Suma de turistas",'[1]TTDD DATOS'!$B$6,"País","Total","categoría","Total","tipología","extrahotelera","zona","norte","municipio","total municipios","Años",[1]ACTUALIZACIÓN!$C$2)</f>
        <v>7.6195706440339492</v>
      </c>
      <c r="G56" s="112">
        <f>(GETPIVOTDATA("Suma de pernoctaciones",'[1]TTDD DATOS'!$B$6,"País","Total","categoría","Total","tipología","extrahotelera","zona","norte","municipio","total municipios","Años",[1]ACTUALIZACIÓN!$C$2)/GETPIVOTDATA("Suma de turistas",'[1]TTDD DATOS'!$B$6,"País","Total","categoría","Total","tipología","extrahotelera","zona","norte","municipio","total municipios","Años",[1]ACTUALIZACIÓN!$C$2))-(GETPIVOTDATA("Suma de pernoctaciones",'[1]TTDD DATOS'!$B$6,"País","Total","categoría","Total","tipología","extrahotelera","zona","norte","municipio","total municipios","Años",[1]ACTUALIZACIÓN!$C$2-1)/GETPIVOTDATA("Suma de turistas",'[1]TTDD DATOS'!$B$6,"País","Total","categoría","Total","tipología","extrahotelera","zona","norte","municipio","total municipios","Años",[1]ACTUALIZACIÓN!$C$2-1))</f>
        <v>3.6576232461604183</v>
      </c>
      <c r="H56" s="58"/>
      <c r="I56" s="70"/>
      <c r="J56" s="67" t="s">
        <v>11</v>
      </c>
      <c r="K56" s="116">
        <f>(GETPIVOTDATA("pernoctaciones",'[1]TTDD DATOS'!$B$49,"País","total","categoría","Total","tipología","extrahotelera","zona","norte","municipio","total municipios","Años",IF([1]ACTUALIZACIÓN!$C$1="enero",[1]ACTUALIZACIÓN!$C$2-1,[1]ACTUALIZACIÓN!$C$2))/GETPIVOTDATA("Suma de turistas",'[1]TTDD DATOS'!$B$49,"País","Total","categoría","Total","tipología","extrahotelera","zona","norte","municipio","total municipios","Años",IF([1]ACTUALIZACIÓN!$C$1="enero",[1]ACTUALIZACIÓN!$C$2-1,[1]ACTUALIZACIÓN!$C$2)))</f>
        <v>8.1511978769040603</v>
      </c>
      <c r="L56" s="113">
        <f>(GETPIVOTDATA("pernoctaciones",'[1]TTDD DATOS'!$B$49,"País","total","categoría","Total","tipología","extrahotelera","zona","norte","municipio","total municipios","Años",IF([1]ACTUALIZACIÓN!$C$1="enero",[1]ACTUALIZACIÓN!$C$2-1,[1]ACTUALIZACIÓN!$C$2))/GETPIVOTDATA("Suma de turistas",'[1]TTDD DATOS'!$B$49,"País","Total","categoría","Total","tipología","extrahotelera","zona","norte","municipio","total municipios","Años",IF([1]ACTUALIZACIÓN!$C$1="enero",[1]ACTUALIZACIÓN!$C$2-1,[1]ACTUALIZACIÓN!$C$2)))-(GETPIVOTDATA("pernoctaciones",'[1]TTDD DATOS'!$B$49,"País","total","categoría","Total","tipología","extrahotelera","zona","norte","municipio","total municipios","Años",IF([1]ACTUALIZACIÓN!$C$1="enero",[1]ACTUALIZACIÓN!$C$2-2,[1]ACTUALIZACIÓN!$C$2-1))/GETPIVOTDATA("Suma de turistas",'[1]TTDD DATOS'!$B$49,"País","Total","categoría","Total","tipología","extrahotelera","zona","norte","municipio","total municipios","Años",IF([1]ACTUALIZACIÓN!$C$1="enero",[1]ACTUALIZACIÓN!$C$2-2,[1]ACTUALIZACIÓN!$C$2-1)))</f>
        <v>4.0058463325924043</v>
      </c>
      <c r="M56" s="39"/>
    </row>
    <row r="57" spans="3:13" ht="24.75" customHeight="1" x14ac:dyDescent="0.2">
      <c r="C57" s="86" t="s">
        <v>15</v>
      </c>
      <c r="D57" s="87"/>
      <c r="E57" s="88" t="s">
        <v>8</v>
      </c>
      <c r="F57" s="120">
        <f>GETPIVOTDATA("Suma de pernoctaciones",'[1]TTDD DATOS'!$B$6,"País","Total","categoría","Total","tipología","Total","zona","sur","municipio","total municipios","Años",[1]ACTUALIZACIÓN!$C$2)/GETPIVOTDATA("Suma de turistas",'[1]TTDD DATOS'!$B$6,"País","Total","categoría","Total","tipología","Total","zona","sur","municipio","total municipios","Años",[1]ACTUALIZACIÓN!$C$2)</f>
        <v>7.1793890059095427</v>
      </c>
      <c r="G57" s="106">
        <f>(GETPIVOTDATA("Suma de pernoctaciones",'[1]TTDD DATOS'!$B$6,"País","Total","categoría","Total","tipología","Total","zona","sur","municipio","total municipios","Años",[1]ACTUALIZACIÓN!$C$2)/GETPIVOTDATA("Suma de turistas",'[1]TTDD DATOS'!$B$6,"País","Total","categoría","Total","tipología","Total","zona","sur","municipio","total municipios","Años",[1]ACTUALIZACIÓN!$C$2))-(GETPIVOTDATA("Suma de pernoctaciones",'[1]TTDD DATOS'!$B$6,"País","Total","categoría","Total","tipología","Total","zona","sur","municipio","total municipios","Años",[1]ACTUALIZACIÓN!$C$2-1)/GETPIVOTDATA("Suma de turistas",'[1]TTDD DATOS'!$B$6,"País","Total","categoría","Total","tipología","Total","zona","sur","municipio","total municipios","Años",[1]ACTUALIZACIÓN!$C$2-1))</f>
        <v>2.4186523451104209</v>
      </c>
      <c r="H57" s="58"/>
      <c r="I57" s="90" t="s">
        <v>15</v>
      </c>
      <c r="J57" s="88" t="s">
        <v>8</v>
      </c>
      <c r="K57" s="120">
        <f>(GETPIVOTDATA("Suma de pernoctaciones",'[1]TTDD DATOS'!$B$49,"País","Total","categoría","Total","tipología","Total","zona","sur","municipio","total municipios","Años",IF([1]ACTUALIZACIÓN!$C$1="enero",[1]ACTUALIZACIÓN!$C$2-1,[1]ACTUALIZACIÓN!$C$2))/GETPIVOTDATA("Suma de turistas",'[1]TTDD DATOS'!$B$49,"País","Total","categoría","Total","tipología","Total","zona","sur","municipio","total municipios","Años",IF([1]ACTUALIZACIÓN!$C$1="enero",[1]ACTUALIZACIÓN!$C$2-1,[1]ACTUALIZACIÓN!$C$2)))</f>
        <v>7.1905306935900182</v>
      </c>
      <c r="L57" s="107">
        <f>(GETPIVOTDATA("pernoctaciones",'[1]TTDD DATOS'!$B$49,"País","total","categoría","Total","tipología","total","zona","sur","municipio","total municipios","Años",IF([1]ACTUALIZACIÓN!$C$1="enero",[1]ACTUALIZACIÓN!$C$2-1,[1]ACTUALIZACIÓN!$C$2))/GETPIVOTDATA("Suma de turistas",'[1]TTDD DATOS'!$B$49,"País","Total","categoría","Total","tipología","Total","zona","sur","municipio","total municipios","Años",IF([1]ACTUALIZACIÓN!$C$1="enero",[1]ACTUALIZACIÓN!$C$2-1,[1]ACTUALIZACIÓN!$C$2)))-(GETPIVOTDATA("pernoctaciones",'[1]TTDD DATOS'!$B$49,"País","total","categoría","Total","tipología","total","zona","sur","municipio","total municipios","Años",IF([1]ACTUALIZACIÓN!$C$1="enero",[1]ACTUALIZACIÓN!$C$2-2,[1]ACTUALIZACIÓN!$C$2-1))/GETPIVOTDATA("Suma de turistas",'[1]TTDD DATOS'!$B$49,"País","Total","categoría","Total","tipología","Total","zona","sur","municipio","total municipios","Años",IF([1]ACTUALIZACIÓN!$C$1="enero",[1]ACTUALIZACIÓN!$C$2-2,[1]ACTUALIZACIÓN!$C$2-1)))</f>
        <v>2.2227219860715612</v>
      </c>
      <c r="M57" s="39"/>
    </row>
    <row r="58" spans="3:13" ht="24.75" customHeight="1" x14ac:dyDescent="0.2">
      <c r="C58" s="91"/>
      <c r="D58" s="92"/>
      <c r="E58" s="93" t="s">
        <v>10</v>
      </c>
      <c r="F58" s="121">
        <f>GETPIVOTDATA("Suma de pernoctaciones",'[1]TTDD DATOS'!$B$6,"País","Total","categoría","Total","tipología","hotelera","zona","sur","municipio","total municipios","Años",[1]ACTUALIZACIÓN!$C$2)/GETPIVOTDATA("Suma de turistas",'[1]TTDD DATOS'!$B$6,"País","Total","categoría","Total","tipología","hotelera","zona","sur","municipio","total municipios","Años",[1]ACTUALIZACIÓN!$C$2)</f>
        <v>7.0406882600819722</v>
      </c>
      <c r="G58" s="109">
        <f>(GETPIVOTDATA("Suma de pernoctaciones",'[1]TTDD DATOS'!$B$6,"País","Total","categoría","Total","tipología","hotelera","zona","sur","municipio","total municipios","Años",[1]ACTUALIZACIÓN!$C$2)/GETPIVOTDATA("Suma de turistas",'[1]TTDD DATOS'!$B$6,"País","Total","categoría","Total","tipología","hotelera","zona","sur","municipio","total municipios","Años",[1]ACTUALIZACIÓN!$C$2))-(GETPIVOTDATA("Suma de pernoctaciones",'[1]TTDD DATOS'!$B$6,"País","Total","categoría","Total","tipología","hotelera","zona","sur","municipio","total municipios","Años",[1]ACTUALIZACIÓN!$C$2-1)/GETPIVOTDATA("Suma de turistas",'[1]TTDD DATOS'!$B$6,"País","Total","categoría","Total","tipología","hotelera","zona","sur","municipio","total municipios","Años",[1]ACTUALIZACIÓN!$C$2-1))</f>
        <v>2.3367711498551103</v>
      </c>
      <c r="H58" s="58"/>
      <c r="I58" s="95"/>
      <c r="J58" s="93" t="s">
        <v>10</v>
      </c>
      <c r="K58" s="121">
        <f>(GETPIVOTDATA("pernoctaciones",'[1]TTDD DATOS'!$B$49,"País","total","categoría","Total","tipología","hotelera","zona","sur","municipio","total municipios","Años",IF([1]ACTUALIZACIÓN!$C$1="enero",[1]ACTUALIZACIÓN!$C$2-1,[1]ACTUALIZACIÓN!$C$2))/GETPIVOTDATA("Suma de turistas",'[1]TTDD DATOS'!$B$49,"País","Total","categoría","Total","tipología","hotelera","zona","sur","municipio","total municipios","Años",IF([1]ACTUALIZACIÓN!$C$1="enero",[1]ACTUALIZACIÓN!$C$2-1,[1]ACTUALIZACIÓN!$C$2)))</f>
        <v>6.906343861588474</v>
      </c>
      <c r="L58" s="110">
        <f>(GETPIVOTDATA("pernoctaciones",'[1]TTDD DATOS'!$B$49,"País","total","categoría","Total","tipología","hotelera","zona","sur","municipio","total municipios","Años",IF([1]ACTUALIZACIÓN!$C$1="enero",[1]ACTUALIZACIÓN!$C$2-1,[1]ACTUALIZACIÓN!$C$2))/GETPIVOTDATA("Suma de turistas",'[1]TTDD DATOS'!$B$49,"País","Total","categoría","Total","tipología","hotelera","zona","sur","municipio","total municipios","Años",IF([1]ACTUALIZACIÓN!$C$1="enero",[1]ACTUALIZACIÓN!$C$2-1,[1]ACTUALIZACIÓN!$C$2)))-(GETPIVOTDATA("pernoctaciones",'[1]TTDD DATOS'!$B$49,"País","total","categoría","Total","tipología","hotelera","zona","sur","municipio","total municipios","Años",IF([1]ACTUALIZACIÓN!$C$1="enero",[1]ACTUALIZACIÓN!$C$2-2,[1]ACTUALIZACIÓN!$C$2-1))/GETPIVOTDATA("Suma de turistas",'[1]TTDD DATOS'!$B$49,"País","Total","categoría","Total","tipología","hotelera","zona","sur","municipio","total municipios","Años",IF([1]ACTUALIZACIÓN!$C$1="enero",[1]ACTUALIZACIÓN!$C$2-2,[1]ACTUALIZACIÓN!$C$2-1)))</f>
        <v>2.1221641126836097</v>
      </c>
      <c r="M58" s="39"/>
    </row>
    <row r="59" spans="3:13" ht="24.75" customHeight="1" thickBot="1" x14ac:dyDescent="0.25">
      <c r="C59" s="122"/>
      <c r="D59" s="123"/>
      <c r="E59" s="124" t="s">
        <v>11</v>
      </c>
      <c r="F59" s="125">
        <f>GETPIVOTDATA("Suma de pernoctaciones",'[1]TTDD DATOS'!$B$6,"País","Total","categoría","Total","tipología","extrahotelera","zona","sur","municipio","total municipios","Años",[1]ACTUALIZACIÓN!$C$2)/GETPIVOTDATA("Suma de turistas",'[1]TTDD DATOS'!$B$6,"País","Total","categoría","Total","tipología","extrahotelera","zona","sur","municipio","total municipios","Años",[1]ACTUALIZACIÓN!$C$2)</f>
        <v>7.6211947288672572</v>
      </c>
      <c r="G59" s="126">
        <f>(GETPIVOTDATA("Suma de pernoctaciones",'[1]TTDD DATOS'!$B$6,"País","Total","categoría","Total","tipología","extrahotelera","zona","sur","municipio","total municipios","Años",[1]ACTUALIZACIÓN!$C$2)/GETPIVOTDATA("Suma de turistas",'[1]TTDD DATOS'!$B$6,"País","Total","categoría","Total","tipología","extrahotelera","zona","sur","municipio","total municipios","Años",[1]ACTUALIZACIÓN!$C$2))-(GETPIVOTDATA("Suma de pernoctaciones",'[1]TTDD DATOS'!$B$6,"País","Total","categoría","Total","tipología","extrahotelera","zona","sur","municipio","total municipios","Años",[1]ACTUALIZACIÓN!$C$2-1)/GETPIVOTDATA("Suma de turistas",'[1]TTDD DATOS'!$B$6,"País","Total","categoría","Total","tipología","extrahotelera","zona","sur","municipio","total municipios","Años",[1]ACTUALIZACIÓN!$C$2-1))</f>
        <v>2.7048406138010908</v>
      </c>
      <c r="H59" s="127"/>
      <c r="I59" s="128"/>
      <c r="J59" s="124" t="s">
        <v>11</v>
      </c>
      <c r="K59" s="125">
        <f>(GETPIVOTDATA("pernoctaciones",'[1]TTDD DATOS'!$B$49,"País","total","categoría","Total","tipología","extrahotelera","zona","sur","municipio","total municipios","Años",IF([1]ACTUALIZACIÓN!$C$1="enero",[1]ACTUALIZACIÓN!$C$2-1,[1]ACTUALIZACIÓN!$C$2))/GETPIVOTDATA("Suma de turistas",'[1]TTDD DATOS'!$B$49,"País","Total","categoría","Total","tipología","extrahotelera","zona","sur","municipio","total municipios","Años",IF([1]ACTUALIZACIÓN!$C$1="enero",[1]ACTUALIZACIÓN!$C$2-1,[1]ACTUALIZACIÓN!$C$2)))</f>
        <v>8.0964800936632404</v>
      </c>
      <c r="L59" s="129">
        <f>(GETPIVOTDATA("pernoctaciones",'[1]TTDD DATOS'!$B$49,"País","total","categoría","Total","tipología","extrahotelera","zona","sur","municipio","total municipios","Años",IF([1]ACTUALIZACIÓN!$C$1="enero",[1]ACTUALIZACIÓN!$C$2-1,[1]ACTUALIZACIÓN!$C$2))/GETPIVOTDATA("Suma de turistas",'[1]TTDD DATOS'!$B$49,"País","Total","categoría","Total","tipología","extrahotelera","zona","sur","municipio","total municipios","Años",IF([1]ACTUALIZACIÓN!$C$1="enero",[1]ACTUALIZACIÓN!$C$2-1,[1]ACTUALIZACIÓN!$C$2)))-(GETPIVOTDATA("pernoctaciones",'[1]TTDD DATOS'!$B$49,"País","total","categoría","Total","tipología","extrahotelera","zona","sur","municipio","total municipios","Años",IF([1]ACTUALIZACIÓN!$C$1="enero",[1]ACTUALIZACIÓN!$C$2-2,[1]ACTUALIZACIÓN!$C$2-1))/GETPIVOTDATA("Suma de turistas",'[1]TTDD DATOS'!$B$49,"País","Total","categoría","Total","tipología","extrahotelera","zona","sur","municipio","total municipios","Años",IF([1]ACTUALIZACIÓN!$C$1="enero",[1]ACTUALIZACIÓN!$C$2-2,[1]ACTUALIZACIÓN!$C$2-1)))</f>
        <v>2.6282789342263957</v>
      </c>
      <c r="M59" s="130"/>
    </row>
    <row r="60" spans="3:13" ht="13.5" thickBot="1" x14ac:dyDescent="0.25">
      <c r="C60" s="131"/>
      <c r="D60" s="132"/>
      <c r="E60" s="132"/>
      <c r="F60" s="132"/>
      <c r="G60" s="132"/>
      <c r="H60" s="132"/>
      <c r="I60" s="132"/>
      <c r="J60" s="132"/>
      <c r="K60" s="132"/>
      <c r="L60" s="132"/>
      <c r="M60" s="133"/>
    </row>
    <row r="61" spans="3:13" ht="50.25" customHeight="1" thickBot="1" x14ac:dyDescent="0.25">
      <c r="C61" s="134"/>
      <c r="D61" s="134"/>
      <c r="E61" s="135" t="str">
        <f>CONCATENATE("INDICADORES TURÍSTICOS DE TENERIFE ",[1]ACTUALIZACIÓN!C3 )</f>
        <v>INDICADORES TURÍSTICOS DE TENERIFE definitivo</v>
      </c>
      <c r="F61" s="135"/>
      <c r="G61" s="135"/>
      <c r="H61" s="135"/>
      <c r="I61" s="135"/>
      <c r="J61" s="135"/>
      <c r="K61" s="135"/>
      <c r="L61" s="134"/>
      <c r="M61" s="134"/>
    </row>
    <row r="62" spans="3:13" ht="15" customHeight="1" x14ac:dyDescent="0.2">
      <c r="C62" s="4" t="str">
        <f>CONCATENATE([1]ACTUALIZACIÓN!$C$1," ",[1]ACTUALIZACIÓN!$C$2)</f>
        <v>marzo 2022</v>
      </c>
      <c r="D62" s="4"/>
      <c r="E62" s="4"/>
      <c r="F62" s="4"/>
      <c r="G62" s="4"/>
      <c r="H62" s="5"/>
      <c r="I62" s="6" t="str">
        <f>I2</f>
        <v>acumulado marzo 2022</v>
      </c>
      <c r="J62" s="6"/>
      <c r="K62" s="6"/>
      <c r="L62" s="6"/>
      <c r="M62" s="6"/>
    </row>
    <row r="63" spans="3:13" ht="16.5" customHeight="1" thickBot="1" x14ac:dyDescent="0.25">
      <c r="C63" s="7"/>
      <c r="D63" s="7"/>
      <c r="E63" s="7"/>
      <c r="F63" s="7"/>
      <c r="G63" s="7"/>
      <c r="H63" s="8"/>
      <c r="I63" s="9"/>
      <c r="J63" s="9"/>
      <c r="K63" s="9"/>
      <c r="L63" s="9"/>
      <c r="M63" s="9"/>
    </row>
    <row r="64" spans="3:13" ht="81.75" customHeight="1" x14ac:dyDescent="0.2">
      <c r="C64" s="136" t="str">
        <f t="shared" ref="C64:G64" si="0">C5</f>
        <v>Ámbito</v>
      </c>
      <c r="D64" s="137"/>
      <c r="E64" s="19" t="str">
        <f t="shared" si="0"/>
        <v>Variable</v>
      </c>
      <c r="F64" s="19" t="str">
        <f t="shared" si="0"/>
        <v>Valor absoluto
mensual</v>
      </c>
      <c r="G64" s="19" t="str">
        <f t="shared" si="0"/>
        <v>Variación respecto al año anterior</v>
      </c>
      <c r="H64" s="21"/>
      <c r="I64" s="19" t="str">
        <f>I5</f>
        <v>Ámbito</v>
      </c>
      <c r="J64" s="19" t="str">
        <f t="shared" ref="J64:M64" si="1">J5</f>
        <v>Variable</v>
      </c>
      <c r="K64" s="19" t="str">
        <f t="shared" si="1"/>
        <v>Valor absoluto
acumulado</v>
      </c>
      <c r="L64" s="19" t="str">
        <f t="shared" si="1"/>
        <v>Variación respecto al año anterior</v>
      </c>
      <c r="M64" s="20" t="str">
        <f t="shared" si="1"/>
        <v>Fuente</v>
      </c>
    </row>
    <row r="65" spans="3:13" ht="5.25" customHeight="1" thickBot="1" x14ac:dyDescent="0.25"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</row>
    <row r="66" spans="3:13" ht="20.100000000000001" customHeight="1" thickBot="1" x14ac:dyDescent="0.25">
      <c r="C66" s="24" t="s">
        <v>18</v>
      </c>
      <c r="D66" s="25"/>
      <c r="E66" s="25"/>
      <c r="F66" s="25"/>
      <c r="G66" s="25"/>
      <c r="H66" s="25"/>
      <c r="I66" s="25"/>
      <c r="J66" s="25"/>
      <c r="K66" s="25"/>
      <c r="L66" s="25"/>
      <c r="M66" s="26"/>
    </row>
    <row r="67" spans="3:13" ht="5.25" customHeight="1" thickBot="1" x14ac:dyDescent="0.25"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102"/>
    </row>
    <row r="68" spans="3:13" ht="24.75" customHeight="1" x14ac:dyDescent="0.2">
      <c r="C68" s="103" t="s">
        <v>7</v>
      </c>
      <c r="D68" s="104"/>
      <c r="E68" s="36" t="s">
        <v>8</v>
      </c>
      <c r="F68" s="138">
        <f>GETPIVOTDATA("Suma de pernoctaciones",'[1]TTDD DATOS'!$B$6,"País","Total","categoría","Total","tipología","Total","zona","tenerife","municipio","total municipios","Años",[1]ACTUALIZACIÓN!$C$2)/GETPIVOTDATA("Suma de dias x plazas",'[1]TTDD DATOS'!$B$6,"País","Total","categoría","Total","tipología","Total","zona","tenerife","municipio","total municipios","Años",[1]ACTUALIZACIÓN!$C$2)</f>
        <v>0.67541963056553034</v>
      </c>
      <c r="G68" s="57">
        <f>(GETPIVOTDATA("Suma de pernoctaciones",'[1]TTDD DATOS'!$B$6,"País","Total","categoría","Total","tipología","Total","zona","tenerife","municipio","total municipios","Años",[1]ACTUALIZACIÓN!$C$2)/GETPIVOTDATA("Suma de dias x plazas",'[1]TTDD DATOS'!$B$6,"País","Total","categoría","Total","tipología","Total","zona","tenerife","municipio","total municipios","Años",[1]ACTUALIZACIÓN!$C$2))/(GETPIVOTDATA("Suma de pernoctaciones",'[1]TTDD DATOS'!$B$6,"País","Total","categoría","Total","tipología","Total","zona","tenerife","municipio","total municipios","Años",[1]ACTUALIZACIÓN!$C$2-1)/GETPIVOTDATA("Suma de dias x plazas",'[1]TTDD DATOS'!$B$6,"País","Total","categoría","Total","tipología","Total","zona","tenerife","municipio","total municipios","Años",[1]ACTUALIZACIÓN!$C$2-1))-1</f>
        <v>1.8948644893564746</v>
      </c>
      <c r="H68" s="34"/>
      <c r="I68" s="35" t="s">
        <v>7</v>
      </c>
      <c r="J68" s="36" t="s">
        <v>8</v>
      </c>
      <c r="K68" s="138">
        <f>GETPIVOTDATA("Suma de pernoctaciones",'[1]TTDD DATOS'!$B$49,"País","Total","categoría","Total","tipología","Total","zona","Tenerife","municipio","total municipios","Años",IF([1]ACTUALIZACIÓN!$C$1="enero",[1]ACTUALIZACIÓN!$C$2-1,[1]ACTUALIZACIÓN!$C$2))/(IFERROR(GETPIVOTDATA("Suma de dias x plazas",'[1]TTDD DATOS'!$B$49,"País","Total","categoría","Total","tipología","Total","zona","Tenerife","Fecha","enero","municipio","total municipios","Años",IF([1]ACTUALIZACIÓN!$C$1="enero",[1]ACTUALIZACIÓN!$C$2-1,[1]ACTUALIZACIÓN!$C$2)),0)+IFERROR(GETPIVOTDATA("Suma de dias x plazas",'[1]TTDD DATOS'!$B$49,"País","Total","categoría","Total","tipología","Total","zona","Tenerife","Fecha","febrero","municipio","total municipios","Años",IF([1]ACTUALIZACIÓN!$C$1="enero",[1]ACTUALIZACIÓN!$C$2-1,[1]ACTUALIZACIÓN!$C$2)),0)+IFERROR(GETPIVOTDATA("Suma de dias x plazas",'[1]TTDD DATOS'!$B$49,"País","Total","categoría","Total","tipología","Total","zona","Tenerife","Fecha","marzo","municipio","total municipios","Años",IF([1]ACTUALIZACIÓN!$C$1="enero",[1]ACTUALIZACIÓN!$C$2-1,[1]ACTUALIZACIÓN!$C$2)),0)+IFERROR(GETPIVOTDATA("Suma de dias x plazas",'[1]TTDD DATOS'!$B$49,"País","Total","categoría","Total","tipología","Total","zona","Tenerife","Fecha","abril","municipio","total municipios","Años",IF([1]ACTUALIZACIÓN!$C$1="enero",[1]ACTUALIZACIÓN!$C$2-1,[1]ACTUALIZACIÓN!$C$2)),0)+IFERROR(GETPIVOTDATA("Suma de dias x plazas",'[1]TTDD DATOS'!$B$49,"País","Total","categoría","Total","tipología","Total","zona","Tenerife","Fecha","mayo","municipio","total municipios","Años",IF([1]ACTUALIZACIÓN!$C$1="enero",[1]ACTUALIZACIÓN!$C$2-1,[1]ACTUALIZACIÓN!$C$2)),0)+IFERROR(GETPIVOTDATA("Suma de dias x plazas",'[1]TTDD DATOS'!$B$49,"País","Total","categoría","Total","tipología","Total","zona","Tenerife","Fecha","junio","municipio","total municipios","Años",IF([1]ACTUALIZACIÓN!$C$1="enero",[1]ACTUALIZACIÓN!$C$2-1,[1]ACTUALIZACIÓN!$C$2)),0)+IFERROR(GETPIVOTDATA("Suma de dias x plazas",'[1]TTDD DATOS'!$B$49,"País","Total","categoría","Total","tipología","Total","zona","Tenerife","Fecha","julio","municipio","total municipios","Años",IF([1]ACTUALIZACIÓN!$C$1="enero",[1]ACTUALIZACIÓN!$C$2-1,[1]ACTUALIZACIÓN!$C$2)),0)+IFERROR(GETPIVOTDATA("Suma de dias x plazas",'[1]TTDD DATOS'!$B$49,"País","Total","categoría","Total","tipología","Total","zona","Tenerife","Fecha","agosto","municipio","total municipios","Años",IF([1]ACTUALIZACIÓN!$C$1="enero",[1]ACTUALIZACIÓN!$C$2-1,[1]ACTUALIZACIÓN!$C$2)),0)+IFERROR(GETPIVOTDATA("Suma de dias x plazas",'[1]TTDD DATOS'!$B$49,"País","Total","categoría","Total","tipología","Total","zona","Tenerife","Fecha","septiembre","municipio","total municipios","Años",IF([1]ACTUALIZACIÓN!$C$1="enero",[1]ACTUALIZACIÓN!$C$2-1,[1]ACTUALIZACIÓN!$C$2)),0)+IFERROR(GETPIVOTDATA("Suma de dias x plazas",'[1]TTDD DATOS'!$B$49,"País","Total","categoría","Total","tipología","Total","zona","Tenerife","Fecha","octubre","municipio","total municipios","Años",IF([1]ACTUALIZACIÓN!$C$1="enero",[1]ACTUALIZACIÓN!$C$2-1,[1]ACTUALIZACIÓN!$C$2)),0)+IFERROR(GETPIVOTDATA("Suma de dias x plazas",'[1]TTDD DATOS'!$B$49,"País","Total","categoría","Total","tipología","Total","zona","Tenerife","Fecha","noviembre","municipio","total municipios","Años",IF([1]ACTUALIZACIÓN!$C$1="enero",[1]ACTUALIZACIÓN!$C$2-1,[1]ACTUALIZACIÓN!$C$2)),0)+IFERROR(GETPIVOTDATA("Suma de dias x plazas",'[1]TTDD DATOS'!$B$49,"País","Total","categoría","Total","tipología","Total","zona","Tenerife","Fecha","diciembre","municipio","total municipios","Años",IF([1]ACTUALIZACIÓN!$C$1="enero",[1]ACTUALIZACIÓN!$C$2-1,[1]ACTUALIZACIÓN!$C$2)),0))</f>
        <v>0.61798848522151895</v>
      </c>
      <c r="L68" s="38">
        <f>(GETPIVOTDATA("Suma de pernoctaciones",'[1]TTDD DATOS'!$B$49,"País","Total","categoría","Total","tipología","Total","zona","Tenerife","municipio","total municipios","Años",IF([1]ACTUALIZACIÓN!$C$1="enero",[1]ACTUALIZACIÓN!$C$2-1,[1]ACTUALIZACIÓN!$C$2))/(IFERROR(GETPIVOTDATA("Suma de dias x plazas",'[1]TTDD DATOS'!$B$49,"País","Total","categoría","Total","tipología","Total","zona","Tenerife","Fecha","enero","municipio","total municipios","Años",IF([1]ACTUALIZACIÓN!$C$1="enero",[1]ACTUALIZACIÓN!$C$2-1,[1]ACTUALIZACIÓN!$C$2)),0)+IFERROR(GETPIVOTDATA("Suma de dias x plazas",'[1]TTDD DATOS'!$B$49,"País","Total","categoría","Total","tipología","Total","zona","Tenerife","Fecha","febrero","municipio","total municipios","Años",IF([1]ACTUALIZACIÓN!$C$1="enero",[1]ACTUALIZACIÓN!$C$2-1,[1]ACTUALIZACIÓN!$C$2)),0)+IFERROR(GETPIVOTDATA("Suma de dias x plazas",'[1]TTDD DATOS'!$B$49,"País","Total","categoría","Total","tipología","Total","zona","Tenerife","Fecha","marzo","municipio","total municipios","Años",IF([1]ACTUALIZACIÓN!$C$1="enero",[1]ACTUALIZACIÓN!$C$2-1,[1]ACTUALIZACIÓN!$C$2)),0)+IFERROR(GETPIVOTDATA("Suma de dias x plazas",'[1]TTDD DATOS'!$B$49,"País","Total","categoría","Total","tipología","Total","zona","Tenerife","Fecha","abril","municipio","total municipios","Años",IF([1]ACTUALIZACIÓN!$C$1="enero",[1]ACTUALIZACIÓN!$C$2-1,[1]ACTUALIZACIÓN!$C$2)),0)+IFERROR(GETPIVOTDATA("Suma de dias x plazas",'[1]TTDD DATOS'!$B$49,"País","Total","categoría","Total","tipología","Total","zona","Tenerife","Fecha","mayo","municipio","total municipios","Años",IF([1]ACTUALIZACIÓN!$C$1="enero",[1]ACTUALIZACIÓN!$C$2-1,[1]ACTUALIZACIÓN!$C$2)),0)+IFERROR(GETPIVOTDATA("Suma de dias x plazas",'[1]TTDD DATOS'!$B$49,"País","Total","categoría","Total","tipología","Total","zona","Tenerife","Fecha","junio","municipio","total municipios","Años",IF([1]ACTUALIZACIÓN!$C$1="enero",[1]ACTUALIZACIÓN!$C$2-1,[1]ACTUALIZACIÓN!$C$2)),0)+IFERROR(GETPIVOTDATA("Suma de dias x plazas",'[1]TTDD DATOS'!$B$49,"País","Total","categoría","Total","tipología","Total","zona","Tenerife","Fecha","julio","municipio","total municipios","Años",IF([1]ACTUALIZACIÓN!$C$1="enero",[1]ACTUALIZACIÓN!$C$2-1,[1]ACTUALIZACIÓN!$C$2)),0)+IFERROR(GETPIVOTDATA("Suma de dias x plazas",'[1]TTDD DATOS'!$B$49,"País","Total","categoría","Total","tipología","Total","zona","Tenerife","Fecha","agosto","municipio","total municipios","Años",IF([1]ACTUALIZACIÓN!$C$1="enero",[1]ACTUALIZACIÓN!$C$2-1,[1]ACTUALIZACIÓN!$C$2)),0)+IFERROR(GETPIVOTDATA("Suma de dias x plazas",'[1]TTDD DATOS'!$B$49,"País","Total","categoría","Total","tipología","Total","zona","Tenerife","Fecha","septiembre","municipio","total municipios","Años",IF([1]ACTUALIZACIÓN!$C$1="enero",[1]ACTUALIZACIÓN!$C$2-1,[1]ACTUALIZACIÓN!$C$2)),0)+IFERROR(GETPIVOTDATA("Suma de dias x plazas",'[1]TTDD DATOS'!$B$49,"País","Total","categoría","Total","tipología","Total","zona","Tenerife","Fecha","octubre","municipio","total municipios","Años",IF([1]ACTUALIZACIÓN!$C$1="enero",[1]ACTUALIZACIÓN!$C$2-1,[1]ACTUALIZACIÓN!$C$2)),0)+IFERROR(GETPIVOTDATA("Suma de dias x plazas",'[1]TTDD DATOS'!$B$49,"País","Total","categoría","Total","tipología","Total","zona","Tenerife","Fecha","noviembre","municipio","total municipios","Años",IF([1]ACTUALIZACIÓN!$C$1="enero",[1]ACTUALIZACIÓN!$C$2-1,[1]ACTUALIZACIÓN!$C$2)),0)+IFERROR(GETPIVOTDATA("Suma de dias x plazas",'[1]TTDD DATOS'!$B$49,"País","Total","categoría","Total","tipología","Total","zona","Tenerife","Fecha","diciembre","municipio","total municipios","Años",IF([1]ACTUALIZACIÓN!$C$1="enero",[1]ACTUALIZACIÓN!$C$2-1,[1]ACTUALIZACIÓN!$C$2)),0)))/(GETPIVOTDATA("Suma de pernoctaciones",'[1]TTDD DATOS'!$B$49,"País","Total","categoría","Total","tipología","Total","zona","Tenerife","municipio","total municipios","Años",IF([1]ACTUALIZACIÓN!$C$1="enero",[1]ACTUALIZACIÓN!$C$2-2,[1]ACTUALIZACIÓN!$C$2-1))/(IFERROR(GETPIVOTDATA("Suma de dias x plazas",'[1]TTDD DATOS'!$B$49,"País","Total","categoría","Total","tipología","Total","zona","Tenerife","Fecha","enero","municipio","total municipios","Años",IF([1]ACTUALIZACIÓN!$C$1="enero",[1]ACTUALIZACIÓN!$C$2-2,[1]ACTUALIZACIÓN!$C$2-1)),0)+IFERROR(GETPIVOTDATA("Suma de dias x plazas",'[1]TTDD DATOS'!$B$49,"País","Total","categoría","Total","tipología","Total","zona","Tenerife","Fecha","febrero","municipio","total municipios","Años",IF([1]ACTUALIZACIÓN!$C$1="enero",[1]ACTUALIZACIÓN!$C$2-2,[1]ACTUALIZACIÓN!$C$2-1)),0)+IFERROR(GETPIVOTDATA("Suma de dias x plazas",'[1]TTDD DATOS'!$B$49,"País","Total","categoría","Total","tipología","Total","zona","Tenerife","Fecha","marzo","municipio","total municipios","Años",IF([1]ACTUALIZACIÓN!$C$1="enero",[1]ACTUALIZACIÓN!$C$2-2,[1]ACTUALIZACIÓN!$C$2-1)),0)+IFERROR(GETPIVOTDATA("Suma de dias x plazas",'[1]TTDD DATOS'!$B$49,"País","Total","categoría","Total","tipología","Total","zona","Tenerife","Fecha","abril","municipio","total municipios","Años",IF([1]ACTUALIZACIÓN!$C$1="enero",[1]ACTUALIZACIÓN!$C$2-2,[1]ACTUALIZACIÓN!$C$2-1)),0)+IFERROR(GETPIVOTDATA("Suma de dias x plazas",'[1]TTDD DATOS'!$B$49,"País","Total","categoría","Total","tipología","Total","zona","Tenerife","Fecha","mayo","municipio","total municipios","Años",IF([1]ACTUALIZACIÓN!$C$1="enero",[1]ACTUALIZACIÓN!$C$2-2,[1]ACTUALIZACIÓN!$C$2-1)),0)+IFERROR(GETPIVOTDATA("Suma de dias x plazas",'[1]TTDD DATOS'!$B$49,"País","Total","categoría","Total","tipología","Total","zona","Tenerife","Fecha","junio","municipio","total municipios","Años",IF([1]ACTUALIZACIÓN!$C$1="enero",[1]ACTUALIZACIÓN!$C$2-2,[1]ACTUALIZACIÓN!$C$2-1)),0)+IFERROR(GETPIVOTDATA("Suma de dias x plazas",'[1]TTDD DATOS'!$B$49,"País","Total","categoría","Total","tipología","Total","zona","Tenerife","Fecha","julio","municipio","total municipios","Años",IF([1]ACTUALIZACIÓN!$C$1="enero",[1]ACTUALIZACIÓN!$C$2-2,[1]ACTUALIZACIÓN!$C$2-1)),0)+IFERROR(GETPIVOTDATA("Suma de dias x plazas",'[1]TTDD DATOS'!$B$49,"País","Total","categoría","Total","tipología","Total","zona","Tenerife","Fecha","agosto","municipio","total municipios","Años",IF([1]ACTUALIZACIÓN!$C$1="enero",[1]ACTUALIZACIÓN!$C$2-2,[1]ACTUALIZACIÓN!$C$2-1)),0)+IFERROR(GETPIVOTDATA("Suma de dias x plazas",'[1]TTDD DATOS'!$B$49,"País","Total","categoría","Total","tipología","Total","zona","Tenerife","Fecha","septiembre","municipio","total municipios","Años",IF([1]ACTUALIZACIÓN!$C$1="enero",[1]ACTUALIZACIÓN!$C$2-2,[1]ACTUALIZACIÓN!$C$2-1)),0)+IFERROR(GETPIVOTDATA("Suma de dias x plazas",'[1]TTDD DATOS'!$B$49,"País","Total","categoría","Total","tipología","Total","zona","Tenerife","Fecha","octubre","municipio","total municipios","Años",IF([1]ACTUALIZACIÓN!$C$1="enero",[1]ACTUALIZACIÓN!$C$2-2,[1]ACTUALIZACIÓN!$C$2-1)),0)+IFERROR(GETPIVOTDATA("Suma de dias x plazas",'[1]TTDD DATOS'!$B$49,"País","Total","categoría","Total","tipología","Total","zona","Tenerife","Fecha","noviembre","municipio","total municipios","Años",IF([1]ACTUALIZACIÓN!$C$1="enero",[1]ACTUALIZACIÓN!$C$2-2,[1]ACTUALIZACIÓN!$C$2-1)),0)+IFERROR(GETPIVOTDATA("Suma de dias x plazas",'[1]TTDD DATOS'!$B$49,"País","Total","categoría","Total","tipología","Total","zona","Tenerife","Fecha","diciembre","municipio","total municipios","Años",IF([1]ACTUALIZACIÓN!$C$1="enero",[1]ACTUALIZACIÓN!$C$2-2,[1]ACTUALIZACIÓN!$C$2-1)),0)))-1</f>
        <v>2.1908757671618821</v>
      </c>
      <c r="M68" s="39" t="s">
        <v>9</v>
      </c>
    </row>
    <row r="69" spans="3:13" ht="24.75" customHeight="1" x14ac:dyDescent="0.2">
      <c r="C69" s="29"/>
      <c r="D69" s="30"/>
      <c r="E69" s="40" t="s">
        <v>10</v>
      </c>
      <c r="F69" s="139">
        <f>GETPIVOTDATA("Suma de pernoctaciones",'[1]TTDD DATOS'!$B$6,"País","Total","categoría","Total","tipología","hotelera","zona","tenerife","municipio","total municipios","Años",[1]ACTUALIZACIÓN!$C$2)/GETPIVOTDATA("Suma de dias x plazas",'[1]TTDD DATOS'!$B$6,"País","Total","categoría","Total","tipología","hotelera","zona","tenerife","municipio","total municipios","Años",[1]ACTUALIZACIÓN!$C$2)</f>
        <v>0.72971254026693977</v>
      </c>
      <c r="G69" s="42">
        <f>(GETPIVOTDATA("Suma de pernoctaciones",'[1]TTDD DATOS'!$B$6,"País","Total","categoría","Total","tipología","hotelera","zona","tenerife","municipio","total municipios","Años",[1]ACTUALIZACIÓN!$C$2)/GETPIVOTDATA("Suma de dias x plazas",'[1]TTDD DATOS'!$B$6,"País","Total","categoría","Total","tipología","hotelera","zona","tenerife","municipio","total municipios","Años",[1]ACTUALIZACIÓN!$C$2))/(GETPIVOTDATA("Suma de pernoctaciones",'[1]TTDD DATOS'!$B$6,"País","Total","categoría","Total","tipología","hotelera","zona","tenerife","municipio","total municipios","Años",[1]ACTUALIZACIÓN!$C$2-1)/GETPIVOTDATA("Suma de dias x plazas",'[1]TTDD DATOS'!$B$6,"País","Total","categoría","Total","tipología","hotelera","zona","tenerife","municipio","total municipios","Años",[1]ACTUALIZACIÓN!$C$2-1))-1</f>
        <v>1.3942770554681605</v>
      </c>
      <c r="H69" s="43"/>
      <c r="I69" s="44"/>
      <c r="J69" s="40" t="s">
        <v>10</v>
      </c>
      <c r="K69" s="139">
        <f>GETPIVOTDATA("Suma de pernoctaciones",'[1]TTDD DATOS'!$B$49,"País","Total","categoría","Total","tipología","hotelera","zona","Tenerife","municipio","total municipios","Años",IF([1]ACTUALIZACIÓN!$C$1="enero",[1]ACTUALIZACIÓN!$C$2-1,[1]ACTUALIZACIÓN!$C$2))/(IFERROR(GETPIVOTDATA("Suma de dias x plazas",'[1]TTDD DATOS'!$B$49,"País","Total","categoría","Total","tipología","hotelera","zona","Tenerife","Fecha","enero","municipio","total municipios","Años",IF([1]ACTUALIZACIÓN!$C$1="enero",[1]ACTUALIZACIÓN!$C$2-1,[1]ACTUALIZACIÓN!$C$2)),0)+IFERROR(GETPIVOTDATA("Suma de dias x plazas",'[1]TTDD DATOS'!$B$49,"País","Total","categoría","Total","tipología","hotelera","zona","Tenerife","Fecha","febrero","municipio","total municipios","Años",IF([1]ACTUALIZACIÓN!$C$1="enero",[1]ACTUALIZACIÓN!$C$2-1,[1]ACTUALIZACIÓN!$C$2)),0)+IFERROR(GETPIVOTDATA("Suma de dias x plazas",'[1]TTDD DATOS'!$B$49,"País","Total","categoría","Total","tipología","hotelera","zona","Tenerife","Fecha","marzo","municipio","total municipios","Años",IF([1]ACTUALIZACIÓN!$C$1="enero",[1]ACTUALIZACIÓN!$C$2-1,[1]ACTUALIZACIÓN!$C$2)),0)+IFERROR(GETPIVOTDATA("Suma de dias x plazas",'[1]TTDD DATOS'!$B$49,"País","Total","categoría","Total","tipología","hotelera","zona","Tenerife","Fecha","abril","municipio","total municipios","Años",IF([1]ACTUALIZACIÓN!$C$1="enero",[1]ACTUALIZACIÓN!$C$2-1,[1]ACTUALIZACIÓN!$C$2)),0)+IFERROR(GETPIVOTDATA("Suma de dias x plazas",'[1]TTDD DATOS'!$B$49,"País","Total","categoría","Total","tipología","hotelera","zona","Tenerife","Fecha","mayo","municipio","total municipios","Años",IF([1]ACTUALIZACIÓN!$C$1="enero",[1]ACTUALIZACIÓN!$C$2-1,[1]ACTUALIZACIÓN!$C$2)),0)+IFERROR(GETPIVOTDATA("Suma de dias x plazas",'[1]TTDD DATOS'!$B$49,"País","Total","categoría","Total","tipología","hotelera","zona","Tenerife","Fecha","junio","municipio","total municipios","Años",IF([1]ACTUALIZACIÓN!$C$1="enero",[1]ACTUALIZACIÓN!$C$2-1,[1]ACTUALIZACIÓN!$C$2)),0)+IFERROR(GETPIVOTDATA("Suma de dias x plazas",'[1]TTDD DATOS'!$B$49,"País","Total","categoría","Total","tipología","hotelera","zona","Tenerife","Fecha","julio","municipio","total municipios","Años",IF([1]ACTUALIZACIÓN!$C$1="enero",[1]ACTUALIZACIÓN!$C$2-1,[1]ACTUALIZACIÓN!$C$2)),0)+IFERROR(GETPIVOTDATA("Suma de dias x plazas",'[1]TTDD DATOS'!$B$49,"País","Total","categoría","Total","tipología","hotelera","zona","Tenerife","Fecha","agosto","municipio","total municipios","Años",IF([1]ACTUALIZACIÓN!$C$1="enero",[1]ACTUALIZACIÓN!$C$2-1,[1]ACTUALIZACIÓN!$C$2)),0)+IFERROR(GETPIVOTDATA("Suma de dias x plazas",'[1]TTDD DATOS'!$B$49,"País","Total","categoría","Total","tipología","hotelera","zona","Tenerife","Fecha","septiembre","municipio","total municipios","Años",IF([1]ACTUALIZACIÓN!$C$1="enero",[1]ACTUALIZACIÓN!$C$2-1,[1]ACTUALIZACIÓN!$C$2)),0)+IFERROR(GETPIVOTDATA("Suma de dias x plazas",'[1]TTDD DATOS'!$B$49,"País","Total","categoría","Total","tipología","hotelera","zona","Tenerife","Fecha","octubre","municipio","total municipios","Años",IF([1]ACTUALIZACIÓN!$C$1="enero",[1]ACTUALIZACIÓN!$C$2-1,[1]ACTUALIZACIÓN!$C$2)),0)+IFERROR(GETPIVOTDATA("Suma de dias x plazas",'[1]TTDD DATOS'!$B$49,"País","Total","categoría","Total","tipología","hotelera","zona","Tenerife","Fecha","noviembre","municipio","total municipios","Años",IF([1]ACTUALIZACIÓN!$C$1="enero",[1]ACTUALIZACIÓN!$C$2-1,[1]ACTUALIZACIÓN!$C$2)),0)+IFERROR(GETPIVOTDATA("Suma de dias x plazas",'[1]TTDD DATOS'!$B$49,"País","Total","categoría","Total","tipología","hotelera","zona","Tenerife","Fecha","diciembre","municipio","total municipios","Años",IF([1]ACTUALIZACIÓN!$C$1="enero",[1]ACTUALIZACIÓN!$C$2-1,[1]ACTUALIZACIÓN!$C$2)),0))</f>
        <v>0.65534979795490289</v>
      </c>
      <c r="L69" s="45">
        <f>(GETPIVOTDATA("Suma de pernoctaciones",'[1]TTDD DATOS'!$B$49,"País","Total","categoría","Total","tipología","hotelera","zona","Tenerife","municipio","total municipios","Años",IF([1]ACTUALIZACIÓN!$C$1="enero",[1]ACTUALIZACIÓN!$C$2-1,[1]ACTUALIZACIÓN!$C$2))/(IFERROR(GETPIVOTDATA("Suma de dias x plazas",'[1]TTDD DATOS'!$B$49,"País","Total","categoría","Total","tipología","hotelera","zona","Tenerife","Fecha","enero","municipio","total municipios","Años",IF([1]ACTUALIZACIÓN!$C$1="enero",[1]ACTUALIZACIÓN!$C$2-1,[1]ACTUALIZACIÓN!$C$2)),0)+IFERROR(GETPIVOTDATA("Suma de dias x plazas",'[1]TTDD DATOS'!$B$49,"País","Total","categoría","Total","tipología","hotelera","zona","Tenerife","Fecha","febrero","municipio","total municipios","Años",IF([1]ACTUALIZACIÓN!$C$1="enero",[1]ACTUALIZACIÓN!$C$2-1,[1]ACTUALIZACIÓN!$C$2)),0)+IFERROR(GETPIVOTDATA("Suma de dias x plazas",'[1]TTDD DATOS'!$B$49,"País","Total","categoría","Total","tipología","hotelera","zona","Tenerife","Fecha","marzo","municipio","total municipios","Años",IF([1]ACTUALIZACIÓN!$C$1="enero",[1]ACTUALIZACIÓN!$C$2-1,[1]ACTUALIZACIÓN!$C$2)),0)+IFERROR(GETPIVOTDATA("Suma de dias x plazas",'[1]TTDD DATOS'!$B$49,"País","Total","categoría","Total","tipología","hotelera","zona","Tenerife","Fecha","abril","municipio","total municipios","Años",IF([1]ACTUALIZACIÓN!$C$1="enero",[1]ACTUALIZACIÓN!$C$2-1,[1]ACTUALIZACIÓN!$C$2)),0)+IFERROR(GETPIVOTDATA("Suma de dias x plazas",'[1]TTDD DATOS'!$B$49,"País","Total","categoría","Total","tipología","hotelera","zona","Tenerife","Fecha","mayo","municipio","total municipios","Años",IF([1]ACTUALIZACIÓN!$C$1="enero",[1]ACTUALIZACIÓN!$C$2-1,[1]ACTUALIZACIÓN!$C$2)),0)+IFERROR(GETPIVOTDATA("Suma de dias x plazas",'[1]TTDD DATOS'!$B$49,"País","Total","categoría","Total","tipología","hotelera","zona","Tenerife","Fecha","junio","municipio","total municipios","Años",IF([1]ACTUALIZACIÓN!$C$1="enero",[1]ACTUALIZACIÓN!$C$2-1,[1]ACTUALIZACIÓN!$C$2)),0)+IFERROR(GETPIVOTDATA("Suma de dias x plazas",'[1]TTDD DATOS'!$B$49,"País","Total","categoría","Total","tipología","hotelera","zona","Tenerife","Fecha","julio","municipio","total municipios","Años",IF([1]ACTUALIZACIÓN!$C$1="enero",[1]ACTUALIZACIÓN!$C$2-1,[1]ACTUALIZACIÓN!$C$2)),0)+IFERROR(GETPIVOTDATA("Suma de dias x plazas",'[1]TTDD DATOS'!$B$49,"País","Total","categoría","Total","tipología","hotelera","zona","Tenerife","Fecha","agosto","municipio","total municipios","Años",IF([1]ACTUALIZACIÓN!$C$1="enero",[1]ACTUALIZACIÓN!$C$2-1,[1]ACTUALIZACIÓN!$C$2)),0)+IFERROR(GETPIVOTDATA("Suma de dias x plazas",'[1]TTDD DATOS'!$B$49,"País","Total","categoría","Total","tipología","hotelera","zona","Tenerife","Fecha","septiembre","municipio","total municipios","Años",IF([1]ACTUALIZACIÓN!$C$1="enero",[1]ACTUALIZACIÓN!$C$2-1,[1]ACTUALIZACIÓN!$C$2)),0)+IFERROR(GETPIVOTDATA("Suma de dias x plazas",'[1]TTDD DATOS'!$B$49,"País","Total","categoría","Total","tipología","hotelera","zona","Tenerife","Fecha","octubre","municipio","total municipios","Años",IF([1]ACTUALIZACIÓN!$C$1="enero",[1]ACTUALIZACIÓN!$C$2-1,[1]ACTUALIZACIÓN!$C$2)),0)+IFERROR(GETPIVOTDATA("Suma de dias x plazas",'[1]TTDD DATOS'!$B$49,"País","Total","categoría","Total","tipología","hotelera","zona","Tenerife","Fecha","noviembre","municipio","total municipios","Años",IF([1]ACTUALIZACIÓN!$C$1="enero",[1]ACTUALIZACIÓN!$C$2-1,[1]ACTUALIZACIÓN!$C$2)),0)+IFERROR(GETPIVOTDATA("Suma de dias x plazas",'[1]TTDD DATOS'!$B$49,"País","Total","categoría","Total","tipología","hotelera","zona","Tenerife","Fecha","diciembre","municipio","total municipios","Años",IF([1]ACTUALIZACIÓN!$C$1="enero",[1]ACTUALIZACIÓN!$C$2-1,[1]ACTUALIZACIÓN!$C$2)),0)))/(GETPIVOTDATA("Suma de pernoctaciones",'[1]TTDD DATOS'!$B$49,"País","Total","categoría","Total","tipología","hotelera","zona","Tenerife","municipio","total municipios","Años",IF([1]ACTUALIZACIÓN!$C$1="enero",[1]ACTUALIZACIÓN!$C$2-2,[1]ACTUALIZACIÓN!$C$2-1))/(IFERROR(GETPIVOTDATA("Suma de dias x plazas",'[1]TTDD DATOS'!$B$49,"País","Total","categoría","Total","tipología","hotelera","zona","Tenerife","Fecha","enero","municipio","total municipios","Años",IF([1]ACTUALIZACIÓN!$C$1="enero",[1]ACTUALIZACIÓN!$C$2-2,[1]ACTUALIZACIÓN!$C$2-1)),0)+IFERROR(GETPIVOTDATA("Suma de dias x plazas",'[1]TTDD DATOS'!$B$49,"País","Total","categoría","Total","tipología","hotelera","zona","Tenerife","Fecha","febrero","municipio","total municipios","Años",IF([1]ACTUALIZACIÓN!$C$1="enero",[1]ACTUALIZACIÓN!$C$2-2,[1]ACTUALIZACIÓN!$C$2-1)),0)+IFERROR(GETPIVOTDATA("Suma de dias x plazas",'[1]TTDD DATOS'!$B$49,"País","Total","categoría","Total","tipología","hotelera","zona","Tenerife","Fecha","marzo","municipio","total municipios","Años",IF([1]ACTUALIZACIÓN!$C$1="enero",[1]ACTUALIZACIÓN!$C$2-2,[1]ACTUALIZACIÓN!$C$2-1)),0)+IFERROR(GETPIVOTDATA("Suma de dias x plazas",'[1]TTDD DATOS'!$B$49,"País","Total","categoría","Total","tipología","hotelera","zona","Tenerife","Fecha","abril","municipio","total municipios","Años",IF([1]ACTUALIZACIÓN!$C$1="enero",[1]ACTUALIZACIÓN!$C$2-2,[1]ACTUALIZACIÓN!$C$2-1)),0)+IFERROR(GETPIVOTDATA("Suma de dias x plazas",'[1]TTDD DATOS'!$B$49,"País","Total","categoría","Total","tipología","hotelera","zona","Tenerife","Fecha","mayo","municipio","total municipios","Años",IF([1]ACTUALIZACIÓN!$C$1="enero",[1]ACTUALIZACIÓN!$C$2-2,[1]ACTUALIZACIÓN!$C$2-1)),0)+IFERROR(GETPIVOTDATA("Suma de dias x plazas",'[1]TTDD DATOS'!$B$49,"País","Total","categoría","Total","tipología","hotelera","zona","Tenerife","Fecha","junio","municipio","total municipios","Años",IF([1]ACTUALIZACIÓN!$C$1="enero",[1]ACTUALIZACIÓN!$C$2-2,[1]ACTUALIZACIÓN!$C$2-1)),0)+IFERROR(GETPIVOTDATA("Suma de dias x plazas",'[1]TTDD DATOS'!$B$49,"País","Total","categoría","Total","tipología","hotelera","zona","Tenerife","Fecha","julio","municipio","total municipios","Años",IF([1]ACTUALIZACIÓN!$C$1="enero",[1]ACTUALIZACIÓN!$C$2-2,[1]ACTUALIZACIÓN!$C$2-1)),0)+IFERROR(GETPIVOTDATA("Suma de dias x plazas",'[1]TTDD DATOS'!$B$49,"País","Total","categoría","Total","tipología","hotelera","zona","Tenerife","Fecha","agosto","municipio","total municipios","Años",IF([1]ACTUALIZACIÓN!$C$1="enero",[1]ACTUALIZACIÓN!$C$2-2,[1]ACTUALIZACIÓN!$C$2-1)),0)+IFERROR(GETPIVOTDATA("Suma de dias x plazas",'[1]TTDD DATOS'!$B$49,"País","Total","categoría","Total","tipología","hotelera","zona","Tenerife","Fecha","septiembre","municipio","total municipios","Años",IF([1]ACTUALIZACIÓN!$C$1="enero",[1]ACTUALIZACIÓN!$C$2-2,[1]ACTUALIZACIÓN!$C$2-1)),0)+IFERROR(GETPIVOTDATA("Suma de dias x plazas",'[1]TTDD DATOS'!$B$49,"País","Total","categoría","Total","tipología","hotelera","zona","Tenerife","Fecha","octubre","municipio","total municipios","Años",IF([1]ACTUALIZACIÓN!$C$1="enero",[1]ACTUALIZACIÓN!$C$2-2,[1]ACTUALIZACIÓN!$C$2-1)),0)+IFERROR(GETPIVOTDATA("Suma de dias x plazas",'[1]TTDD DATOS'!$B$49,"País","Total","categoría","Total","tipología","hotelera","zona","Tenerife","Fecha","noviembre","municipio","total municipios","Años",IF([1]ACTUALIZACIÓN!$C$1="enero",[1]ACTUALIZACIÓN!$C$2-2,[1]ACTUALIZACIÓN!$C$2-1)),0)+IFERROR(GETPIVOTDATA("Suma de dias x plazas",'[1]TTDD DATOS'!$B$49,"País","Total","categoría","Total","tipología","hotelera","zona","Tenerife","Fecha","diciembre","municipio","total municipios","Años",IF([1]ACTUALIZACIÓN!$C$1="enero",[1]ACTUALIZACIÓN!$C$2-2,[1]ACTUALIZACIÓN!$C$2-1)),0)))-1</f>
        <v>1.7541972120259692</v>
      </c>
      <c r="M69" s="39"/>
    </row>
    <row r="70" spans="3:13" ht="24.75" customHeight="1" thickBot="1" x14ac:dyDescent="0.25">
      <c r="C70" s="46"/>
      <c r="D70" s="47"/>
      <c r="E70" s="50" t="s">
        <v>11</v>
      </c>
      <c r="F70" s="140">
        <f>GETPIVOTDATA("Suma de pernoctaciones",'[1]TTDD DATOS'!$B$6,"País","Total","categoría","Total","tipología","extrahotelera","zona","tenerife","municipio","total municipios","Años",[1]ACTUALIZACIÓN!$C$2)/GETPIVOTDATA("Suma de dias x plazas",'[1]TTDD DATOS'!$B$6,"País","Total","categoría","Total","tipología","extrahotelera","zona","tenerife","municipio","total municipios","Años",[1]ACTUALIZACIÓN!$C$2)</f>
        <v>0.54688422679570647</v>
      </c>
      <c r="G70" s="69">
        <f>(GETPIVOTDATA("Suma de pernoctaciones",'[1]TTDD DATOS'!$B$6,"País","Total","categoría","Total","tipología","extrahotelera","zona","tenerife","municipio","total municipios","Años",[1]ACTUALIZACIÓN!$C$2)/GETPIVOTDATA("Suma de dias x plazas",'[1]TTDD DATOS'!$B$6,"País","Total","categoría","Total","tipología","extrahotelera","zona","tenerife","municipio","total municipios","Años",[1]ACTUALIZACIÓN!$C$2))/(GETPIVOTDATA("Suma de pernoctaciones",'[1]TTDD DATOS'!$B$6,"País","Total","categoría","Total","tipología","extrahotelera","zona","tenerife","municipio","total municipios","Años",[1]ACTUALIZACIÓN!$C$2-1)/GETPIVOTDATA("Suma de dias x plazas",'[1]TTDD DATOS'!$B$6,"País","Total","categoría","Total","tipología","extrahotelera","zona","tenerife","municipio","total municipios","Años",[1]ACTUALIZACIÓN!$C$2-1))-1</f>
        <v>2.7624727700928995</v>
      </c>
      <c r="H70" s="43"/>
      <c r="I70" s="49"/>
      <c r="J70" s="50" t="s">
        <v>11</v>
      </c>
      <c r="K70" s="140">
        <f>GETPIVOTDATA("Suma de pernoctaciones",'[1]TTDD DATOS'!$B$49,"País","Total","categoría","Total","tipología","extrahotelera","zona","Tenerife","municipio","total municipios","Años",IF([1]ACTUALIZACIÓN!$C$1="enero",[1]ACTUALIZACIÓN!$C$2-1,[1]ACTUALIZACIÓN!$C$2))/(IFERROR(GETPIVOTDATA("Suma de dias x plazas",'[1]TTDD DATOS'!$B$49,"País","Total","categoría","Total","tipología","extrahotelera","zona","Tenerife","Fecha","enero","municipio","total municipios","Años",IF([1]ACTUALIZACIÓN!$C$1="enero",[1]ACTUALIZACIÓN!$C$2-1,[1]ACTUALIZACIÓN!$C$2)),0)+IFERROR(GETPIVOTDATA("Suma de dias x plazas",'[1]TTDD DATOS'!$B$49,"País","Total","categoría","Total","tipología","extrahotelera","zona","Tenerife","Fecha","febrero","municipio","total municipios","Años",IF([1]ACTUALIZACIÓN!$C$1="enero",[1]ACTUALIZACIÓN!$C$2-1,[1]ACTUALIZACIÓN!$C$2)),0)+IFERROR(GETPIVOTDATA("Suma de dias x plazas",'[1]TTDD DATOS'!$B$49,"País","Total","categoría","Total","tipología","extrahotelera","zona","Tenerife","Fecha","marzo","municipio","total municipios","Años",IF([1]ACTUALIZACIÓN!$C$1="enero",[1]ACTUALIZACIÓN!$C$2-1,[1]ACTUALIZACIÓN!$C$2)),0)+IFERROR(GETPIVOTDATA("Suma de dias x plazas",'[1]TTDD DATOS'!$B$49,"País","Total","categoría","Total","tipología","extrahotelera","zona","Tenerife","Fecha","abril","municipio","total municipios","Años",IF([1]ACTUALIZACIÓN!$C$1="enero",[1]ACTUALIZACIÓN!$C$2-1,[1]ACTUALIZACIÓN!$C$2)),0)+IFERROR(GETPIVOTDATA("Suma de dias x plazas",'[1]TTDD DATOS'!$B$49,"País","Total","categoría","Total","tipología","extrahotelera","zona","Tenerife","Fecha","mayo","municipio","total municipios","Años",IF([1]ACTUALIZACIÓN!$C$1="enero",[1]ACTUALIZACIÓN!$C$2-1,[1]ACTUALIZACIÓN!$C$2)),0)+IFERROR(GETPIVOTDATA("Suma de dias x plazas",'[1]TTDD DATOS'!$B$49,"País","Total","categoría","Total","tipología","extrahotelera","zona","Tenerife","Fecha","junio","municipio","total municipios","Años",IF([1]ACTUALIZACIÓN!$C$1="enero",[1]ACTUALIZACIÓN!$C$2-1,[1]ACTUALIZACIÓN!$C$2)),0)+IFERROR(GETPIVOTDATA("Suma de dias x plazas",'[1]TTDD DATOS'!$B$49,"País","Total","categoría","Total","tipología","extrahotelera","zona","Tenerife","Fecha","julio","municipio","total municipios","Años",IF([1]ACTUALIZACIÓN!$C$1="enero",[1]ACTUALIZACIÓN!$C$2-1,[1]ACTUALIZACIÓN!$C$2)),0)+IFERROR(GETPIVOTDATA("Suma de dias x plazas",'[1]TTDD DATOS'!$B$49,"País","Total","categoría","Total","tipología","extrahotelera","zona","Tenerife","Fecha","agosto","municipio","total municipios","Años",IF([1]ACTUALIZACIÓN!$C$1="enero",[1]ACTUALIZACIÓN!$C$2-1,[1]ACTUALIZACIÓN!$C$2)),0)+IFERROR(GETPIVOTDATA("Suma de dias x plazas",'[1]TTDD DATOS'!$B$49,"País","Total","categoría","Total","tipología","extrahotelera","zona","Tenerife","Fecha","septiembre","municipio","total municipios","Años",IF([1]ACTUALIZACIÓN!$C$1="enero",[1]ACTUALIZACIÓN!$C$2-1,[1]ACTUALIZACIÓN!$C$2)),0)+IFERROR(GETPIVOTDATA("Suma de dias x plazas",'[1]TTDD DATOS'!$B$49,"País","Total","categoría","Total","tipología","extrahotelera","zona","Tenerife","Fecha","octubre","municipio","total municipios","Años",IF([1]ACTUALIZACIÓN!$C$1="enero",[1]ACTUALIZACIÓN!$C$2-1,[1]ACTUALIZACIÓN!$C$2)),0)+IFERROR(GETPIVOTDATA("Suma de dias x plazas",'[1]TTDD DATOS'!$B$49,"País","Total","categoría","Total","tipología","extrahotelera","zona","Tenerife","Fecha","noviembre","municipio","total municipios","Años",IF([1]ACTUALIZACIÓN!$C$1="enero",[1]ACTUALIZACIÓN!$C$2-1,[1]ACTUALIZACIÓN!$C$2)),0)+IFERROR(GETPIVOTDATA("Suma de dias x plazas",'[1]TTDD DATOS'!$B$49,"País","Total","categoría","Total","tipología","extrahotelera","zona","Tenerife","Fecha","diciembre","municipio","total municipios","Años",IF([1]ACTUALIZACIÓN!$C$1="enero",[1]ACTUALIZACIÓN!$C$2-1,[1]ACTUALIZACIÓN!$C$2)),0))</f>
        <v>0.53030072804960438</v>
      </c>
      <c r="L70" s="52">
        <f>(GETPIVOTDATA("Suma de pernoctaciones",'[1]TTDD DATOS'!$B$49,"País","Total","categoría","Total","tipología","extrahotelera","zona","Tenerife","municipio","total municipios","Años",IF([1]ACTUALIZACIÓN!$C$1="enero",[1]ACTUALIZACIÓN!$C$2-1,[1]ACTUALIZACIÓN!$C$2))/(IFERROR(GETPIVOTDATA("Suma de dias x plazas",'[1]TTDD DATOS'!$B$49,"País","Total","categoría","Total","tipología","extrahotelera","zona","Tenerife","Fecha","enero","municipio","total municipios","Años",IF([1]ACTUALIZACIÓN!$C$1="enero",[1]ACTUALIZACIÓN!$C$2-1,[1]ACTUALIZACIÓN!$C$2)),0)+IFERROR(GETPIVOTDATA("Suma de dias x plazas",'[1]TTDD DATOS'!$B$49,"País","Total","categoría","Total","tipología","extrahotelera","zona","Tenerife","Fecha","febrero","municipio","total municipios","Años",IF([1]ACTUALIZACIÓN!$C$1="enero",[1]ACTUALIZACIÓN!$C$2-1,[1]ACTUALIZACIÓN!$C$2)),0)+IFERROR(GETPIVOTDATA("Suma de dias x plazas",'[1]TTDD DATOS'!$B$49,"País","Total","categoría","Total","tipología","extrahotelera","zona","Tenerife","Fecha","marzo","municipio","total municipios","Años",IF([1]ACTUALIZACIÓN!$C$1="enero",[1]ACTUALIZACIÓN!$C$2-1,[1]ACTUALIZACIÓN!$C$2)),0)+IFERROR(GETPIVOTDATA("Suma de dias x plazas",'[1]TTDD DATOS'!$B$49,"País","Total","categoría","Total","tipología","extrahotelera","zona","Tenerife","Fecha","abril","municipio","total municipios","Años",IF([1]ACTUALIZACIÓN!$C$1="enero",[1]ACTUALIZACIÓN!$C$2-1,[1]ACTUALIZACIÓN!$C$2)),0)+IFERROR(GETPIVOTDATA("Suma de dias x plazas",'[1]TTDD DATOS'!$B$49,"País","Total","categoría","Total","tipología","extrahotelera","zona","Tenerife","Fecha","mayo","municipio","total municipios","Años",IF([1]ACTUALIZACIÓN!$C$1="enero",[1]ACTUALIZACIÓN!$C$2-1,[1]ACTUALIZACIÓN!$C$2)),0)+IFERROR(GETPIVOTDATA("Suma de dias x plazas",'[1]TTDD DATOS'!$B$49,"País","Total","categoría","Total","tipología","extrahotelera","zona","Tenerife","Fecha","junio","municipio","total municipios","Años",IF([1]ACTUALIZACIÓN!$C$1="enero",[1]ACTUALIZACIÓN!$C$2-1,[1]ACTUALIZACIÓN!$C$2)),0)+IFERROR(GETPIVOTDATA("Suma de dias x plazas",'[1]TTDD DATOS'!$B$49,"País","Total","categoría","Total","tipología","extrahotelera","zona","Tenerife","Fecha","julio","municipio","total municipios","Años",IF([1]ACTUALIZACIÓN!$C$1="enero",[1]ACTUALIZACIÓN!$C$2-1,[1]ACTUALIZACIÓN!$C$2)),0)+IFERROR(GETPIVOTDATA("Suma de dias x plazas",'[1]TTDD DATOS'!$B$49,"País","Total","categoría","Total","tipología","extrahotelera","zona","Tenerife","Fecha","agosto","municipio","total municipios","Años",IF([1]ACTUALIZACIÓN!$C$1="enero",[1]ACTUALIZACIÓN!$C$2-1,[1]ACTUALIZACIÓN!$C$2)),0)+IFERROR(GETPIVOTDATA("Suma de dias x plazas",'[1]TTDD DATOS'!$B$49,"País","Total","categoría","Total","tipología","extrahotelera","zona","Tenerife","Fecha","septiembre","municipio","total municipios","Años",IF([1]ACTUALIZACIÓN!$C$1="enero",[1]ACTUALIZACIÓN!$C$2-1,[1]ACTUALIZACIÓN!$C$2)),0)+IFERROR(GETPIVOTDATA("Suma de dias x plazas",'[1]TTDD DATOS'!$B$49,"País","Total","categoría","Total","tipología","extrahotelera","zona","Tenerife","Fecha","octubre","municipio","total municipios","Años",IF([1]ACTUALIZACIÓN!$C$1="enero",[1]ACTUALIZACIÓN!$C$2-1,[1]ACTUALIZACIÓN!$C$2)),0)+IFERROR(GETPIVOTDATA("Suma de dias x plazas",'[1]TTDD DATOS'!$B$49,"País","Total","categoría","Total","tipología","extrahotelera","zona","Tenerife","Fecha","noviembre","municipio","total municipios","Años",IF([1]ACTUALIZACIÓN!$C$1="enero",[1]ACTUALIZACIÓN!$C$2-1,[1]ACTUALIZACIÓN!$C$2)),0)+IFERROR(GETPIVOTDATA("Suma de dias x plazas",'[1]TTDD DATOS'!$B$49,"País","Total","categoría","Total","tipología","extrahotelera","zona","Tenerife","Fecha","diciembre","municipio","total municipios","Años",IF([1]ACTUALIZACIÓN!$C$1="enero",[1]ACTUALIZACIÓN!$C$2-1,[1]ACTUALIZACIÓN!$C$2)),0)))/(GETPIVOTDATA("Suma de pernoctaciones",'[1]TTDD DATOS'!$B$49,"País","Total","categoría","Total","tipología","extrahotelera","zona","Tenerife","municipio","total municipios","Años",IF([1]ACTUALIZACIÓN!$C$1="enero",[1]ACTUALIZACIÓN!$C$2-2,[1]ACTUALIZACIÓN!$C$2-1))/(IFERROR(GETPIVOTDATA("Suma de dias x plazas",'[1]TTDD DATOS'!$B$49,"País","Total","categoría","Total","tipología","extrahotelera","zona","Tenerife","Fecha","enero","municipio","total municipios","Años",IF([1]ACTUALIZACIÓN!$C$1="enero",[1]ACTUALIZACIÓN!$C$2-2,[1]ACTUALIZACIÓN!$C$2-1)),0)+IFERROR(GETPIVOTDATA("Suma de dias x plazas",'[1]TTDD DATOS'!$B$49,"País","Total","categoría","Total","tipología","extrahotelera","zona","Tenerife","Fecha","febrero","municipio","total municipios","Años",IF([1]ACTUALIZACIÓN!$C$1="enero",[1]ACTUALIZACIÓN!$C$2-2,[1]ACTUALIZACIÓN!$C$2-1)),0)+IFERROR(GETPIVOTDATA("Suma de dias x plazas",'[1]TTDD DATOS'!$B$49,"País","Total","categoría","Total","tipología","extrahotelera","zona","Tenerife","Fecha","marzo","municipio","total municipios","Años",IF([1]ACTUALIZACIÓN!$C$1="enero",[1]ACTUALIZACIÓN!$C$2-2,[1]ACTUALIZACIÓN!$C$2-1)),0)+IFERROR(GETPIVOTDATA("Suma de dias x plazas",'[1]TTDD DATOS'!$B$49,"País","Total","categoría","Total","tipología","extrahotelera","zona","Tenerife","Fecha","abril","municipio","total municipios","Años",IF([1]ACTUALIZACIÓN!$C$1="enero",[1]ACTUALIZACIÓN!$C$2-2,[1]ACTUALIZACIÓN!$C$2-1)),0)+IFERROR(GETPIVOTDATA("Suma de dias x plazas",'[1]TTDD DATOS'!$B$49,"País","Total","categoría","Total","tipología","extrahotelera","zona","Tenerife","Fecha","mayo","municipio","total municipios","Años",IF([1]ACTUALIZACIÓN!$C$1="enero",[1]ACTUALIZACIÓN!$C$2-2,[1]ACTUALIZACIÓN!$C$2-1)),0)+IFERROR(GETPIVOTDATA("Suma de dias x plazas",'[1]TTDD DATOS'!$B$49,"País","Total","categoría","Total","tipología","extrahotelera","zona","Tenerife","Fecha","junio","municipio","total municipios","Años",IF([1]ACTUALIZACIÓN!$C$1="enero",[1]ACTUALIZACIÓN!$C$2-2,[1]ACTUALIZACIÓN!$C$2-1)),0)+IFERROR(GETPIVOTDATA("Suma de dias x plazas",'[1]TTDD DATOS'!$B$49,"País","Total","categoría","Total","tipología","extrahotelera","zona","Tenerife","Fecha","julio","municipio","total municipios","Años",IF([1]ACTUALIZACIÓN!$C$1="enero",[1]ACTUALIZACIÓN!$C$2-2,[1]ACTUALIZACIÓN!$C$2-1)),0)+IFERROR(GETPIVOTDATA("Suma de dias x plazas",'[1]TTDD DATOS'!$B$49,"País","Total","categoría","Total","tipología","extrahotelera","zona","Tenerife","Fecha","agosto","municipio","total municipios","Años",IF([1]ACTUALIZACIÓN!$C$1="enero",[1]ACTUALIZACIÓN!$C$2-2,[1]ACTUALIZACIÓN!$C$2-1)),0)+IFERROR(GETPIVOTDATA("Suma de dias x plazas",'[1]TTDD DATOS'!$B$49,"País","Total","categoría","Total","tipología","extrahotelera","zona","Tenerife","Fecha","septiembre","municipio","total municipios","Años",IF([1]ACTUALIZACIÓN!$C$1="enero",[1]ACTUALIZACIÓN!$C$2-2,[1]ACTUALIZACIÓN!$C$2-1)),0)+IFERROR(GETPIVOTDATA("Suma de dias x plazas",'[1]TTDD DATOS'!$B$49,"País","Total","categoría","Total","tipología","extrahotelera","zona","Tenerife","Fecha","octubre","municipio","total municipios","Años",IF([1]ACTUALIZACIÓN!$C$1="enero",[1]ACTUALIZACIÓN!$C$2-2,[1]ACTUALIZACIÓN!$C$2-1)),0)+IFERROR(GETPIVOTDATA("Suma de dias x plazas",'[1]TTDD DATOS'!$B$49,"País","Total","categoría","Total","tipología","extrahotelera","zona","Tenerife","Fecha","noviembre","municipio","total municipios","Años",IF([1]ACTUALIZACIÓN!$C$1="enero",[1]ACTUALIZACIÓN!$C$2-2,[1]ACTUALIZACIÓN!$C$2-1)),0)+IFERROR(GETPIVOTDATA("Suma de dias x plazas",'[1]TTDD DATOS'!$B$49,"País","Total","categoría","Total","tipología","extrahotelera","zona","Tenerife","Fecha","diciembre","municipio","total municipios","Años",IF([1]ACTUALIZACIÓN!$C$1="enero",[1]ACTUALIZACIÓN!$C$2-2,[1]ACTUALIZACIÓN!$C$2-1)),0)))-1</f>
        <v>2.944532194316126</v>
      </c>
      <c r="M70" s="39"/>
    </row>
    <row r="71" spans="3:13" ht="24.75" hidden="1" customHeight="1" x14ac:dyDescent="0.2">
      <c r="C71" s="53" t="s">
        <v>12</v>
      </c>
      <c r="D71" s="54"/>
      <c r="E71" s="55" t="s">
        <v>8</v>
      </c>
      <c r="F71" s="141">
        <f>GETPIVOTDATA("Suma de pernoctaciones",'[1]TTDD DATOS'!$B$6,"País","Total","categoría","Total","tipología","Total","zona","santa cruz","municipio","total municipios","Años",[1]ACTUALIZACIÓN!$C$2)/GETPIVOTDATA("Suma de dias x plazas",'[1]TTDD DATOS'!$B$6,"País","Total","categoría","Total","tipología","Total","zona","santa cruz","municipio","total municipios","Años",[1]ACTUALIZACIÓN!$C$2)</f>
        <v>0.68768882686862387</v>
      </c>
      <c r="G71" s="57">
        <f>(GETPIVOTDATA("Suma de pernoctaciones",'[1]TTDD DATOS'!$B$6,"País","Total","categoría","Total","tipología","Total","zona","santa cruz","municipio","total municipios","Años",[1]ACTUALIZACIÓN!$C$2)/GETPIVOTDATA("Suma de dias x plazas",'[1]TTDD DATOS'!$B$6,"País","Total","categoría","Total","tipología","Total","zona","santa cruz","municipio","total municipios","Años",[1]ACTUALIZACIÓN!$C$2))/(GETPIVOTDATA("Suma de pernoctaciones",'[1]TTDD DATOS'!$B$6,"País","Total","categoría","Total","tipología","Total","zona","santa cruz","municipio","total municipios","Años",[1]ACTUALIZACIÓN!$C$2-1)/GETPIVOTDATA("Suma de dias x plazas",'[1]TTDD DATOS'!$B$6,"País","Total","categoría","Total","tipología","Total","zona","santa cruz","municipio","total municipios","Años",[1]ACTUALIZACIÓN!$C$2-1))-1</f>
        <v>0.74246101455428826</v>
      </c>
      <c r="H71" s="58"/>
      <c r="I71" s="59" t="s">
        <v>12</v>
      </c>
      <c r="J71" s="55" t="s">
        <v>8</v>
      </c>
      <c r="K71" s="141">
        <f>GETPIVOTDATA("Suma de pernoctaciones",'[1]TTDD DATOS'!$B$49,"País","Total","categoría","Total","tipología","Total","zona","santa cruz","municipio","total municipios","Años",IF([1]ACTUALIZACIÓN!$C$1="enero",[1]ACTUALIZACIÓN!$C$2-1,[1]ACTUALIZACIÓN!$C$2))/(IFERROR(GETPIVOTDATA("Suma de dias x plazas",'[1]TTDD DATOS'!$B$49,"País","Total","categoría","Total","tipología","Total","zona","santa cruz","Fecha","enero","municipio","total municipios","Años",IF([1]ACTUALIZACIÓN!$C$1="enero",[1]ACTUALIZACIÓN!$C$2-1,[1]ACTUALIZACIÓN!$C$2)),0)+IFERROR(GETPIVOTDATA("Suma de dias x plazas",'[1]TTDD DATOS'!$B$49,"País","Total","categoría","Total","tipología","Total","zona","santa cruz","Fecha","febrero","municipio","total municipios","Años",IF([1]ACTUALIZACIÓN!$C$1="enero",[1]ACTUALIZACIÓN!$C$2-1,[1]ACTUALIZACIÓN!$C$2)),0)+IFERROR(GETPIVOTDATA("Suma de dias x plazas",'[1]TTDD DATOS'!$B$49,"País","Total","categoría","Total","tipología","Total","zona","santa cruz","Fecha","marzo","municipio","total municipios","Años",IF([1]ACTUALIZACIÓN!$C$1="enero",[1]ACTUALIZACIÓN!$C$2-1,[1]ACTUALIZACIÓN!$C$2)),0)+IFERROR(GETPIVOTDATA("Suma de dias x plazas",'[1]TTDD DATOS'!$B$49,"País","Total","categoría","Total","tipología","Total","zona","santa cruz","Fecha","abril","municipio","total municipios","Años",IF([1]ACTUALIZACIÓN!$C$1="enero",[1]ACTUALIZACIÓN!$C$2-1,[1]ACTUALIZACIÓN!$C$2)),0)+IFERROR(GETPIVOTDATA("Suma de dias x plazas",'[1]TTDD DATOS'!$B$49,"País","Total","categoría","Total","tipología","Total","zona","santa cruz","Fecha","mayo","municipio","total municipios","Años",IF([1]ACTUALIZACIÓN!$C$1="enero",[1]ACTUALIZACIÓN!$C$2-1,[1]ACTUALIZACIÓN!$C$2)),0)+IFERROR(GETPIVOTDATA("Suma de dias x plazas",'[1]TTDD DATOS'!$B$49,"País","Total","categoría","Total","tipología","Total","zona","santa cruz","Fecha","junio","municipio","total municipios","Años",IF([1]ACTUALIZACIÓN!$C$1="enero",[1]ACTUALIZACIÓN!$C$2-1,[1]ACTUALIZACIÓN!$C$2)),0)+IFERROR(GETPIVOTDATA("Suma de dias x plazas",'[1]TTDD DATOS'!$B$49,"País","Total","categoría","Total","tipología","Total","zona","santa cruz","Fecha","julio","municipio","total municipios","Años",IF([1]ACTUALIZACIÓN!$C$1="enero",[1]ACTUALIZACIÓN!$C$2-1,[1]ACTUALIZACIÓN!$C$2)),0)+IFERROR(GETPIVOTDATA("Suma de dias x plazas",'[1]TTDD DATOS'!$B$49,"País","Total","categoría","Total","tipología","Total","zona","santa cruz","Fecha","agosto","municipio","total municipios","Años",IF([1]ACTUALIZACIÓN!$C$1="enero",[1]ACTUALIZACIÓN!$C$2-1,[1]ACTUALIZACIÓN!$C$2)),0)+IFERROR(GETPIVOTDATA("Suma de dias x plazas",'[1]TTDD DATOS'!$B$49,"País","Total","categoría","Total","tipología","Total","zona","santa cruz","Fecha","septiembre","municipio","total municipios","Años",IF([1]ACTUALIZACIÓN!$C$1="enero",[1]ACTUALIZACIÓN!$C$2-1,[1]ACTUALIZACIÓN!$C$2)),0)+IFERROR(GETPIVOTDATA("Suma de dias x plazas",'[1]TTDD DATOS'!$B$49,"País","Total","categoría","Total","tipología","Total","zona","santa cruz","Fecha","octubre","municipio","total municipios","Años",IF([1]ACTUALIZACIÓN!$C$1="enero",[1]ACTUALIZACIÓN!$C$2-1,[1]ACTUALIZACIÓN!$C$2)),0)+IFERROR(GETPIVOTDATA("Suma de dias x plazas",'[1]TTDD DATOS'!$B$49,"País","Total","categoría","Total","tipología","Total","zona","santa cruz","Fecha","noviembre","municipio","total municipios","Años",IF([1]ACTUALIZACIÓN!$C$1="enero",[1]ACTUALIZACIÓN!$C$2-1,[1]ACTUALIZACIÓN!$C$2)),0)+IFERROR(GETPIVOTDATA("Suma de dias x plazas",'[1]TTDD DATOS'!$B$49,"País","Total","categoría","Total","tipología","Total","zona","santa cruz","Fecha","diciembre","municipio","total municipios","Años",IF([1]ACTUALIZACIÓN!$C$1="enero",[1]ACTUALIZACIÓN!$C$2-1,[1]ACTUALIZACIÓN!$C$2)),0))</f>
        <v>0.63855522889542204</v>
      </c>
      <c r="L71" s="38">
        <f>(GETPIVOTDATA("Suma de pernoctaciones",'[1]TTDD DATOS'!$B$49,"País","Total","categoría","Total","tipología","Total","zona","santa cruz","municipio","total municipios","Años",IF([1]ACTUALIZACIÓN!$C$1="enero",[1]ACTUALIZACIÓN!$C$2-1,[1]ACTUALIZACIÓN!$C$2))/(IFERROR(GETPIVOTDATA("Suma de dias x plazas",'[1]TTDD DATOS'!$B$49,"País","Total","categoría","Total","tipología","Total","zona","santa cruz","Fecha","enero","municipio","total municipios","Años",IF([1]ACTUALIZACIÓN!$C$1="enero",[1]ACTUALIZACIÓN!$C$2-1,[1]ACTUALIZACIÓN!$C$2)),0)+IFERROR(GETPIVOTDATA("Suma de dias x plazas",'[1]TTDD DATOS'!$B$49,"País","Total","categoría","Total","tipología","Total","zona","santa cruz","Fecha","febrero","municipio","total municipios","Años",IF([1]ACTUALIZACIÓN!$C$1="enero",[1]ACTUALIZACIÓN!$C$2-1,[1]ACTUALIZACIÓN!$C$2)),0)+IFERROR(GETPIVOTDATA("Suma de dias x plazas",'[1]TTDD DATOS'!$B$49,"País","Total","categoría","Total","tipología","Total","zona","santa cruz","Fecha","marzo","municipio","total municipios","Años",IF([1]ACTUALIZACIÓN!$C$1="enero",[1]ACTUALIZACIÓN!$C$2-1,[1]ACTUALIZACIÓN!$C$2)),0)+IFERROR(GETPIVOTDATA("Suma de dias x plazas",'[1]TTDD DATOS'!$B$49,"País","Total","categoría","Total","tipología","Total","zona","santa cruz","Fecha","abril","municipio","total municipios","Años",IF([1]ACTUALIZACIÓN!$C$1="enero",[1]ACTUALIZACIÓN!$C$2-1,[1]ACTUALIZACIÓN!$C$2)),0)+IFERROR(GETPIVOTDATA("Suma de dias x plazas",'[1]TTDD DATOS'!$B$49,"País","Total","categoría","Total","tipología","Total","zona","santa cruz","Fecha","mayo","municipio","total municipios","Años",IF([1]ACTUALIZACIÓN!$C$1="enero",[1]ACTUALIZACIÓN!$C$2-1,[1]ACTUALIZACIÓN!$C$2)),0)+IFERROR(GETPIVOTDATA("Suma de dias x plazas",'[1]TTDD DATOS'!$B$49,"País","Total","categoría","Total","tipología","Total","zona","santa cruz","Fecha","junio","municipio","total municipios","Años",IF([1]ACTUALIZACIÓN!$C$1="enero",[1]ACTUALIZACIÓN!$C$2-1,[1]ACTUALIZACIÓN!$C$2)),0)+IFERROR(GETPIVOTDATA("Suma de dias x plazas",'[1]TTDD DATOS'!$B$49,"País","Total","categoría","Total","tipología","Total","zona","santa cruz","Fecha","julio","municipio","total municipios","Años",IF([1]ACTUALIZACIÓN!$C$1="enero",[1]ACTUALIZACIÓN!$C$2-1,[1]ACTUALIZACIÓN!$C$2)),0)+IFERROR(GETPIVOTDATA("Suma de dias x plazas",'[1]TTDD DATOS'!$B$49,"País","Total","categoría","Total","tipología","Total","zona","santa cruz","Fecha","agosto","municipio","total municipios","Años",IF([1]ACTUALIZACIÓN!$C$1="enero",[1]ACTUALIZACIÓN!$C$2-1,[1]ACTUALIZACIÓN!$C$2)),0)+IFERROR(GETPIVOTDATA("Suma de dias x plazas",'[1]TTDD DATOS'!$B$49,"País","Total","categoría","Total","tipología","Total","zona","santa cruz","Fecha","septiembre","municipio","total municipios","Años",IF([1]ACTUALIZACIÓN!$C$1="enero",[1]ACTUALIZACIÓN!$C$2-1,[1]ACTUALIZACIÓN!$C$2)),0)+IFERROR(GETPIVOTDATA("Suma de dias x plazas",'[1]TTDD DATOS'!$B$49,"País","Total","categoría","Total","tipología","Total","zona","santa cruz","Fecha","octubre","municipio","total municipios","Años",IF([1]ACTUALIZACIÓN!$C$1="enero",[1]ACTUALIZACIÓN!$C$2-1,[1]ACTUALIZACIÓN!$C$2)),0)+IFERROR(GETPIVOTDATA("Suma de dias x plazas",'[1]TTDD DATOS'!$B$49,"País","Total","categoría","Total","tipología","Total","zona","santa cruz","Fecha","noviembre","municipio","total municipios","Años",IF([1]ACTUALIZACIÓN!$C$1="enero",[1]ACTUALIZACIÓN!$C$2-1,[1]ACTUALIZACIÓN!$C$2)),0)+IFERROR(GETPIVOTDATA("Suma de dias x plazas",'[1]TTDD DATOS'!$B$49,"País","Total","categoría","Total","tipología","Total","zona","santa cruz","Fecha","diciembre","municipio","total municipios","Años",IF([1]ACTUALIZACIÓN!$C$1="enero",[1]ACTUALIZACIÓN!$C$2-1,[1]ACTUALIZACIÓN!$C$2)),0)))/(GETPIVOTDATA("Suma de pernoctaciones",'[1]TTDD DATOS'!$B$49,"País","Total","categoría","Total","tipología","Total","zona","santa cruz","municipio","total municipios","Años",IF([1]ACTUALIZACIÓN!$C$1="enero",[1]ACTUALIZACIÓN!$C$2-2,[1]ACTUALIZACIÓN!$C$2-1))/(IFERROR(GETPIVOTDATA("Suma de dias x plazas",'[1]TTDD DATOS'!$B$49,"País","Total","categoría","Total","tipología","Total","zona","santa cruz","Fecha","enero","municipio","total municipios","Años",IF([1]ACTUALIZACIÓN!$C$1="enero",[1]ACTUALIZACIÓN!$C$2-2,[1]ACTUALIZACIÓN!$C$2-1)),0)+IFERROR(GETPIVOTDATA("Suma de dias x plazas",'[1]TTDD DATOS'!$B$49,"País","Total","categoría","Total","tipología","Total","zona","santa cruz","Fecha","febrero","municipio","total municipios","Años",IF([1]ACTUALIZACIÓN!$C$1="enero",[1]ACTUALIZACIÓN!$C$2-2,[1]ACTUALIZACIÓN!$C$2-1)),0)+IFERROR(GETPIVOTDATA("Suma de dias x plazas",'[1]TTDD DATOS'!$B$49,"País","Total","categoría","Total","tipología","Total","zona","santa cruz","Fecha","marzo","municipio","total municipios","Años",IF([1]ACTUALIZACIÓN!$C$1="enero",[1]ACTUALIZACIÓN!$C$2-2,[1]ACTUALIZACIÓN!$C$2-1)),0)+IFERROR(GETPIVOTDATA("Suma de dias x plazas",'[1]TTDD DATOS'!$B$49,"País","Total","categoría","Total","tipología","Total","zona","santa cruz","Fecha","abril","municipio","total municipios","Años",IF([1]ACTUALIZACIÓN!$C$1="enero",[1]ACTUALIZACIÓN!$C$2-2,[1]ACTUALIZACIÓN!$C$2-1)),0)+IFERROR(GETPIVOTDATA("Suma de dias x plazas",'[1]TTDD DATOS'!$B$49,"País","Total","categoría","Total","tipología","Total","zona","santa cruz","Fecha","mayo","municipio","total municipios","Años",IF([1]ACTUALIZACIÓN!$C$1="enero",[1]ACTUALIZACIÓN!$C$2-2,[1]ACTUALIZACIÓN!$C$2-1)),0)+IFERROR(GETPIVOTDATA("Suma de dias x plazas",'[1]TTDD DATOS'!$B$49,"País","Total","categoría","Total","tipología","Total","zona","santa cruz","Fecha","junio","municipio","total municipios","Años",IF([1]ACTUALIZACIÓN!$C$1="enero",[1]ACTUALIZACIÓN!$C$2-2,[1]ACTUALIZACIÓN!$C$2-1)),0)+IFERROR(GETPIVOTDATA("Suma de dias x plazas",'[1]TTDD DATOS'!$B$49,"País","Total","categoría","Total","tipología","Total","zona","santa cruz","Fecha","julio","municipio","total municipios","Años",IF([1]ACTUALIZACIÓN!$C$1="enero",[1]ACTUALIZACIÓN!$C$2-2,[1]ACTUALIZACIÓN!$C$2-1)),0)+IFERROR(GETPIVOTDATA("Suma de dias x plazas",'[1]TTDD DATOS'!$B$49,"País","Total","categoría","Total","tipología","Total","zona","santa cruz","Fecha","agosto","municipio","total municipios","Años",IF([1]ACTUALIZACIÓN!$C$1="enero",[1]ACTUALIZACIÓN!$C$2-2,[1]ACTUALIZACIÓN!$C$2-1)),0)+IFERROR(GETPIVOTDATA("Suma de dias x plazas",'[1]TTDD DATOS'!$B$49,"País","Total","categoría","Total","tipología","Total","zona","santa cruz","Fecha","septiembre","municipio","total municipios","Años",IF([1]ACTUALIZACIÓN!$C$1="enero",[1]ACTUALIZACIÓN!$C$2-2,[1]ACTUALIZACIÓN!$C$2-1)),0)+IFERROR(GETPIVOTDATA("Suma de dias x plazas",'[1]TTDD DATOS'!$B$49,"País","Total","categoría","Total","tipología","Total","zona","santa cruz","Fecha","octubre","municipio","total municipios","Años",IF([1]ACTUALIZACIÓN!$C$1="enero",[1]ACTUALIZACIÓN!$C$2-2,[1]ACTUALIZACIÓN!$C$2-1)),0)+IFERROR(GETPIVOTDATA("Suma de dias x plazas",'[1]TTDD DATOS'!$B$49,"País","Total","categoría","Total","tipología","Total","zona","santa cruz","Fecha","noviembre","municipio","total municipios","Años",IF([1]ACTUALIZACIÓN!$C$1="enero",[1]ACTUALIZACIÓN!$C$2-2,[1]ACTUALIZACIÓN!$C$2-1)),0)+IFERROR(GETPIVOTDATA("Suma de dias x plazas",'[1]TTDD DATOS'!$B$49,"País","Total","categoría","Total","tipología","Total","zona","santa cruz","Fecha","diciembre","municipio","total municipios","Años",IF([1]ACTUALIZACIÓN!$C$1="enero",[1]ACTUALIZACIÓN!$C$2-2,[1]ACTUALIZACIÓN!$C$2-1)),0)))-1</f>
        <v>0.90949601329788399</v>
      </c>
      <c r="M71" s="39"/>
    </row>
    <row r="72" spans="3:13" ht="43.5" customHeight="1" thickBot="1" x14ac:dyDescent="0.25">
      <c r="C72" s="60"/>
      <c r="D72" s="61"/>
      <c r="E72" s="62" t="s">
        <v>10</v>
      </c>
      <c r="F72" s="142">
        <f>GETPIVOTDATA("Suma de pernoctaciones",'[1]TTDD DATOS'!$B$6,"País","Total","categoría","Total","tipología","hotelera","zona","santa cruz","municipio","total municipios","Años",[1]ACTUALIZACIÓN!$C$2)/GETPIVOTDATA("Suma de dias x plazas",'[1]TTDD DATOS'!$B$6,"País","Total","categoría","Total","tipología","hotelera","zona","santa cruz","municipio","total municipios","Años",[1]ACTUALIZACIÓN!$C$2)</f>
        <v>0.69000720470888899</v>
      </c>
      <c r="G72" s="42">
        <f>(GETPIVOTDATA("Suma de pernoctaciones",'[1]TTDD DATOS'!$B$6,"País","Total","categoría","Total","tipología","hotelera","zona","santa cruz","municipio","total municipios","Años",[1]ACTUALIZACIÓN!$C$2)/GETPIVOTDATA("Suma de dias x plazas",'[1]TTDD DATOS'!$B$6,"País","Total","categoría","Total","tipología","hotelera","zona","santa cruz","municipio","total municipios","Años",[1]ACTUALIZACIÓN!$C$2))/(GETPIVOTDATA("Suma de pernoctaciones",'[1]TTDD DATOS'!$B$6,"País","Total","categoría","Total","tipología","hotelera","zona","santa cruz","municipio","total municipios","Años",[1]ACTUALIZACIÓN!$C$2-1)/GETPIVOTDATA("Suma de dias x plazas",'[1]TTDD DATOS'!$B$6,"País","Total","categoría","Total","tipología","hotelera","zona","santa cruz","municipio","total municipios","Años",[1]ACTUALIZACIÓN!$C$2-1))-1</f>
        <v>0.7413974651821984</v>
      </c>
      <c r="H72" s="58"/>
      <c r="I72" s="64"/>
      <c r="J72" s="62" t="s">
        <v>10</v>
      </c>
      <c r="K72" s="142">
        <f>GETPIVOTDATA("Suma de pernoctaciones",'[1]TTDD DATOS'!$B$49,"País","Total","categoría","Total","tipología","hotelera","zona","santa cruz","municipio","total municipios","Años",IF([1]ACTUALIZACIÓN!$C$1="enero",[1]ACTUALIZACIÓN!$C$2-1,[1]ACTUALIZACIÓN!$C$2))/(IFERROR(GETPIVOTDATA("Suma de dias x plazas",'[1]TTDD DATOS'!$B$49,"País","Total","categoría","Total","tipología","hotelera","zona","santa cruz","Fecha","enero","municipio","total municipios","Años",IF([1]ACTUALIZACIÓN!$C$1="enero",[1]ACTUALIZACIÓN!$C$2-1,[1]ACTUALIZACIÓN!$C$2)),0)+IFERROR(GETPIVOTDATA("Suma de dias x plazas",'[1]TTDD DATOS'!$B$49,"País","Total","categoría","Total","tipología","hotelera","zona","santa cruz","Fecha","febrero","municipio","total municipios","Años",IF([1]ACTUALIZACIÓN!$C$1="enero",[1]ACTUALIZACIÓN!$C$2-1,[1]ACTUALIZACIÓN!$C$2)),0)+IFERROR(GETPIVOTDATA("Suma de dias x plazas",'[1]TTDD DATOS'!$B$49,"País","Total","categoría","Total","tipología","hotelera","zona","santa cruz","Fecha","marzo","municipio","total municipios","Años",IF([1]ACTUALIZACIÓN!$C$1="enero",[1]ACTUALIZACIÓN!$C$2-1,[1]ACTUALIZACIÓN!$C$2)),0)+IFERROR(GETPIVOTDATA("Suma de dias x plazas",'[1]TTDD DATOS'!$B$49,"País","Total","categoría","Total","tipología","hotelera","zona","santa cruz","Fecha","abril","municipio","total municipios","Años",IF([1]ACTUALIZACIÓN!$C$1="enero",[1]ACTUALIZACIÓN!$C$2-1,[1]ACTUALIZACIÓN!$C$2)),0)+IFERROR(GETPIVOTDATA("Suma de dias x plazas",'[1]TTDD DATOS'!$B$49,"País","Total","categoría","Total","tipología","hotelera","zona","santa cruz","Fecha","mayo","municipio","total municipios","Años",IF([1]ACTUALIZACIÓN!$C$1="enero",[1]ACTUALIZACIÓN!$C$2-1,[1]ACTUALIZACIÓN!$C$2)),0)+IFERROR(GETPIVOTDATA("Suma de dias x plazas",'[1]TTDD DATOS'!$B$49,"País","Total","categoría","Total","tipología","hotelera","zona","santa cruz","Fecha","junio","municipio","total municipios","Años",IF([1]ACTUALIZACIÓN!$C$1="enero",[1]ACTUALIZACIÓN!$C$2-1,[1]ACTUALIZACIÓN!$C$2)),0)+IFERROR(GETPIVOTDATA("Suma de dias x plazas",'[1]TTDD DATOS'!$B$49,"País","Total","categoría","Total","tipología","hotelera","zona","santa cruz","Fecha","julio","municipio","total municipios","Años",IF([1]ACTUALIZACIÓN!$C$1="enero",[1]ACTUALIZACIÓN!$C$2-1,[1]ACTUALIZACIÓN!$C$2)),0)+IFERROR(GETPIVOTDATA("Suma de dias x plazas",'[1]TTDD DATOS'!$B$49,"País","Total","categoría","Total","tipología","hotelera","zona","santa cruz","Fecha","agosto","municipio","total municipios","Años",IF([1]ACTUALIZACIÓN!$C$1="enero",[1]ACTUALIZACIÓN!$C$2-1,[1]ACTUALIZACIÓN!$C$2)),0)+IFERROR(GETPIVOTDATA("Suma de dias x plazas",'[1]TTDD DATOS'!$B$49,"País","Total","categoría","Total","tipología","hotelera","zona","santa cruz","Fecha","septiembre","municipio","total municipios","Años",IF([1]ACTUALIZACIÓN!$C$1="enero",[1]ACTUALIZACIÓN!$C$2-1,[1]ACTUALIZACIÓN!$C$2)),0)+IFERROR(GETPIVOTDATA("Suma de dias x plazas",'[1]TTDD DATOS'!$B$49,"País","Total","categoría","Total","tipología","hotelera","zona","santa cruz","Fecha","octubre","municipio","total municipios","Años",IF([1]ACTUALIZACIÓN!$C$1="enero",[1]ACTUALIZACIÓN!$C$2-1,[1]ACTUALIZACIÓN!$C$2)),0)+IFERROR(GETPIVOTDATA("Suma de dias x plazas",'[1]TTDD DATOS'!$B$49,"País","Total","categoría","Total","tipología","hotelera","zona","santa cruz","Fecha","noviembre","municipio","total municipios","Años",IF([1]ACTUALIZACIÓN!$C$1="enero",[1]ACTUALIZACIÓN!$C$2-1,[1]ACTUALIZACIÓN!$C$2)),0)+IFERROR(GETPIVOTDATA("Suma de dias x plazas",'[1]TTDD DATOS'!$B$49,"País","Total","categoría","Total","tipología","hotelera","zona","santa cruz","Fecha","diciembre","municipio","total municipios","Años",IF([1]ACTUALIZACIÓN!$C$1="enero",[1]ACTUALIZACIÓN!$C$2-1,[1]ACTUALIZACIÓN!$C$2)),0))</f>
        <v>0.64070796460176993</v>
      </c>
      <c r="L72" s="45">
        <f>(GETPIVOTDATA("Suma de pernoctaciones",'[1]TTDD DATOS'!$B$49,"País","Total","categoría","Total","tipología","hotelera","zona","santa cruz","municipio","total municipios","Años",IF([1]ACTUALIZACIÓN!$C$1="enero",[1]ACTUALIZACIÓN!$C$2-1,[1]ACTUALIZACIÓN!$C$2))/(IFERROR(GETPIVOTDATA("Suma de dias x plazas",'[1]TTDD DATOS'!$B$49,"País","Total","categoría","Total","tipología","hotelera","zona","santa cruz","Fecha","enero","municipio","total municipios","Años",IF([1]ACTUALIZACIÓN!$C$1="enero",[1]ACTUALIZACIÓN!$C$2-1,[1]ACTUALIZACIÓN!$C$2)),0)+IFERROR(GETPIVOTDATA("Suma de dias x plazas",'[1]TTDD DATOS'!$B$49,"País","Total","categoría","Total","tipología","hotelera","zona","santa cruz","Fecha","febrero","municipio","total municipios","Años",IF([1]ACTUALIZACIÓN!$C$1="enero",[1]ACTUALIZACIÓN!$C$2-1,[1]ACTUALIZACIÓN!$C$2)),0)+IFERROR(GETPIVOTDATA("Suma de dias x plazas",'[1]TTDD DATOS'!$B$49,"País","Total","categoría","Total","tipología","hotelera","zona","santa cruz","Fecha","marzo","municipio","total municipios","Años",IF([1]ACTUALIZACIÓN!$C$1="enero",[1]ACTUALIZACIÓN!$C$2-1,[1]ACTUALIZACIÓN!$C$2)),0)+IFERROR(GETPIVOTDATA("Suma de dias x plazas",'[1]TTDD DATOS'!$B$49,"País","Total","categoría","Total","tipología","hotelera","zona","santa cruz","Fecha","abril","municipio","total municipios","Años",IF([1]ACTUALIZACIÓN!$C$1="enero",[1]ACTUALIZACIÓN!$C$2-1,[1]ACTUALIZACIÓN!$C$2)),0)+IFERROR(GETPIVOTDATA("Suma de dias x plazas",'[1]TTDD DATOS'!$B$49,"País","Total","categoría","Total","tipología","hotelera","zona","santa cruz","Fecha","mayo","municipio","total municipios","Años",IF([1]ACTUALIZACIÓN!$C$1="enero",[1]ACTUALIZACIÓN!$C$2-1,[1]ACTUALIZACIÓN!$C$2)),0)+IFERROR(GETPIVOTDATA("Suma de dias x plazas",'[1]TTDD DATOS'!$B$49,"País","Total","categoría","Total","tipología","hotelera","zona","santa cruz","Fecha","junio","municipio","total municipios","Años",IF([1]ACTUALIZACIÓN!$C$1="enero",[1]ACTUALIZACIÓN!$C$2-1,[1]ACTUALIZACIÓN!$C$2)),0)+IFERROR(GETPIVOTDATA("Suma de dias x plazas",'[1]TTDD DATOS'!$B$49,"País","Total","categoría","Total","tipología","hotelera","zona","santa cruz","Fecha","julio","municipio","total municipios","Años",IF([1]ACTUALIZACIÓN!$C$1="enero",[1]ACTUALIZACIÓN!$C$2-1,[1]ACTUALIZACIÓN!$C$2)),0)+IFERROR(GETPIVOTDATA("Suma de dias x plazas",'[1]TTDD DATOS'!$B$49,"País","Total","categoría","Total","tipología","hotelera","zona","santa cruz","Fecha","agosto","municipio","total municipios","Años",IF([1]ACTUALIZACIÓN!$C$1="enero",[1]ACTUALIZACIÓN!$C$2-1,[1]ACTUALIZACIÓN!$C$2)),0)+IFERROR(GETPIVOTDATA("Suma de dias x plazas",'[1]TTDD DATOS'!$B$49,"País","Total","categoría","Total","tipología","hotelera","zona","santa cruz","Fecha","septiembre","municipio","total municipios","Años",IF([1]ACTUALIZACIÓN!$C$1="enero",[1]ACTUALIZACIÓN!$C$2-1,[1]ACTUALIZACIÓN!$C$2)),0)+IFERROR(GETPIVOTDATA("Suma de dias x plazas",'[1]TTDD DATOS'!$B$49,"País","Total","categoría","Total","tipología","hotelera","zona","santa cruz","Fecha","octubre","municipio","total municipios","Años",IF([1]ACTUALIZACIÓN!$C$1="enero",[1]ACTUALIZACIÓN!$C$2-1,[1]ACTUALIZACIÓN!$C$2)),0)+IFERROR(GETPIVOTDATA("Suma de dias x plazas",'[1]TTDD DATOS'!$B$49,"País","Total","categoría","Total","tipología","hotelera","zona","santa cruz","Fecha","noviembre","municipio","total municipios","Años",IF([1]ACTUALIZACIÓN!$C$1="enero",[1]ACTUALIZACIÓN!$C$2-1,[1]ACTUALIZACIÓN!$C$2)),0)+IFERROR(GETPIVOTDATA("Suma de dias x plazas",'[1]TTDD DATOS'!$B$49,"País","Total","categoría","Total","tipología","hotelera","zona","santa cruz","Fecha","diciembre","municipio","total municipios","Años",IF([1]ACTUALIZACIÓN!$C$1="enero",[1]ACTUALIZACIÓN!$C$2-1,[1]ACTUALIZACIÓN!$C$2)),0)))/(GETPIVOTDATA("Suma de pernoctaciones",'[1]TTDD DATOS'!$B$49,"País","Total","categoría","Total","tipología","hotelera","zona","santa cruz","municipio","total municipios","Años",IF([1]ACTUALIZACIÓN!$C$1="enero",[1]ACTUALIZACIÓN!$C$2-2,[1]ACTUALIZACIÓN!$C$2-1))/(IFERROR(GETPIVOTDATA("Suma de dias x plazas",'[1]TTDD DATOS'!$B$49,"País","Total","categoría","Total","tipología","hotelera","zona","santa cruz","Fecha","enero","municipio","total municipios","Años",IF([1]ACTUALIZACIÓN!$C$1="enero",[1]ACTUALIZACIÓN!$C$2-2,[1]ACTUALIZACIÓN!$C$2-1)),0)+IFERROR(GETPIVOTDATA("Suma de dias x plazas",'[1]TTDD DATOS'!$B$49,"País","Total","categoría","Total","tipología","hotelera","zona","santa cruz","Fecha","febrero","municipio","total municipios","Años",IF([1]ACTUALIZACIÓN!$C$1="enero",[1]ACTUALIZACIÓN!$C$2-2,[1]ACTUALIZACIÓN!$C$2-1)),0)+IFERROR(GETPIVOTDATA("Suma de dias x plazas",'[1]TTDD DATOS'!$B$49,"País","Total","categoría","Total","tipología","hotelera","zona","santa cruz","Fecha","marzo","municipio","total municipios","Años",IF([1]ACTUALIZACIÓN!$C$1="enero",[1]ACTUALIZACIÓN!$C$2-2,[1]ACTUALIZACIÓN!$C$2-1)),0)+IFERROR(GETPIVOTDATA("Suma de dias x plazas",'[1]TTDD DATOS'!$B$49,"País","Total","categoría","Total","tipología","hotelera","zona","santa cruz","Fecha","abril","municipio","total municipios","Años",IF([1]ACTUALIZACIÓN!$C$1="enero",[1]ACTUALIZACIÓN!$C$2-2,[1]ACTUALIZACIÓN!$C$2-1)),0)+IFERROR(GETPIVOTDATA("Suma de dias x plazas",'[1]TTDD DATOS'!$B$49,"País","Total","categoría","Total","tipología","hotelera","zona","santa cruz","Fecha","mayo","municipio","total municipios","Años",IF([1]ACTUALIZACIÓN!$C$1="enero",[1]ACTUALIZACIÓN!$C$2-2,[1]ACTUALIZACIÓN!$C$2-1)),0)+IFERROR(GETPIVOTDATA("Suma de dias x plazas",'[1]TTDD DATOS'!$B$49,"País","Total","categoría","Total","tipología","hotelera","zona","santa cruz","Fecha","junio","municipio","total municipios","Años",IF([1]ACTUALIZACIÓN!$C$1="enero",[1]ACTUALIZACIÓN!$C$2-2,[1]ACTUALIZACIÓN!$C$2-1)),0)+IFERROR(GETPIVOTDATA("Suma de dias x plazas",'[1]TTDD DATOS'!$B$49,"País","Total","categoría","Total","tipología","hotelera","zona","santa cruz","Fecha","julio","municipio","total municipios","Años",IF([1]ACTUALIZACIÓN!$C$1="enero",[1]ACTUALIZACIÓN!$C$2-2,[1]ACTUALIZACIÓN!$C$2-1)),0)+IFERROR(GETPIVOTDATA("Suma de dias x plazas",'[1]TTDD DATOS'!$B$49,"País","Total","categoría","Total","tipología","hotelera","zona","santa cruz","Fecha","agosto","municipio","total municipios","Años",IF([1]ACTUALIZACIÓN!$C$1="enero",[1]ACTUALIZACIÓN!$C$2-2,[1]ACTUALIZACIÓN!$C$2-1)),0)+IFERROR(GETPIVOTDATA("Suma de dias x plazas",'[1]TTDD DATOS'!$B$49,"País","Total","categoría","Total","tipología","hotelera","zona","santa cruz","Fecha","septiembre","municipio","total municipios","Años",IF([1]ACTUALIZACIÓN!$C$1="enero",[1]ACTUALIZACIÓN!$C$2-2,[1]ACTUALIZACIÓN!$C$2-1)),0)+IFERROR(GETPIVOTDATA("Suma de dias x plazas",'[1]TTDD DATOS'!$B$49,"País","Total","categoría","Total","tipología","hotelera","zona","santa cruz","Fecha","octubre","municipio","total municipios","Años",IF([1]ACTUALIZACIÓN!$C$1="enero",[1]ACTUALIZACIÓN!$C$2-2,[1]ACTUALIZACIÓN!$C$2-1)),0)+IFERROR(GETPIVOTDATA("Suma de dias x plazas",'[1]TTDD DATOS'!$B$49,"País","Total","categoría","Total","tipología","hotelera","zona","santa cruz","Fecha","noviembre","municipio","total municipios","Años",IF([1]ACTUALIZACIÓN!$C$1="enero",[1]ACTUALIZACIÓN!$C$2-2,[1]ACTUALIZACIÓN!$C$2-1)),0)+IFERROR(GETPIVOTDATA("Suma de dias x plazas",'[1]TTDD DATOS'!$B$49,"País","Total","categoría","Total","tipología","hotelera","zona","santa cruz","Fecha","diciembre","municipio","total municipios","Años",IF([1]ACTUALIZACIÓN!$C$1="enero",[1]ACTUALIZACIÓN!$C$2-2,[1]ACTUALIZACIÓN!$C$2-1)),0)))-1</f>
        <v>0.91296390963591123</v>
      </c>
      <c r="M72" s="39"/>
    </row>
    <row r="73" spans="3:13" ht="24.75" hidden="1" customHeight="1" x14ac:dyDescent="0.2">
      <c r="C73" s="65"/>
      <c r="D73" s="66"/>
      <c r="E73" s="67" t="s">
        <v>11</v>
      </c>
      <c r="F73" s="143">
        <f>GETPIVOTDATA("Suma de pernoctaciones",'[1]TTDD DATOS'!$B$6,"País","Total","categoría","Total","tipología","extrahotelera","zona","santa cruz","municipio","total municipios","Años",[1]ACTUALIZACIÓN!$C$2)/GETPIVOTDATA("Suma de dias x plazas",'[1]TTDD DATOS'!$B$6,"País","Total","categoría","Total","tipología","extrahotelera","zona","santa cruz","municipio","total municipios","Años",[1]ACTUALIZACIÓN!$C$2)</f>
        <v>0</v>
      </c>
      <c r="G73" s="69" t="str">
        <f>IFERROR((GETPIVOTDATA("Suma de pernoctaciones",'[1]TTDD DATOS'!$B$6,"País","Total","categoría","Total","tipología","extrahotelera","zona","santa cruz","municipio","total municipios","Años",[1]ACTUALIZACIÓN!$C$2)/GETPIVOTDATA("Suma de dias x plazas",'[1]TTDD DATOS'!$B$6,"País","Total","categoría","Total","tipología","extrahotelera","zona","santa cruz","municipio","total municipios","Años",[1]ACTUALIZACIÓN!$C$2))/(GETPIVOTDATA("Suma de pernoctaciones",'[1]TTDD DATOS'!$B$6,"País","Total","categoría","Total","tipología","extrahotelera","zona","santa cruz","municipio","total municipios","Años",[1]ACTUALIZACIÓN!$C$2-1)/GETPIVOTDATA("Suma de dias x plazas",'[1]TTDD DATOS'!$B$6,"País","Total","categoría","Total","tipología","extrahotelera","zona","santa cruz","municipio","total municipios","Años",[1]ACTUALIZACIÓN!$C$2-1))-1,"-")</f>
        <v>-</v>
      </c>
      <c r="H73" s="58"/>
      <c r="I73" s="70"/>
      <c r="J73" s="67" t="s">
        <v>11</v>
      </c>
      <c r="K73" s="143">
        <f>GETPIVOTDATA("Suma de pernoctaciones",'[1]TTDD DATOS'!$B$49,"País","Total","categoría","Total","tipología","extrahotelera","zona","santa cruz","municipio","total municipios","Años",IF([1]ACTUALIZACIÓN!$C$1="enero",[1]ACTUALIZACIÓN!$C$2-1,[1]ACTUALIZACIÓN!$C$2))/(IFERROR(GETPIVOTDATA("Suma de dias x plazas",'[1]TTDD DATOS'!$B$49,"País","Total","categoría","Total","tipología","extrahotelera","zona","santa cruz","Fecha","enero","municipio","total municipios","Años",IF([1]ACTUALIZACIÓN!$C$1="enero",[1]ACTUALIZACIÓN!$C$2-1,[1]ACTUALIZACIÓN!$C$2)),0)+IFERROR(GETPIVOTDATA("Suma de dias x plazas",'[1]TTDD DATOS'!$B$49,"País","Total","categoría","Total","tipología","extrahotelera","zona","santa cruz","Fecha","febrero","municipio","total municipios","Años",IF([1]ACTUALIZACIÓN!$C$1="enero",[1]ACTUALIZACIÓN!$C$2-1,[1]ACTUALIZACIÓN!$C$2)),0)+IFERROR(GETPIVOTDATA("Suma de dias x plazas",'[1]TTDD DATOS'!$B$49,"País","Total","categoría","Total","tipología","extrahotelera","zona","santa cruz","Fecha","marzo","municipio","total municipios","Años",IF([1]ACTUALIZACIÓN!$C$1="enero",[1]ACTUALIZACIÓN!$C$2-1,[1]ACTUALIZACIÓN!$C$2)),0)+IFERROR(GETPIVOTDATA("Suma de dias x plazas",'[1]TTDD DATOS'!$B$49,"País","Total","categoría","Total","tipología","extrahotelera","zona","santa cruz","Fecha","abril","municipio","total municipios","Años",IF([1]ACTUALIZACIÓN!$C$1="enero",[1]ACTUALIZACIÓN!$C$2-1,[1]ACTUALIZACIÓN!$C$2)),0)+IFERROR(GETPIVOTDATA("Suma de dias x plazas",'[1]TTDD DATOS'!$B$49,"País","Total","categoría","Total","tipología","extrahotelera","zona","santa cruz","Fecha","mayo","municipio","total municipios","Años",IF([1]ACTUALIZACIÓN!$C$1="enero",[1]ACTUALIZACIÓN!$C$2-1,[1]ACTUALIZACIÓN!$C$2)),0)+IFERROR(GETPIVOTDATA("Suma de dias x plazas",'[1]TTDD DATOS'!$B$49,"País","Total","categoría","Total","tipología","extrahotelera","zona","santa cruz","Fecha","junio","municipio","total municipios","Años",IF([1]ACTUALIZACIÓN!$C$1="enero",[1]ACTUALIZACIÓN!$C$2-1,[1]ACTUALIZACIÓN!$C$2)),0)+IFERROR(GETPIVOTDATA("Suma de dias x plazas",'[1]TTDD DATOS'!$B$49,"País","Total","categoría","Total","tipología","extrahotelera","zona","santa cruz","Fecha","julio","municipio","total municipios","Años",IF([1]ACTUALIZACIÓN!$C$1="enero",[1]ACTUALIZACIÓN!$C$2-1,[1]ACTUALIZACIÓN!$C$2)),0)+IFERROR(GETPIVOTDATA("Suma de dias x plazas",'[1]TTDD DATOS'!$B$49,"País","Total","categoría","Total","tipología","extrahotelera","zona","santa cruz","Fecha","agosto","municipio","total municipios","Años",IF([1]ACTUALIZACIÓN!$C$1="enero",[1]ACTUALIZACIÓN!$C$2-1,[1]ACTUALIZACIÓN!$C$2)),0)+IFERROR(GETPIVOTDATA("Suma de dias x plazas",'[1]TTDD DATOS'!$B$49,"País","Total","categoría","Total","tipología","extrahotelera","zona","santa cruz","Fecha","septiembre","municipio","total municipios","Años",IF([1]ACTUALIZACIÓN!$C$1="enero",[1]ACTUALIZACIÓN!$C$2-1,[1]ACTUALIZACIÓN!$C$2)),0)+IFERROR(GETPIVOTDATA("Suma de dias x plazas",'[1]TTDD DATOS'!$B$49,"País","Total","categoría","Total","tipología","extrahotelera","zona","santa cruz","Fecha","octubre","municipio","total municipios","Años",IF([1]ACTUALIZACIÓN!$C$1="enero",[1]ACTUALIZACIÓN!$C$2-1,[1]ACTUALIZACIÓN!$C$2)),0)+IFERROR(GETPIVOTDATA("Suma de dias x plazas",'[1]TTDD DATOS'!$B$49,"País","Total","categoría","Total","tipología","extrahotelera","zona","santa cruz","Fecha","noviembre","municipio","total municipios","Años",IF([1]ACTUALIZACIÓN!$C$1="enero",[1]ACTUALIZACIÓN!$C$2-1,[1]ACTUALIZACIÓN!$C$2)),0)+IFERROR(GETPIVOTDATA("Suma de dias x plazas",'[1]TTDD DATOS'!$B$49,"País","Total","categoría","Total","tipología","extrahotelera","zona","santa cruz","Fecha","diciembre","municipio","total municipios","Años",IF([1]ACTUALIZACIÓN!$C$1="enero",[1]ACTUALIZACIÓN!$C$2-1,[1]ACTUALIZACIÓN!$C$2)),0))</f>
        <v>0</v>
      </c>
      <c r="L73" s="52" t="str">
        <f>IFERROR((GETPIVOTDATA("Suma de pernoctaciones",'[1]TTDD DATOS'!$B$49,"País","Total","categoría","Total","tipología","extrahotelera","zona","santa cruz","municipio","total municipios","Años",IF([1]ACTUALIZACIÓN!$C$1="enero",[1]ACTUALIZACIÓN!$C$2-1,[1]ACTUALIZACIÓN!$C$2))/(IFERROR(GETPIVOTDATA("Suma de dias x plazas",'[1]TTDD DATOS'!$B$49,"País","Total","categoría","Total","tipología","extrahotelera","zona","santa cruz","Fecha","enero","municipio","total municipios","Años",IF([1]ACTUALIZACIÓN!$C$1="enero",[1]ACTUALIZACIÓN!$C$2-1,[1]ACTUALIZACIÓN!$C$2)),0)+IFERROR(GETPIVOTDATA("Suma de dias x plazas",'[1]TTDD DATOS'!$B$49,"País","Total","categoría","Total","tipología","extrahotelera","zona","santa cruz","Fecha","febrero","municipio","total municipios","Años",IF([1]ACTUALIZACIÓN!$C$1="enero",[1]ACTUALIZACIÓN!$C$2-1,[1]ACTUALIZACIÓN!$C$2)),0)+IFERROR(GETPIVOTDATA("Suma de dias x plazas",'[1]TTDD DATOS'!$B$49,"País","Total","categoría","Total","tipología","extrahotelera","zona","santa cruz","Fecha","marzo","municipio","total municipios","Años",IF([1]ACTUALIZACIÓN!$C$1="enero",[1]ACTUALIZACIÓN!$C$2-1,[1]ACTUALIZACIÓN!$C$2)),0)+IFERROR(GETPIVOTDATA("Suma de dias x plazas",'[1]TTDD DATOS'!$B$49,"País","Total","categoría","Total","tipología","extrahotelera","zona","santa cruz","Fecha","abril","municipio","total municipios","Años",IF([1]ACTUALIZACIÓN!$C$1="enero",[1]ACTUALIZACIÓN!$C$2-1,[1]ACTUALIZACIÓN!$C$2)),0)+IFERROR(GETPIVOTDATA("Suma de dias x plazas",'[1]TTDD DATOS'!$B$49,"País","Total","categoría","Total","tipología","extrahotelera","zona","santa cruz","Fecha","mayo","municipio","total municipios","Años",IF([1]ACTUALIZACIÓN!$C$1="enero",[1]ACTUALIZACIÓN!$C$2-1,[1]ACTUALIZACIÓN!$C$2)),0)+IFERROR(GETPIVOTDATA("Suma de dias x plazas",'[1]TTDD DATOS'!$B$49,"País","Total","categoría","Total","tipología","extrahotelera","zona","santa cruz","Fecha","junio","municipio","total municipios","Años",IF([1]ACTUALIZACIÓN!$C$1="enero",[1]ACTUALIZACIÓN!$C$2-1,[1]ACTUALIZACIÓN!$C$2)),0)+IFERROR(GETPIVOTDATA("Suma de dias x plazas",'[1]TTDD DATOS'!$B$49,"País","Total","categoría","Total","tipología","extrahotelera","zona","santa cruz","Fecha","julio","municipio","total municipios","Años",IF([1]ACTUALIZACIÓN!$C$1="enero",[1]ACTUALIZACIÓN!$C$2-1,[1]ACTUALIZACIÓN!$C$2)),0)+IFERROR(GETPIVOTDATA("Suma de dias x plazas",'[1]TTDD DATOS'!$B$49,"País","Total","categoría","Total","tipología","extrahotelera","zona","santa cruz","Fecha","agosto","municipio","total municipios","Años",IF([1]ACTUALIZACIÓN!$C$1="enero",[1]ACTUALIZACIÓN!$C$2-1,[1]ACTUALIZACIÓN!$C$2)),0)+IFERROR(GETPIVOTDATA("Suma de dias x plazas",'[1]TTDD DATOS'!$B$49,"País","Total","categoría","Total","tipología","extrahotelera","zona","santa cruz","Fecha","septiembre","municipio","total municipios","Años",IF([1]ACTUALIZACIÓN!$C$1="enero",[1]ACTUALIZACIÓN!$C$2-1,[1]ACTUALIZACIÓN!$C$2)),0)+IFERROR(GETPIVOTDATA("Suma de dias x plazas",'[1]TTDD DATOS'!$B$49,"País","Total","categoría","Total","tipología","extrahotelera","zona","santa cruz","Fecha","octubre","municipio","total municipios","Años",IF([1]ACTUALIZACIÓN!$C$1="enero",[1]ACTUALIZACIÓN!$C$2-1,[1]ACTUALIZACIÓN!$C$2)),0)+IFERROR(GETPIVOTDATA("Suma de dias x plazas",'[1]TTDD DATOS'!$B$49,"País","Total","categoría","Total","tipología","extrahotelera","zona","santa cruz","Fecha","noviembre","municipio","total municipios","Años",IF([1]ACTUALIZACIÓN!$C$1="enero",[1]ACTUALIZACIÓN!$C$2-1,[1]ACTUALIZACIÓN!$C$2)),0)+IFERROR(GETPIVOTDATA("Suma de dias x plazas",'[1]TTDD DATOS'!$B$49,"País","Total","categoría","Total","tipología","extrahotelera","zona","santa cruz","Fecha","diciembre","municipio","total municipios","Años",IF([1]ACTUALIZACIÓN!$C$1="enero",[1]ACTUALIZACIÓN!$C$2-1,[1]ACTUALIZACIÓN!$C$2)),0)))/(GETPIVOTDATA("Suma de pernoctaciones",'[1]TTDD DATOS'!$B$49,"País","Total","categoría","Total","tipología","extrahotelera","zona","santa cruz","municipio","total municipios","Años",IF([1]ACTUALIZACIÓN!$C$1="enero",[1]ACTUALIZACIÓN!$C$2-2,[1]ACTUALIZACIÓN!$C$2-1))/(IFERROR(GETPIVOTDATA("Suma de dias x plazas",'[1]TTDD DATOS'!$B$49,"País","Total","categoría","Total","tipología","extrahotelera","zona","santa cruz","Fecha","enero","municipio","total municipios","Años",IF([1]ACTUALIZACIÓN!$C$1="enero",[1]ACTUALIZACIÓN!$C$2-2,[1]ACTUALIZACIÓN!$C$2-1)),0)+IFERROR(GETPIVOTDATA("Suma de dias x plazas",'[1]TTDD DATOS'!$B$49,"País","Total","categoría","Total","tipología","extrahotelera","zona","santa cruz","Fecha","febrero","municipio","total municipios","Años",IF([1]ACTUALIZACIÓN!$C$1="enero",[1]ACTUALIZACIÓN!$C$2-2,[1]ACTUALIZACIÓN!$C$2-1)),0)+IFERROR(GETPIVOTDATA("Suma de dias x plazas",'[1]TTDD DATOS'!$B$49,"País","Total","categoría","Total","tipología","extrahotelera","zona","santa cruz","Fecha","marzo","municipio","total municipios","Años",IF([1]ACTUALIZACIÓN!$C$1="enero",[1]ACTUALIZACIÓN!$C$2-2,[1]ACTUALIZACIÓN!$C$2-1)),0)+IFERROR(GETPIVOTDATA("Suma de dias x plazas",'[1]TTDD DATOS'!$B$49,"País","Total","categoría","Total","tipología","extrahotelera","zona","santa cruz","Fecha","abril","municipio","total municipios","Años",IF([1]ACTUALIZACIÓN!$C$1="enero",[1]ACTUALIZACIÓN!$C$2-2,[1]ACTUALIZACIÓN!$C$2-1)),0)+IFERROR(GETPIVOTDATA("Suma de dias x plazas",'[1]TTDD DATOS'!$B$49,"País","Total","categoría","Total","tipología","extrahotelera","zona","santa cruz","Fecha","mayo","municipio","total municipios","Años",IF([1]ACTUALIZACIÓN!$C$1="enero",[1]ACTUALIZACIÓN!$C$2-2,[1]ACTUALIZACIÓN!$C$2-1)),0)+IFERROR(GETPIVOTDATA("Suma de dias x plazas",'[1]TTDD DATOS'!$B$49,"País","Total","categoría","Total","tipología","extrahotelera","zona","santa cruz","Fecha","junio","municipio","total municipios","Años",IF([1]ACTUALIZACIÓN!$C$1="enero",[1]ACTUALIZACIÓN!$C$2-2,[1]ACTUALIZACIÓN!$C$2-1)),0)+IFERROR(GETPIVOTDATA("Suma de dias x plazas",'[1]TTDD DATOS'!$B$49,"País","Total","categoría","Total","tipología","extrahotelera","zona","santa cruz","Fecha","julio","municipio","total municipios","Años",IF([1]ACTUALIZACIÓN!$C$1="enero",[1]ACTUALIZACIÓN!$C$2-2,[1]ACTUALIZACIÓN!$C$2-1)),0)+IFERROR(GETPIVOTDATA("Suma de dias x plazas",'[1]TTDD DATOS'!$B$49,"País","Total","categoría","Total","tipología","extrahotelera","zona","santa cruz","Fecha","agosto","municipio","total municipios","Años",IF([1]ACTUALIZACIÓN!$C$1="enero",[1]ACTUALIZACIÓN!$C$2-2,[1]ACTUALIZACIÓN!$C$2-1)),0)+IFERROR(GETPIVOTDATA("Suma de dias x plazas",'[1]TTDD DATOS'!$B$49,"País","Total","categoría","Total","tipología","extrahotelera","zona","santa cruz","Fecha","septiembre","municipio","total municipios","Años",IF([1]ACTUALIZACIÓN!$C$1="enero",[1]ACTUALIZACIÓN!$C$2-2,[1]ACTUALIZACIÓN!$C$2-1)),0)+IFERROR(GETPIVOTDATA("Suma de dias x plazas",'[1]TTDD DATOS'!$B$49,"País","Total","categoría","Total","tipología","extrahotelera","zona","santa cruz","Fecha","octubre","municipio","total municipios","Años",IF([1]ACTUALIZACIÓN!$C$1="enero",[1]ACTUALIZACIÓN!$C$2-2,[1]ACTUALIZACIÓN!$C$2-1)),0)+IFERROR(GETPIVOTDATA("Suma de dias x plazas",'[1]TTDD DATOS'!$B$49,"País","Total","categoría","Total","tipología","extrahotelera","zona","santa cruz","Fecha","noviembre","municipio","total municipios","Años",IF([1]ACTUALIZACIÓN!$C$1="enero",[1]ACTUALIZACIÓN!$C$2-2,[1]ACTUALIZACIÓN!$C$2-1)),0)+IFERROR(GETPIVOTDATA("Suma de dias x plazas",'[1]TTDD DATOS'!$B$49,"País","Total","categoría","Total","tipología","extrahotelera","zona","santa cruz","Fecha","diciembre","municipio","total municipios","Años",IF([1]ACTUALIZACIÓN!$C$1="enero",[1]ACTUALIZACIÓN!$C$2-2,[1]ACTUALIZACIÓN!$C$2-1)),0)))-1,"-")</f>
        <v>-</v>
      </c>
      <c r="M73" s="39"/>
    </row>
    <row r="74" spans="3:13" ht="24.75" customHeight="1" x14ac:dyDescent="0.2">
      <c r="C74" s="71" t="s">
        <v>13</v>
      </c>
      <c r="D74" s="72"/>
      <c r="E74" s="73" t="s">
        <v>8</v>
      </c>
      <c r="F74" s="144">
        <f>GETPIVOTDATA("Suma de pernoctaciones",'[1]TTDD DATOS'!$B$6,"País","Total","categoría","Total","tipología","Total","zona","la laguna-bajamar-la punta","municipio","total municipios","Años",[1]ACTUALIZACIÓN!$C$2)/GETPIVOTDATA("Suma de dias x plazas",'[1]TTDD DATOS'!$B$6,"País","Total","categoría","Total","tipología","Total","zona","la laguna-bajamar-la punta","municipio","total municipios","Años",[1]ACTUALIZACIÓN!$C$2)</f>
        <v>0.53129776976443377</v>
      </c>
      <c r="G74" s="57">
        <f>(GETPIVOTDATA("Suma de pernoctaciones",'[1]TTDD DATOS'!$B$6,"País","Total","categoría","Total","tipología","Total","zona","la laguna-bajamar-la punta","municipio","total municipios","Años",[1]ACTUALIZACIÓN!$C$2)/GETPIVOTDATA("Suma de dias x plazas",'[1]TTDD DATOS'!$B$6,"País","Total","categoría","Total","tipología","Total","zona","la laguna-bajamar-la punta","municipio","total municipios","Años",[1]ACTUALIZACIÓN!$C$2))/(GETPIVOTDATA("Suma de pernoctaciones",'[1]TTDD DATOS'!$B$6,"País","Total","categoría","Total","tipología","Total","zona","la laguna-bajamar-la punta","municipio","total municipios","Años",[1]ACTUALIZACIÓN!$C$2-1)/GETPIVOTDATA("Suma de dias x plazas",'[1]TTDD DATOS'!$B$6,"País","Total","categoría","Total","tipología","Total","zona","la laguna-bajamar-la punta","municipio","total municipios","Años",[1]ACTUALIZACIÓN!$C$2-1))-1</f>
        <v>1.0492112332337973</v>
      </c>
      <c r="H74" s="58"/>
      <c r="I74" s="75" t="s">
        <v>13</v>
      </c>
      <c r="J74" s="73" t="s">
        <v>8</v>
      </c>
      <c r="K74" s="144">
        <f>GETPIVOTDATA("Suma de pernoctaciones",'[1]TTDD DATOS'!$B$49,"País","Total","categoría","Total","tipología","Total","zona","la laguna-bajamar-la punta","municipio","total municipios","Años",IF([1]ACTUALIZACIÓN!$C$1="enero",[1]ACTUALIZACIÓN!$C$2-1,[1]ACTUALIZACIÓN!$C$2))/(IFERROR(GETPIVOTDATA("Suma de dias x plazas",'[1]TTDD DATOS'!$B$49,"País","Total","categoría","Total","tipología","Total","zona","la laguna-bajamar-la punta","Fecha","enero","municipio","total municipios","Años",IF([1]ACTUALIZACIÓN!$C$1="enero",[1]ACTUALIZACIÓN!$C$2-1,[1]ACTUALIZACIÓN!$C$2)),0)+IFERROR(GETPIVOTDATA("Suma de dias x plazas",'[1]TTDD DATOS'!$B$49,"País","Total","categoría","Total","tipología","Total","zona","la laguna-bajamar-la punta","Fecha","febrero","municipio","total municipios","Años",IF([1]ACTUALIZACIÓN!$C$1="enero",[1]ACTUALIZACIÓN!$C$2-1,[1]ACTUALIZACIÓN!$C$2)),0)+IFERROR(GETPIVOTDATA("Suma de dias x plazas",'[1]TTDD DATOS'!$B$49,"País","Total","categoría","Total","tipología","Total","zona","la laguna-bajamar-la punta","Fecha","marzo","municipio","total municipios","Años",IF([1]ACTUALIZACIÓN!$C$1="enero",[1]ACTUALIZACIÓN!$C$2-1,[1]ACTUALIZACIÓN!$C$2)),0)+IFERROR(GETPIVOTDATA("Suma de dias x plazas",'[1]TTDD DATOS'!$B$49,"País","Total","categoría","Total","tipología","Total","zona","la laguna-bajamar-la punta","Fecha","abril","municipio","total municipios","Años",IF([1]ACTUALIZACIÓN!$C$1="enero",[1]ACTUALIZACIÓN!$C$2-1,[1]ACTUALIZACIÓN!$C$2)),0)+IFERROR(GETPIVOTDATA("Suma de dias x plazas",'[1]TTDD DATOS'!$B$49,"País","Total","categoría","Total","tipología","Total","zona","la laguna-bajamar-la punta","Fecha","mayo","municipio","total municipios","Años",IF([1]ACTUALIZACIÓN!$C$1="enero",[1]ACTUALIZACIÓN!$C$2-1,[1]ACTUALIZACIÓN!$C$2)),0)+IFERROR(GETPIVOTDATA("Suma de dias x plazas",'[1]TTDD DATOS'!$B$49,"País","Total","categoría","Total","tipología","Total","zona","la laguna-bajamar-la punta","Fecha","junio","municipio","total municipios","Años",IF([1]ACTUALIZACIÓN!$C$1="enero",[1]ACTUALIZACIÓN!$C$2-1,[1]ACTUALIZACIÓN!$C$2)),0)+IFERROR(GETPIVOTDATA("Suma de dias x plazas",'[1]TTDD DATOS'!$B$49,"País","Total","categoría","Total","tipología","Total","zona","la laguna-bajamar-la punta","Fecha","julio","municipio","total municipios","Años",IF([1]ACTUALIZACIÓN!$C$1="enero",[1]ACTUALIZACIÓN!$C$2-1,[1]ACTUALIZACIÓN!$C$2)),0)+IFERROR(GETPIVOTDATA("Suma de dias x plazas",'[1]TTDD DATOS'!$B$49,"País","Total","categoría","Total","tipología","Total","zona","la laguna-bajamar-la punta","Fecha","agosto","municipio","total municipios","Años",IF([1]ACTUALIZACIÓN!$C$1="enero",[1]ACTUALIZACIÓN!$C$2-1,[1]ACTUALIZACIÓN!$C$2)),0)+IFERROR(GETPIVOTDATA("Suma de dias x plazas",'[1]TTDD DATOS'!$B$49,"País","Total","categoría","Total","tipología","Total","zona","la laguna-bajamar-la punta","Fecha","septiembre","municipio","total municipios","Años",IF([1]ACTUALIZACIÓN!$C$1="enero",[1]ACTUALIZACIÓN!$C$2-1,[1]ACTUALIZACIÓN!$C$2)),0)+IFERROR(GETPIVOTDATA("Suma de dias x plazas",'[1]TTDD DATOS'!$B$49,"País","Total","categoría","Total","tipología","Total","zona","la laguna-bajamar-la punta","Fecha","octubre","municipio","total municipios","Años",IF([1]ACTUALIZACIÓN!$C$1="enero",[1]ACTUALIZACIÓN!$C$2-1,[1]ACTUALIZACIÓN!$C$2)),0)+IFERROR(GETPIVOTDATA("Suma de dias x plazas",'[1]TTDD DATOS'!$B$49,"País","Total","categoría","Total","tipología","Total","zona","la laguna-bajamar-la punta","Fecha","noviembre","municipio","total municipios","Años",IF([1]ACTUALIZACIÓN!$C$1="enero",[1]ACTUALIZACIÓN!$C$2-1,[1]ACTUALIZACIÓN!$C$2)),0)+IFERROR(GETPIVOTDATA("Suma de dias x plazas",'[1]TTDD DATOS'!$B$49,"País","Total","categoría","Total","tipología","Total","zona","la laguna-bajamar-la punta","Fecha","diciembre","municipio","total municipios","Años",IF([1]ACTUALIZACIÓN!$C$1="enero",[1]ACTUALIZACIÓN!$C$2-1,[1]ACTUALIZACIÓN!$C$2)),0))</f>
        <v>0.52999864992574597</v>
      </c>
      <c r="L74" s="38">
        <f>(GETPIVOTDATA("Suma de pernoctaciones",'[1]TTDD DATOS'!$B$49,"País","Total","categoría","Total","tipología","Total","zona","la laguna-bajamar-la punta","municipio","total municipios","Años",IF([1]ACTUALIZACIÓN!$C$1="enero",[1]ACTUALIZACIÓN!$C$2-1,[1]ACTUALIZACIÓN!$C$2))/(IFERROR(GETPIVOTDATA("Suma de dias x plazas",'[1]TTDD DATOS'!$B$49,"País","Total","categoría","Total","tipología","Total","zona","la laguna-bajamar-la punta","Fecha","enero","municipio","total municipios","Años",IF([1]ACTUALIZACIÓN!$C$1="enero",[1]ACTUALIZACIÓN!$C$2-1,[1]ACTUALIZACIÓN!$C$2)),0)+IFERROR(GETPIVOTDATA("Suma de dias x plazas",'[1]TTDD DATOS'!$B$49,"País","Total","categoría","Total","tipología","Total","zona","la laguna-bajamar-la punta","Fecha","febrero","municipio","total municipios","Años",IF([1]ACTUALIZACIÓN!$C$1="enero",[1]ACTUALIZACIÓN!$C$2-1,[1]ACTUALIZACIÓN!$C$2)),0)+IFERROR(GETPIVOTDATA("Suma de dias x plazas",'[1]TTDD DATOS'!$B$49,"País","Total","categoría","Total","tipología","Total","zona","la laguna-bajamar-la punta","Fecha","marzo","municipio","total municipios","Años",IF([1]ACTUALIZACIÓN!$C$1="enero",[1]ACTUALIZACIÓN!$C$2-1,[1]ACTUALIZACIÓN!$C$2)),0)+IFERROR(GETPIVOTDATA("Suma de dias x plazas",'[1]TTDD DATOS'!$B$49,"País","Total","categoría","Total","tipología","Total","zona","la laguna-bajamar-la punta","Fecha","abril","municipio","total municipios","Años",IF([1]ACTUALIZACIÓN!$C$1="enero",[1]ACTUALIZACIÓN!$C$2-1,[1]ACTUALIZACIÓN!$C$2)),0)+IFERROR(GETPIVOTDATA("Suma de dias x plazas",'[1]TTDD DATOS'!$B$49,"País","Total","categoría","Total","tipología","Total","zona","la laguna-bajamar-la punta","Fecha","mayo","municipio","total municipios","Años",IF([1]ACTUALIZACIÓN!$C$1="enero",[1]ACTUALIZACIÓN!$C$2-1,[1]ACTUALIZACIÓN!$C$2)),0)+IFERROR(GETPIVOTDATA("Suma de dias x plazas",'[1]TTDD DATOS'!$B$49,"País","Total","categoría","Total","tipología","Total","zona","la laguna-bajamar-la punta","Fecha","junio","municipio","total municipios","Años",IF([1]ACTUALIZACIÓN!$C$1="enero",[1]ACTUALIZACIÓN!$C$2-1,[1]ACTUALIZACIÓN!$C$2)),0)+IFERROR(GETPIVOTDATA("Suma de dias x plazas",'[1]TTDD DATOS'!$B$49,"País","Total","categoría","Total","tipología","Total","zona","la laguna-bajamar-la punta","Fecha","julio","municipio","total municipios","Años",IF([1]ACTUALIZACIÓN!$C$1="enero",[1]ACTUALIZACIÓN!$C$2-1,[1]ACTUALIZACIÓN!$C$2)),0)+IFERROR(GETPIVOTDATA("Suma de dias x plazas",'[1]TTDD DATOS'!$B$49,"País","Total","categoría","Total","tipología","Total","zona","la laguna-bajamar-la punta","Fecha","agosto","municipio","total municipios","Años",IF([1]ACTUALIZACIÓN!$C$1="enero",[1]ACTUALIZACIÓN!$C$2-1,[1]ACTUALIZACIÓN!$C$2)),0)+IFERROR(GETPIVOTDATA("Suma de dias x plazas",'[1]TTDD DATOS'!$B$49,"País","Total","categoría","Total","tipología","Total","zona","la laguna-bajamar-la punta","Fecha","septiembre","municipio","total municipios","Años",IF([1]ACTUALIZACIÓN!$C$1="enero",[1]ACTUALIZACIÓN!$C$2-1,[1]ACTUALIZACIÓN!$C$2)),0)+IFERROR(GETPIVOTDATA("Suma de dias x plazas",'[1]TTDD DATOS'!$B$49,"País","Total","categoría","Total","tipología","Total","zona","la laguna-bajamar-la punta","Fecha","octubre","municipio","total municipios","Años",IF([1]ACTUALIZACIÓN!$C$1="enero",[1]ACTUALIZACIÓN!$C$2-1,[1]ACTUALIZACIÓN!$C$2)),0)+IFERROR(GETPIVOTDATA("Suma de dias x plazas",'[1]TTDD DATOS'!$B$49,"País","Total","categoría","Total","tipología","Total","zona","la laguna-bajamar-la punta","Fecha","noviembre","municipio","total municipios","Años",IF([1]ACTUALIZACIÓN!$C$1="enero",[1]ACTUALIZACIÓN!$C$2-1,[1]ACTUALIZACIÓN!$C$2)),0)+IFERROR(GETPIVOTDATA("Suma de dias x plazas",'[1]TTDD DATOS'!$B$49,"País","Total","categoría","Total","tipología","Total","zona","la laguna-bajamar-la punta","Fecha","diciembre","municipio","total municipios","Años",IF([1]ACTUALIZACIÓN!$C$1="enero",[1]ACTUALIZACIÓN!$C$2-1,[1]ACTUALIZACIÓN!$C$2)),0)))/(GETPIVOTDATA("Suma de pernoctaciones",'[1]TTDD DATOS'!$B$49,"País","Total","categoría","Total","tipología","Total","zona","la laguna-bajamar-la punta","municipio","total municipios","Años",IF([1]ACTUALIZACIÓN!$C$1="enero",[1]ACTUALIZACIÓN!$C$2-2,[1]ACTUALIZACIÓN!$C$2-1))/(IFERROR(GETPIVOTDATA("Suma de dias x plazas",'[1]TTDD DATOS'!$B$49,"País","Total","categoría","Total","tipología","Total","zona","la laguna-bajamar-la punta","Fecha","enero","municipio","total municipios","Años",IF([1]ACTUALIZACIÓN!$C$1="enero",[1]ACTUALIZACIÓN!$C$2-2,[1]ACTUALIZACIÓN!$C$2-1)),0)+IFERROR(GETPIVOTDATA("Suma de dias x plazas",'[1]TTDD DATOS'!$B$49,"País","Total","categoría","Total","tipología","Total","zona","la laguna-bajamar-la punta","Fecha","febrero","municipio","total municipios","Años",IF([1]ACTUALIZACIÓN!$C$1="enero",[1]ACTUALIZACIÓN!$C$2-2,[1]ACTUALIZACIÓN!$C$2-1)),0)+IFERROR(GETPIVOTDATA("Suma de dias x plazas",'[1]TTDD DATOS'!$B$49,"País","Total","categoría","Total","tipología","Total","zona","la laguna-bajamar-la punta","Fecha","marzo","municipio","total municipios","Años",IF([1]ACTUALIZACIÓN!$C$1="enero",[1]ACTUALIZACIÓN!$C$2-2,[1]ACTUALIZACIÓN!$C$2-1)),0)+IFERROR(GETPIVOTDATA("Suma de dias x plazas",'[1]TTDD DATOS'!$B$49,"País","Total","categoría","Total","tipología","Total","zona","la laguna-bajamar-la punta","Fecha","abril","municipio","total municipios","Años",IF([1]ACTUALIZACIÓN!$C$1="enero",[1]ACTUALIZACIÓN!$C$2-2,[1]ACTUALIZACIÓN!$C$2-1)),0)+IFERROR(GETPIVOTDATA("Suma de dias x plazas",'[1]TTDD DATOS'!$B$49,"País","Total","categoría","Total","tipología","Total","zona","la laguna-bajamar-la punta","Fecha","mayo","municipio","total municipios","Años",IF([1]ACTUALIZACIÓN!$C$1="enero",[1]ACTUALIZACIÓN!$C$2-2,[1]ACTUALIZACIÓN!$C$2-1)),0)+IFERROR(GETPIVOTDATA("Suma de dias x plazas",'[1]TTDD DATOS'!$B$49,"País","Total","categoría","Total","tipología","Total","zona","la laguna-bajamar-la punta","Fecha","junio","municipio","total municipios","Años",IF([1]ACTUALIZACIÓN!$C$1="enero",[1]ACTUALIZACIÓN!$C$2-2,[1]ACTUALIZACIÓN!$C$2-1)),0)+IFERROR(GETPIVOTDATA("Suma de dias x plazas",'[1]TTDD DATOS'!$B$49,"País","Total","categoría","Total","tipología","Total","zona","la laguna-bajamar-la punta","Fecha","julio","municipio","total municipios","Años",IF([1]ACTUALIZACIÓN!$C$1="enero",[1]ACTUALIZACIÓN!$C$2-2,[1]ACTUALIZACIÓN!$C$2-1)),0)+IFERROR(GETPIVOTDATA("Suma de dias x plazas",'[1]TTDD DATOS'!$B$49,"País","Total","categoría","Total","tipología","Total","zona","la laguna-bajamar-la punta","Fecha","agosto","municipio","total municipios","Años",IF([1]ACTUALIZACIÓN!$C$1="enero",[1]ACTUALIZACIÓN!$C$2-2,[1]ACTUALIZACIÓN!$C$2-1)),0)+IFERROR(GETPIVOTDATA("Suma de dias x plazas",'[1]TTDD DATOS'!$B$49,"País","Total","categoría","Total","tipología","Total","zona","la laguna-bajamar-la punta","Fecha","septiembre","municipio","total municipios","Años",IF([1]ACTUALIZACIÓN!$C$1="enero",[1]ACTUALIZACIÓN!$C$2-2,[1]ACTUALIZACIÓN!$C$2-1)),0)+IFERROR(GETPIVOTDATA("Suma de dias x plazas",'[1]TTDD DATOS'!$B$49,"País","Total","categoría","Total","tipología","Total","zona","la laguna-bajamar-la punta","Fecha","octubre","municipio","total municipios","Años",IF([1]ACTUALIZACIÓN!$C$1="enero",[1]ACTUALIZACIÓN!$C$2-2,[1]ACTUALIZACIÓN!$C$2-1)),0)+IFERROR(GETPIVOTDATA("Suma de dias x plazas",'[1]TTDD DATOS'!$B$49,"País","Total","categoría","Total","tipología","Total","zona","la laguna-bajamar-la punta","Fecha","noviembre","municipio","total municipios","Años",IF([1]ACTUALIZACIÓN!$C$1="enero",[1]ACTUALIZACIÓN!$C$2-2,[1]ACTUALIZACIÓN!$C$2-1)),0)+IFERROR(GETPIVOTDATA("Suma de dias x plazas",'[1]TTDD DATOS'!$B$49,"País","Total","categoría","Total","tipología","Total","zona","la laguna-bajamar-la punta","Fecha","diciembre","municipio","total municipios","Años",IF([1]ACTUALIZACIÓN!$C$1="enero",[1]ACTUALIZACIÓN!$C$2-2,[1]ACTUALIZACIÓN!$C$2-1)),0)))-1</f>
        <v>1.4484533418189907</v>
      </c>
      <c r="M74" s="39"/>
    </row>
    <row r="75" spans="3:13" ht="24.75" customHeight="1" x14ac:dyDescent="0.2">
      <c r="C75" s="76"/>
      <c r="D75" s="77"/>
      <c r="E75" s="78" t="s">
        <v>10</v>
      </c>
      <c r="F75" s="145">
        <f>GETPIVOTDATA("Suma de pernoctaciones",'[1]TTDD DATOS'!$B$6,"País","Total","categoría","Total","tipología","hotelera","zona","la laguna-bajamar-la punta","municipio","total municipios","Años",[1]ACTUALIZACIÓN!$C$2)/GETPIVOTDATA("Suma de dias x plazas",'[1]TTDD DATOS'!$B$6,"País","Total","categoría","Total","tipología","hotelera","zona","la laguna-bajamar-la punta","municipio","total municipios","Años",[1]ACTUALIZACIÓN!$C$2)</f>
        <v>0.60738064516129031</v>
      </c>
      <c r="G75" s="42">
        <f>(GETPIVOTDATA("Suma de pernoctaciones",'[1]TTDD DATOS'!$B$6,"País","Total","categoría","Total","tipología","hotelera","zona","la laguna-bajamar-la punta","municipio","total municipios","Años",[1]ACTUALIZACIÓN!$C$2)/GETPIVOTDATA("Suma de dias x plazas",'[1]TTDD DATOS'!$B$6,"País","Total","categoría","Total","tipología","hotelera","zona","la laguna-bajamar-la punta","municipio","total municipios","Años",[1]ACTUALIZACIÓN!$C$2))/(GETPIVOTDATA("Suma de pernoctaciones",'[1]TTDD DATOS'!$B$6,"País","Total","categoría","Total","tipología","hotelera","zona","la laguna-bajamar-la punta","municipio","total municipios","Años",[1]ACTUALIZACIÓN!$C$2-1)/GETPIVOTDATA("Suma de dias x plazas",'[1]TTDD DATOS'!$B$6,"País","Total","categoría","Total","tipología","hotelera","zona","la laguna-bajamar-la punta","municipio","total municipios","Años",[1]ACTUALIZACIÓN!$C$2-1))-1</f>
        <v>1.2190640476715955</v>
      </c>
      <c r="H75" s="58"/>
      <c r="I75" s="80"/>
      <c r="J75" s="78" t="s">
        <v>10</v>
      </c>
      <c r="K75" s="145">
        <f>GETPIVOTDATA("Suma de pernoctaciones",'[1]TTDD DATOS'!$B$49,"País","Total","categoría","Total","tipología","hotelera","zona","la laguna-bajamar-la punta","municipio","total municipios","Años",IF([1]ACTUALIZACIÓN!$C$1="enero",[1]ACTUALIZACIÓN!$C$2-1,[1]ACTUALIZACIÓN!$C$2))/(IFERROR(GETPIVOTDATA("Suma de dias x plazas",'[1]TTDD DATOS'!$B$49,"País","Total","categoría","Total","tipología","hotelera","zona","la laguna-bajamar-la punta","Fecha","enero","municipio","total municipios","Años",IF([1]ACTUALIZACIÓN!$C$1="enero",[1]ACTUALIZACIÓN!$C$2-1,[1]ACTUALIZACIÓN!$C$2)),0)+IFERROR(GETPIVOTDATA("Suma de dias x plazas",'[1]TTDD DATOS'!$B$49,"País","Total","categoría","Total","tipología","hotelera","zona","la laguna-bajamar-la punta","Fecha","febrero","municipio","total municipios","Años",IF([1]ACTUALIZACIÓN!$C$1="enero",[1]ACTUALIZACIÓN!$C$2-1,[1]ACTUALIZACIÓN!$C$2)),0)+IFERROR(GETPIVOTDATA("Suma de dias x plazas",'[1]TTDD DATOS'!$B$49,"País","Total","categoría","Total","tipología","hotelera","zona","la laguna-bajamar-la punta","Fecha","marzo","municipio","total municipios","Años",IF([1]ACTUALIZACIÓN!$C$1="enero",[1]ACTUALIZACIÓN!$C$2-1,[1]ACTUALIZACIÓN!$C$2)),0)+IFERROR(GETPIVOTDATA("Suma de dias x plazas",'[1]TTDD DATOS'!$B$49,"País","Total","categoría","Total","tipología","hotelera","zona","la laguna-bajamar-la punta","Fecha","abril","municipio","total municipios","Años",IF([1]ACTUALIZACIÓN!$C$1="enero",[1]ACTUALIZACIÓN!$C$2-1,[1]ACTUALIZACIÓN!$C$2)),0)+IFERROR(GETPIVOTDATA("Suma de dias x plazas",'[1]TTDD DATOS'!$B$49,"País","Total","categoría","Total","tipología","hotelera","zona","la laguna-bajamar-la punta","Fecha","mayo","municipio","total municipios","Años",IF([1]ACTUALIZACIÓN!$C$1="enero",[1]ACTUALIZACIÓN!$C$2-1,[1]ACTUALIZACIÓN!$C$2)),0)+IFERROR(GETPIVOTDATA("Suma de dias x plazas",'[1]TTDD DATOS'!$B$49,"País","Total","categoría","Total","tipología","hotelera","zona","la laguna-bajamar-la punta","Fecha","junio","municipio","total municipios","Años",IF([1]ACTUALIZACIÓN!$C$1="enero",[1]ACTUALIZACIÓN!$C$2-1,[1]ACTUALIZACIÓN!$C$2)),0)+IFERROR(GETPIVOTDATA("Suma de dias x plazas",'[1]TTDD DATOS'!$B$49,"País","Total","categoría","Total","tipología","hotelera","zona","la laguna-bajamar-la punta","Fecha","julio","municipio","total municipios","Años",IF([1]ACTUALIZACIÓN!$C$1="enero",[1]ACTUALIZACIÓN!$C$2-1,[1]ACTUALIZACIÓN!$C$2)),0)+IFERROR(GETPIVOTDATA("Suma de dias x plazas",'[1]TTDD DATOS'!$B$49,"País","Total","categoría","Total","tipología","hotelera","zona","la laguna-bajamar-la punta","Fecha","agosto","municipio","total municipios","Años",IF([1]ACTUALIZACIÓN!$C$1="enero",[1]ACTUALIZACIÓN!$C$2-1,[1]ACTUALIZACIÓN!$C$2)),0)+IFERROR(GETPIVOTDATA("Suma de dias x plazas",'[1]TTDD DATOS'!$B$49,"País","Total","categoría","Total","tipología","hotelera","zona","la laguna-bajamar-la punta","Fecha","septiembre","municipio","total municipios","Años",IF([1]ACTUALIZACIÓN!$C$1="enero",[1]ACTUALIZACIÓN!$C$2-1,[1]ACTUALIZACIÓN!$C$2)),0)+IFERROR(GETPIVOTDATA("Suma de dias x plazas",'[1]TTDD DATOS'!$B$49,"País","Total","categoría","Total","tipología","hotelera","zona","la laguna-bajamar-la punta","Fecha","octubre","municipio","total municipios","Años",IF([1]ACTUALIZACIÓN!$C$1="enero",[1]ACTUALIZACIÓN!$C$2-1,[1]ACTUALIZACIÓN!$C$2)),0)+IFERROR(GETPIVOTDATA("Suma de dias x plazas",'[1]TTDD DATOS'!$B$49,"País","Total","categoría","Total","tipología","hotelera","zona","la laguna-bajamar-la punta","Fecha","noviembre","municipio","total municipios","Años",IF([1]ACTUALIZACIÓN!$C$1="enero",[1]ACTUALIZACIÓN!$C$2-1,[1]ACTUALIZACIÓN!$C$2)),0)+IFERROR(GETPIVOTDATA("Suma de dias x plazas",'[1]TTDD DATOS'!$B$49,"País","Total","categoría","Total","tipología","hotelera","zona","la laguna-bajamar-la punta","Fecha","diciembre","municipio","total municipios","Años",IF([1]ACTUALIZACIÓN!$C$1="enero",[1]ACTUALIZACIÓN!$C$2-1,[1]ACTUALIZACIÓN!$C$2)),0))</f>
        <v>0.60520888888888891</v>
      </c>
      <c r="L75" s="45">
        <f>(GETPIVOTDATA("Suma de pernoctaciones",'[1]TTDD DATOS'!$B$49,"País","Total","categoría","Total","tipología","hotelera","zona","la laguna-bajamar-la punta","municipio","total municipios","Años",IF([1]ACTUALIZACIÓN!$C$1="enero",[1]ACTUALIZACIÓN!$C$2-1,[1]ACTUALIZACIÓN!$C$2))/(IFERROR(GETPIVOTDATA("Suma de dias x plazas",'[1]TTDD DATOS'!$B$49,"País","Total","categoría","Total","tipología","hotelera","zona","la laguna-bajamar-la punta","Fecha","enero","municipio","total municipios","Años",IF([1]ACTUALIZACIÓN!$C$1="enero",[1]ACTUALIZACIÓN!$C$2-1,[1]ACTUALIZACIÓN!$C$2)),0)+IFERROR(GETPIVOTDATA("Suma de dias x plazas",'[1]TTDD DATOS'!$B$49,"País","Total","categoría","Total","tipología","hotelera","zona","la laguna-bajamar-la punta","Fecha","febrero","municipio","total municipios","Años",IF([1]ACTUALIZACIÓN!$C$1="enero",[1]ACTUALIZACIÓN!$C$2-1,[1]ACTUALIZACIÓN!$C$2)),0)+IFERROR(GETPIVOTDATA("Suma de dias x plazas",'[1]TTDD DATOS'!$B$49,"País","Total","categoría","Total","tipología","hotelera","zona","la laguna-bajamar-la punta","Fecha","marzo","municipio","total municipios","Años",IF([1]ACTUALIZACIÓN!$C$1="enero",[1]ACTUALIZACIÓN!$C$2-1,[1]ACTUALIZACIÓN!$C$2)),0)+IFERROR(GETPIVOTDATA("Suma de dias x plazas",'[1]TTDD DATOS'!$B$49,"País","Total","categoría","Total","tipología","hotelera","zona","la laguna-bajamar-la punta","Fecha","abril","municipio","total municipios","Años",IF([1]ACTUALIZACIÓN!$C$1="enero",[1]ACTUALIZACIÓN!$C$2-1,[1]ACTUALIZACIÓN!$C$2)),0)+IFERROR(GETPIVOTDATA("Suma de dias x plazas",'[1]TTDD DATOS'!$B$49,"País","Total","categoría","Total","tipología","hotelera","zona","la laguna-bajamar-la punta","Fecha","mayo","municipio","total municipios","Años",IF([1]ACTUALIZACIÓN!$C$1="enero",[1]ACTUALIZACIÓN!$C$2-1,[1]ACTUALIZACIÓN!$C$2)),0)+IFERROR(GETPIVOTDATA("Suma de dias x plazas",'[1]TTDD DATOS'!$B$49,"País","Total","categoría","Total","tipología","hotelera","zona","la laguna-bajamar-la punta","Fecha","junio","municipio","total municipios","Años",IF([1]ACTUALIZACIÓN!$C$1="enero",[1]ACTUALIZACIÓN!$C$2-1,[1]ACTUALIZACIÓN!$C$2)),0)+IFERROR(GETPIVOTDATA("Suma de dias x plazas",'[1]TTDD DATOS'!$B$49,"País","Total","categoría","Total","tipología","hotelera","zona","la laguna-bajamar-la punta","Fecha","julio","municipio","total municipios","Años",IF([1]ACTUALIZACIÓN!$C$1="enero",[1]ACTUALIZACIÓN!$C$2-1,[1]ACTUALIZACIÓN!$C$2)),0)+IFERROR(GETPIVOTDATA("Suma de dias x plazas",'[1]TTDD DATOS'!$B$49,"País","Total","categoría","Total","tipología","hotelera","zona","la laguna-bajamar-la punta","Fecha","agosto","municipio","total municipios","Años",IF([1]ACTUALIZACIÓN!$C$1="enero",[1]ACTUALIZACIÓN!$C$2-1,[1]ACTUALIZACIÓN!$C$2)),0)+IFERROR(GETPIVOTDATA("Suma de dias x plazas",'[1]TTDD DATOS'!$B$49,"País","Total","categoría","Total","tipología","hotelera","zona","la laguna-bajamar-la punta","Fecha","septiembre","municipio","total municipios","Años",IF([1]ACTUALIZACIÓN!$C$1="enero",[1]ACTUALIZACIÓN!$C$2-1,[1]ACTUALIZACIÓN!$C$2)),0)+IFERROR(GETPIVOTDATA("Suma de dias x plazas",'[1]TTDD DATOS'!$B$49,"País","Total","categoría","Total","tipología","hotelera","zona","la laguna-bajamar-la punta","Fecha","octubre","municipio","total municipios","Años",IF([1]ACTUALIZACIÓN!$C$1="enero",[1]ACTUALIZACIÓN!$C$2-1,[1]ACTUALIZACIÓN!$C$2)),0)+IFERROR(GETPIVOTDATA("Suma de dias x plazas",'[1]TTDD DATOS'!$B$49,"País","Total","categoría","Total","tipología","hotelera","zona","la laguna-bajamar-la punta","Fecha","noviembre","municipio","total municipios","Años",IF([1]ACTUALIZACIÓN!$C$1="enero",[1]ACTUALIZACIÓN!$C$2-1,[1]ACTUALIZACIÓN!$C$2)),0)+IFERROR(GETPIVOTDATA("Suma de dias x plazas",'[1]TTDD DATOS'!$B$49,"País","Total","categoría","Total","tipología","hotelera","zona","la laguna-bajamar-la punta","Fecha","diciembre","municipio","total municipios","Años",IF([1]ACTUALIZACIÓN!$C$1="enero",[1]ACTUALIZACIÓN!$C$2-1,[1]ACTUALIZACIÓN!$C$2)),0)))/(GETPIVOTDATA("Suma de pernoctaciones",'[1]TTDD DATOS'!$B$49,"País","Total","categoría","Total","tipología","hotelera","zona","la laguna-bajamar-la punta","municipio","total municipios","Años",IF([1]ACTUALIZACIÓN!$C$1="enero",[1]ACTUALIZACIÓN!$C$2-2,[1]ACTUALIZACIÓN!$C$2-1))/(IFERROR(GETPIVOTDATA("Suma de dias x plazas",'[1]TTDD DATOS'!$B$49,"País","Total","categoría","Total","tipología","hotelera","zona","la laguna-bajamar-la punta","Fecha","enero","municipio","total municipios","Años",IF([1]ACTUALIZACIÓN!$C$1="enero",[1]ACTUALIZACIÓN!$C$2-2,[1]ACTUALIZACIÓN!$C$2-1)),0)+IFERROR(GETPIVOTDATA("Suma de dias x plazas",'[1]TTDD DATOS'!$B$49,"País","Total","categoría","Total","tipología","hotelera","zona","la laguna-bajamar-la punta","Fecha","febrero","municipio","total municipios","Años",IF([1]ACTUALIZACIÓN!$C$1="enero",[1]ACTUALIZACIÓN!$C$2-2,[1]ACTUALIZACIÓN!$C$2-1)),0)+IFERROR(GETPIVOTDATA("Suma de dias x plazas",'[1]TTDD DATOS'!$B$49,"País","Total","categoría","Total","tipología","hotelera","zona","la laguna-bajamar-la punta","Fecha","marzo","municipio","total municipios","Años",IF([1]ACTUALIZACIÓN!$C$1="enero",[1]ACTUALIZACIÓN!$C$2-2,[1]ACTUALIZACIÓN!$C$2-1)),0)+IFERROR(GETPIVOTDATA("Suma de dias x plazas",'[1]TTDD DATOS'!$B$49,"País","Total","categoría","Total","tipología","hotelera","zona","la laguna-bajamar-la punta","Fecha","abril","municipio","total municipios","Años",IF([1]ACTUALIZACIÓN!$C$1="enero",[1]ACTUALIZACIÓN!$C$2-2,[1]ACTUALIZACIÓN!$C$2-1)),0)+IFERROR(GETPIVOTDATA("Suma de dias x plazas",'[1]TTDD DATOS'!$B$49,"País","Total","categoría","Total","tipología","hotelera","zona","la laguna-bajamar-la punta","Fecha","mayo","municipio","total municipios","Años",IF([1]ACTUALIZACIÓN!$C$1="enero",[1]ACTUALIZACIÓN!$C$2-2,[1]ACTUALIZACIÓN!$C$2-1)),0)+IFERROR(GETPIVOTDATA("Suma de dias x plazas",'[1]TTDD DATOS'!$B$49,"País","Total","categoría","Total","tipología","hotelera","zona","la laguna-bajamar-la punta","Fecha","junio","municipio","total municipios","Años",IF([1]ACTUALIZACIÓN!$C$1="enero",[1]ACTUALIZACIÓN!$C$2-2,[1]ACTUALIZACIÓN!$C$2-1)),0)+IFERROR(GETPIVOTDATA("Suma de dias x plazas",'[1]TTDD DATOS'!$B$49,"País","Total","categoría","Total","tipología","hotelera","zona","la laguna-bajamar-la punta","Fecha","julio","municipio","total municipios","Años",IF([1]ACTUALIZACIÓN!$C$1="enero",[1]ACTUALIZACIÓN!$C$2-2,[1]ACTUALIZACIÓN!$C$2-1)),0)+IFERROR(GETPIVOTDATA("Suma de dias x plazas",'[1]TTDD DATOS'!$B$49,"País","Total","categoría","Total","tipología","hotelera","zona","la laguna-bajamar-la punta","Fecha","agosto","municipio","total municipios","Años",IF([1]ACTUALIZACIÓN!$C$1="enero",[1]ACTUALIZACIÓN!$C$2-2,[1]ACTUALIZACIÓN!$C$2-1)),0)+IFERROR(GETPIVOTDATA("Suma de dias x plazas",'[1]TTDD DATOS'!$B$49,"País","Total","categoría","Total","tipología","hotelera","zona","la laguna-bajamar-la punta","Fecha","septiembre","municipio","total municipios","Años",IF([1]ACTUALIZACIÓN!$C$1="enero",[1]ACTUALIZACIÓN!$C$2-2,[1]ACTUALIZACIÓN!$C$2-1)),0)+IFERROR(GETPIVOTDATA("Suma de dias x plazas",'[1]TTDD DATOS'!$B$49,"País","Total","categoría","Total","tipología","hotelera","zona","la laguna-bajamar-la punta","Fecha","octubre","municipio","total municipios","Años",IF([1]ACTUALIZACIÓN!$C$1="enero",[1]ACTUALIZACIÓN!$C$2-2,[1]ACTUALIZACIÓN!$C$2-1)),0)+IFERROR(GETPIVOTDATA("Suma de dias x plazas",'[1]TTDD DATOS'!$B$49,"País","Total","categoría","Total","tipología","hotelera","zona","la laguna-bajamar-la punta","Fecha","noviembre","municipio","total municipios","Años",IF([1]ACTUALIZACIÓN!$C$1="enero",[1]ACTUALIZACIÓN!$C$2-2,[1]ACTUALIZACIÓN!$C$2-1)),0)+IFERROR(GETPIVOTDATA("Suma de dias x plazas",'[1]TTDD DATOS'!$B$49,"País","Total","categoría","Total","tipología","hotelera","zona","la laguna-bajamar-la punta","Fecha","diciembre","municipio","total municipios","Años",IF([1]ACTUALIZACIÓN!$C$1="enero",[1]ACTUALIZACIÓN!$C$2-2,[1]ACTUALIZACIÓN!$C$2-1)),0)))-1</f>
        <v>1.7072338869982291</v>
      </c>
      <c r="M75" s="39"/>
    </row>
    <row r="76" spans="3:13" ht="24.75" customHeight="1" thickBot="1" x14ac:dyDescent="0.25">
      <c r="C76" s="81"/>
      <c r="D76" s="82"/>
      <c r="E76" s="83" t="s">
        <v>11</v>
      </c>
      <c r="F76" s="146">
        <f>GETPIVOTDATA("Suma de pernoctaciones",'[1]TTDD DATOS'!$B$6,"País","Total","categoría","Total","tipología","extrahotelera","zona","la laguna-bajamar-la punta","municipio","total municipios","Años",[1]ACTUALIZACIÓN!$C$2)/GETPIVOTDATA("Suma de dias x plazas",'[1]TTDD DATOS'!$B$6,"País","Total","categoría","Total","tipología","extrahotelera","zona","la laguna-bajamar-la punta","municipio","total municipios","Años",[1]ACTUALIZACIÓN!$C$2)</f>
        <v>0.29113717823395241</v>
      </c>
      <c r="G76" s="69">
        <f>(GETPIVOTDATA("Suma de pernoctaciones",'[1]TTDD DATOS'!$B$6,"País","Total","categoría","Total","tipología","extrahotelera","zona","la laguna-bajamar-la punta","municipio","total municipios","Años",[1]ACTUALIZACIÓN!$C$2)/GETPIVOTDATA("Suma de dias x plazas",'[1]TTDD DATOS'!$B$6,"País","Total","categoría","Total","tipología","extrahotelera","zona","la laguna-bajamar-la punta","municipio","total municipios","Años",[1]ACTUALIZACIÓN!$C$2))/(GETPIVOTDATA("Suma de pernoctaciones",'[1]TTDD DATOS'!$B$6,"País","Total","categoría","Total","tipología","extrahotelera","zona","la laguna-bajamar-la punta","municipio","total municipios","Años",[1]ACTUALIZACIÓN!$C$2-1)/GETPIVOTDATA("Suma de dias x plazas",'[1]TTDD DATOS'!$B$6,"País","Total","categoría","Total","tipología","extrahotelera","zona","la laguna-bajamar-la punta","municipio","total municipios","Años",[1]ACTUALIZACIÓN!$C$2-1))-1</f>
        <v>1.4452654625068417</v>
      </c>
      <c r="H76" s="58"/>
      <c r="I76" s="85"/>
      <c r="J76" s="83" t="s">
        <v>11</v>
      </c>
      <c r="K76" s="146">
        <f>GETPIVOTDATA("Suma de pernoctaciones",'[1]TTDD DATOS'!$B$49,"País","Total","categoría","Total","tipología","extrahotelera","zona","la laguna-bajamar-la punta","municipio","total municipios","Años",IF([1]ACTUALIZACIÓN!$C$1="enero",[1]ACTUALIZACIÓN!$C$2-1,[1]ACTUALIZACIÓN!$C$2))/(IFERROR(GETPIVOTDATA("Suma de dias x plazas",'[1]TTDD DATOS'!$B$49,"País","Total","categoría","Total","tipología","extrahotelera","zona","la laguna-bajamar-la punta","Fecha","enero","municipio","total municipios","Años",IF([1]ACTUALIZACIÓN!$C$1="enero",[1]ACTUALIZACIÓN!$C$2-1,[1]ACTUALIZACIÓN!$C$2)),0)+IFERROR(GETPIVOTDATA("Suma de dias x plazas",'[1]TTDD DATOS'!$B$49,"País","Total","categoría","Total","tipología","extrahotelera","zona","la laguna-bajamar-la punta","Fecha","febrero","municipio","total municipios","Años",IF([1]ACTUALIZACIÓN!$C$1="enero",[1]ACTUALIZACIÓN!$C$2-1,[1]ACTUALIZACIÓN!$C$2)),0)+IFERROR(GETPIVOTDATA("Suma de dias x plazas",'[1]TTDD DATOS'!$B$49,"País","Total","categoría","Total","tipología","extrahotelera","zona","la laguna-bajamar-la punta","Fecha","marzo","municipio","total municipios","Años",IF([1]ACTUALIZACIÓN!$C$1="enero",[1]ACTUALIZACIÓN!$C$2-1,[1]ACTUALIZACIÓN!$C$2)),0)+IFERROR(GETPIVOTDATA("Suma de dias x plazas",'[1]TTDD DATOS'!$B$49,"País","Total","categoría","Total","tipología","extrahotelera","zona","la laguna-bajamar-la punta","Fecha","abril","municipio","total municipios","Años",IF([1]ACTUALIZACIÓN!$C$1="enero",[1]ACTUALIZACIÓN!$C$2-1,[1]ACTUALIZACIÓN!$C$2)),0)+IFERROR(GETPIVOTDATA("Suma de dias x plazas",'[1]TTDD DATOS'!$B$49,"País","Total","categoría","Total","tipología","extrahotelera","zona","la laguna-bajamar-la punta","Fecha","mayo","municipio","total municipios","Años",IF([1]ACTUALIZACIÓN!$C$1="enero",[1]ACTUALIZACIÓN!$C$2-1,[1]ACTUALIZACIÓN!$C$2)),0)+IFERROR(GETPIVOTDATA("Suma de dias x plazas",'[1]TTDD DATOS'!$B$49,"País","Total","categoría","Total","tipología","extrahotelera","zona","la laguna-bajamar-la punta","Fecha","junio","municipio","total municipios","Años",IF([1]ACTUALIZACIÓN!$C$1="enero",[1]ACTUALIZACIÓN!$C$2-1,[1]ACTUALIZACIÓN!$C$2)),0)+IFERROR(GETPIVOTDATA("Suma de dias x plazas",'[1]TTDD DATOS'!$B$49,"País","Total","categoría","Total","tipología","extrahotelera","zona","la laguna-bajamar-la punta","Fecha","julio","municipio","total municipios","Años",IF([1]ACTUALIZACIÓN!$C$1="enero",[1]ACTUALIZACIÓN!$C$2-1,[1]ACTUALIZACIÓN!$C$2)),0)+IFERROR(GETPIVOTDATA("Suma de dias x plazas",'[1]TTDD DATOS'!$B$49,"País","Total","categoría","Total","tipología","extrahotelera","zona","la laguna-bajamar-la punta","Fecha","agosto","municipio","total municipios","Años",IF([1]ACTUALIZACIÓN!$C$1="enero",[1]ACTUALIZACIÓN!$C$2-1,[1]ACTUALIZACIÓN!$C$2)),0)+IFERROR(GETPIVOTDATA("Suma de dias x plazas",'[1]TTDD DATOS'!$B$49,"País","Total","categoría","Total","tipología","extrahotelera","zona","la laguna-bajamar-la punta","Fecha","septiembre","municipio","total municipios","Años",IF([1]ACTUALIZACIÓN!$C$1="enero",[1]ACTUALIZACIÓN!$C$2-1,[1]ACTUALIZACIÓN!$C$2)),0)+IFERROR(GETPIVOTDATA("Suma de dias x plazas",'[1]TTDD DATOS'!$B$49,"País","Total","categoría","Total","tipología","extrahotelera","zona","la laguna-bajamar-la punta","Fecha","octubre","municipio","total municipios","Años",IF([1]ACTUALIZACIÓN!$C$1="enero",[1]ACTUALIZACIÓN!$C$2-1,[1]ACTUALIZACIÓN!$C$2)),0)+IFERROR(GETPIVOTDATA("Suma de dias x plazas",'[1]TTDD DATOS'!$B$49,"País","Total","categoría","Total","tipología","extrahotelera","zona","la laguna-bajamar-la punta","Fecha","noviembre","municipio","total municipios","Años",IF([1]ACTUALIZACIÓN!$C$1="enero",[1]ACTUALIZACIÓN!$C$2-1,[1]ACTUALIZACIÓN!$C$2)),0)+IFERROR(GETPIVOTDATA("Suma de dias x plazas",'[1]TTDD DATOS'!$B$49,"País","Total","categoría","Total","tipología","extrahotelera","zona","la laguna-bajamar-la punta","Fecha","diciembre","municipio","total municipios","Años",IF([1]ACTUALIZACIÓN!$C$1="enero",[1]ACTUALIZACIÓN!$C$2-1,[1]ACTUALIZACIÓN!$C$2)),0))</f>
        <v>0.29259259259259257</v>
      </c>
      <c r="L76" s="52">
        <f>(GETPIVOTDATA("Suma de pernoctaciones",'[1]TTDD DATOS'!$B$49,"País","Total","categoría","Total","tipología","extrahotelera","zona","la laguna-bajamar-la punta","municipio","total municipios","Años",IF([1]ACTUALIZACIÓN!$C$1="enero",[1]ACTUALIZACIÓN!$C$2-1,[1]ACTUALIZACIÓN!$C$2))/(IFERROR(GETPIVOTDATA("Suma de dias x plazas",'[1]TTDD DATOS'!$B$49,"País","Total","categoría","Total","tipología","extrahotelera","zona","la laguna-bajamar-la punta","Fecha","enero","municipio","total municipios","Años",IF([1]ACTUALIZACIÓN!$C$1="enero",[1]ACTUALIZACIÓN!$C$2-1,[1]ACTUALIZACIÓN!$C$2)),0)+IFERROR(GETPIVOTDATA("Suma de dias x plazas",'[1]TTDD DATOS'!$B$49,"País","Total","categoría","Total","tipología","extrahotelera","zona","la laguna-bajamar-la punta","Fecha","febrero","municipio","total municipios","Años",IF([1]ACTUALIZACIÓN!$C$1="enero",[1]ACTUALIZACIÓN!$C$2-1,[1]ACTUALIZACIÓN!$C$2)),0)+IFERROR(GETPIVOTDATA("Suma de dias x plazas",'[1]TTDD DATOS'!$B$49,"País","Total","categoría","Total","tipología","extrahotelera","zona","la laguna-bajamar-la punta","Fecha","marzo","municipio","total municipios","Años",IF([1]ACTUALIZACIÓN!$C$1="enero",[1]ACTUALIZACIÓN!$C$2-1,[1]ACTUALIZACIÓN!$C$2)),0)+IFERROR(GETPIVOTDATA("Suma de dias x plazas",'[1]TTDD DATOS'!$B$49,"País","Total","categoría","Total","tipología","extrahotelera","zona","la laguna-bajamar-la punta","Fecha","abril","municipio","total municipios","Años",IF([1]ACTUALIZACIÓN!$C$1="enero",[1]ACTUALIZACIÓN!$C$2-1,[1]ACTUALIZACIÓN!$C$2)),0)+IFERROR(GETPIVOTDATA("Suma de dias x plazas",'[1]TTDD DATOS'!$B$49,"País","Total","categoría","Total","tipología","extrahotelera","zona","la laguna-bajamar-la punta","Fecha","mayo","municipio","total municipios","Años",IF([1]ACTUALIZACIÓN!$C$1="enero",[1]ACTUALIZACIÓN!$C$2-1,[1]ACTUALIZACIÓN!$C$2)),0)+IFERROR(GETPIVOTDATA("Suma de dias x plazas",'[1]TTDD DATOS'!$B$49,"País","Total","categoría","Total","tipología","extrahotelera","zona","la laguna-bajamar-la punta","Fecha","junio","municipio","total municipios","Años",IF([1]ACTUALIZACIÓN!$C$1="enero",[1]ACTUALIZACIÓN!$C$2-1,[1]ACTUALIZACIÓN!$C$2)),0)+IFERROR(GETPIVOTDATA("Suma de dias x plazas",'[1]TTDD DATOS'!$B$49,"País","Total","categoría","Total","tipología","extrahotelera","zona","la laguna-bajamar-la punta","Fecha","julio","municipio","total municipios","Años",IF([1]ACTUALIZACIÓN!$C$1="enero",[1]ACTUALIZACIÓN!$C$2-1,[1]ACTUALIZACIÓN!$C$2)),0)+IFERROR(GETPIVOTDATA("Suma de dias x plazas",'[1]TTDD DATOS'!$B$49,"País","Total","categoría","Total","tipología","extrahotelera","zona","la laguna-bajamar-la punta","Fecha","agosto","municipio","total municipios","Años",IF([1]ACTUALIZACIÓN!$C$1="enero",[1]ACTUALIZACIÓN!$C$2-1,[1]ACTUALIZACIÓN!$C$2)),0)+IFERROR(GETPIVOTDATA("Suma de dias x plazas",'[1]TTDD DATOS'!$B$49,"País","Total","categoría","Total","tipología","extrahotelera","zona","la laguna-bajamar-la punta","Fecha","septiembre","municipio","total municipios","Años",IF([1]ACTUALIZACIÓN!$C$1="enero",[1]ACTUALIZACIÓN!$C$2-1,[1]ACTUALIZACIÓN!$C$2)),0)+IFERROR(GETPIVOTDATA("Suma de dias x plazas",'[1]TTDD DATOS'!$B$49,"País","Total","categoría","Total","tipología","extrahotelera","zona","la laguna-bajamar-la punta","Fecha","octubre","municipio","total municipios","Años",IF([1]ACTUALIZACIÓN!$C$1="enero",[1]ACTUALIZACIÓN!$C$2-1,[1]ACTUALIZACIÓN!$C$2)),0)+IFERROR(GETPIVOTDATA("Suma de dias x plazas",'[1]TTDD DATOS'!$B$49,"País","Total","categoría","Total","tipología","extrahotelera","zona","la laguna-bajamar-la punta","Fecha","noviembre","municipio","total municipios","Años",IF([1]ACTUALIZACIÓN!$C$1="enero",[1]ACTUALIZACIÓN!$C$2-1,[1]ACTUALIZACIÓN!$C$2)),0)+IFERROR(GETPIVOTDATA("Suma de dias x plazas",'[1]TTDD DATOS'!$B$49,"País","Total","categoría","Total","tipología","extrahotelera","zona","la laguna-bajamar-la punta","Fecha","diciembre","municipio","total municipios","Años",IF([1]ACTUALIZACIÓN!$C$1="enero",[1]ACTUALIZACIÓN!$C$2-1,[1]ACTUALIZACIÓN!$C$2)),0)))/(GETPIVOTDATA("Suma de pernoctaciones",'[1]TTDD DATOS'!$B$49,"País","Total","categoría","Total","tipología","extrahotelera","zona","la laguna-bajamar-la punta","municipio","total municipios","Años",IF([1]ACTUALIZACIÓN!$C$1="enero",[1]ACTUALIZACIÓN!$C$2-2,[1]ACTUALIZACIÓN!$C$2-1))/(IFERROR(GETPIVOTDATA("Suma de dias x plazas",'[1]TTDD DATOS'!$B$49,"País","Total","categoría","Total","tipología","extrahotelera","zona","la laguna-bajamar-la punta","Fecha","enero","municipio","total municipios","Años",IF([1]ACTUALIZACIÓN!$C$1="enero",[1]ACTUALIZACIÓN!$C$2-2,[1]ACTUALIZACIÓN!$C$2-1)),0)+IFERROR(GETPIVOTDATA("Suma de dias x plazas",'[1]TTDD DATOS'!$B$49,"País","Total","categoría","Total","tipología","extrahotelera","zona","la laguna-bajamar-la punta","Fecha","febrero","municipio","total municipios","Años",IF([1]ACTUALIZACIÓN!$C$1="enero",[1]ACTUALIZACIÓN!$C$2-2,[1]ACTUALIZACIÓN!$C$2-1)),0)+IFERROR(GETPIVOTDATA("Suma de dias x plazas",'[1]TTDD DATOS'!$B$49,"País","Total","categoría","Total","tipología","extrahotelera","zona","la laguna-bajamar-la punta","Fecha","marzo","municipio","total municipios","Años",IF([1]ACTUALIZACIÓN!$C$1="enero",[1]ACTUALIZACIÓN!$C$2-2,[1]ACTUALIZACIÓN!$C$2-1)),0)+IFERROR(GETPIVOTDATA("Suma de dias x plazas",'[1]TTDD DATOS'!$B$49,"País","Total","categoría","Total","tipología","extrahotelera","zona","la laguna-bajamar-la punta","Fecha","abril","municipio","total municipios","Años",IF([1]ACTUALIZACIÓN!$C$1="enero",[1]ACTUALIZACIÓN!$C$2-2,[1]ACTUALIZACIÓN!$C$2-1)),0)+IFERROR(GETPIVOTDATA("Suma de dias x plazas",'[1]TTDD DATOS'!$B$49,"País","Total","categoría","Total","tipología","extrahotelera","zona","la laguna-bajamar-la punta","Fecha","mayo","municipio","total municipios","Años",IF([1]ACTUALIZACIÓN!$C$1="enero",[1]ACTUALIZACIÓN!$C$2-2,[1]ACTUALIZACIÓN!$C$2-1)),0)+IFERROR(GETPIVOTDATA("Suma de dias x plazas",'[1]TTDD DATOS'!$B$49,"País","Total","categoría","Total","tipología","extrahotelera","zona","la laguna-bajamar-la punta","Fecha","junio","municipio","total municipios","Años",IF([1]ACTUALIZACIÓN!$C$1="enero",[1]ACTUALIZACIÓN!$C$2-2,[1]ACTUALIZACIÓN!$C$2-1)),0)+IFERROR(GETPIVOTDATA("Suma de dias x plazas",'[1]TTDD DATOS'!$B$49,"País","Total","categoría","Total","tipología","extrahotelera","zona","la laguna-bajamar-la punta","Fecha","julio","municipio","total municipios","Años",IF([1]ACTUALIZACIÓN!$C$1="enero",[1]ACTUALIZACIÓN!$C$2-2,[1]ACTUALIZACIÓN!$C$2-1)),0)+IFERROR(GETPIVOTDATA("Suma de dias x plazas",'[1]TTDD DATOS'!$B$49,"País","Total","categoría","Total","tipología","extrahotelera","zona","la laguna-bajamar-la punta","Fecha","agosto","municipio","total municipios","Años",IF([1]ACTUALIZACIÓN!$C$1="enero",[1]ACTUALIZACIÓN!$C$2-2,[1]ACTUALIZACIÓN!$C$2-1)),0)+IFERROR(GETPIVOTDATA("Suma de dias x plazas",'[1]TTDD DATOS'!$B$49,"País","Total","categoría","Total","tipología","extrahotelera","zona","la laguna-bajamar-la punta","Fecha","septiembre","municipio","total municipios","Años",IF([1]ACTUALIZACIÓN!$C$1="enero",[1]ACTUALIZACIÓN!$C$2-2,[1]ACTUALIZACIÓN!$C$2-1)),0)+IFERROR(GETPIVOTDATA("Suma de dias x plazas",'[1]TTDD DATOS'!$B$49,"País","Total","categoría","Total","tipología","extrahotelera","zona","la laguna-bajamar-la punta","Fecha","octubre","municipio","total municipios","Años",IF([1]ACTUALIZACIÓN!$C$1="enero",[1]ACTUALIZACIÓN!$C$2-2,[1]ACTUALIZACIÓN!$C$2-1)),0)+IFERROR(GETPIVOTDATA("Suma de dias x plazas",'[1]TTDD DATOS'!$B$49,"País","Total","categoría","Total","tipología","extrahotelera","zona","la laguna-bajamar-la punta","Fecha","noviembre","municipio","total municipios","Años",IF([1]ACTUALIZACIÓN!$C$1="enero",[1]ACTUALIZACIÓN!$C$2-2,[1]ACTUALIZACIÓN!$C$2-1)),0)+IFERROR(GETPIVOTDATA("Suma de dias x plazas",'[1]TTDD DATOS'!$B$49,"País","Total","categoría","Total","tipología","extrahotelera","zona","la laguna-bajamar-la punta","Fecha","diciembre","municipio","total municipios","Años",IF([1]ACTUALIZACIÓN!$C$1="enero",[1]ACTUALIZACIÓN!$C$2-2,[1]ACTUALIZACIÓN!$C$2-1)),0)))-1</f>
        <v>1.1364055859137827</v>
      </c>
      <c r="M76" s="39"/>
    </row>
    <row r="77" spans="3:13" ht="24.75" customHeight="1" x14ac:dyDescent="0.2">
      <c r="C77" s="53" t="s">
        <v>14</v>
      </c>
      <c r="D77" s="54"/>
      <c r="E77" s="55" t="s">
        <v>8</v>
      </c>
      <c r="F77" s="141">
        <f>GETPIVOTDATA("Suma de pernoctaciones",'[1]TTDD DATOS'!$B$6,"País","Total","categoría","Total","tipología","Total","zona","norte","municipio","total municipios","Años",[1]ACTUALIZACIÓN!$C$2)/GETPIVOTDATA("Suma de dias x plazas",'[1]TTDD DATOS'!$B$6,"País","Total","categoría","Total","tipología","Total","zona","norte","municipio","total municipios","Años",[1]ACTUALIZACIÓN!$C$2)</f>
        <v>0.61608451760169758</v>
      </c>
      <c r="G77" s="57">
        <f>(GETPIVOTDATA("Suma de pernoctaciones",'[1]TTDD DATOS'!$B$6,"País","Total","categoría","Total","tipología","Total","zona","norte","municipio","total municipios","Años",[1]ACTUALIZACIÓN!$C$2)/GETPIVOTDATA("Suma de dias x plazas",'[1]TTDD DATOS'!$B$6,"País","Total","categoría","Total","tipología","Total","zona","norte","municipio","total municipios","Años",[1]ACTUALIZACIÓN!$C$2))/(GETPIVOTDATA("Suma de pernoctaciones",'[1]TTDD DATOS'!$B$6,"País","Total","categoría","Total","tipología","Total","zona","norte","municipio","total municipios","Años",[1]ACTUALIZACIÓN!$C$2-1)/GETPIVOTDATA("Suma de dias x plazas",'[1]TTDD DATOS'!$B$6,"País","Total","categoría","Total","tipología","Total","zona","norte","municipio","total municipios","Años",[1]ACTUALIZACIÓN!$C$2-1))-1</f>
        <v>2.1054180012433248</v>
      </c>
      <c r="H77" s="58"/>
      <c r="I77" s="59" t="s">
        <v>14</v>
      </c>
      <c r="J77" s="55" t="s">
        <v>8</v>
      </c>
      <c r="K77" s="141">
        <f>GETPIVOTDATA("Suma de pernoctaciones",'[1]TTDD DATOS'!$B$49,"País","Total","categoría","Total","tipología","Total","zona","norte","municipio","total municipios","Años",IF([1]ACTUALIZACIÓN!$C$1="enero",[1]ACTUALIZACIÓN!$C$2-1,[1]ACTUALIZACIÓN!$C$2))/(IFERROR(GETPIVOTDATA("Suma de dias x plazas",'[1]TTDD DATOS'!$B$49,"País","Total","categoría","Total","tipología","Total","zona","norte","Fecha","enero","municipio","total municipios","Años",IF([1]ACTUALIZACIÓN!$C$1="enero",[1]ACTUALIZACIÓN!$C$2-1,[1]ACTUALIZACIÓN!$C$2)),0)+IFERROR(GETPIVOTDATA("Suma de dias x plazas",'[1]TTDD DATOS'!$B$49,"País","Total","categoría","Total","tipología","Total","zona","norte","Fecha","febrero","municipio","total municipios","Años",IF([1]ACTUALIZACIÓN!$C$1="enero",[1]ACTUALIZACIÓN!$C$2-1,[1]ACTUALIZACIÓN!$C$2)),0)+IFERROR(GETPIVOTDATA("Suma de dias x plazas",'[1]TTDD DATOS'!$B$49,"País","Total","categoría","Total","tipología","Total","zona","norte","Fecha","marzo","municipio","total municipios","Años",IF([1]ACTUALIZACIÓN!$C$1="enero",[1]ACTUALIZACIÓN!$C$2-1,[1]ACTUALIZACIÓN!$C$2)),0)+IFERROR(GETPIVOTDATA("Suma de dias x plazas",'[1]TTDD DATOS'!$B$49,"País","Total","categoría","Total","tipología","Total","zona","norte","Fecha","abril","municipio","total municipios","Años",IF([1]ACTUALIZACIÓN!$C$1="enero",[1]ACTUALIZACIÓN!$C$2-1,[1]ACTUALIZACIÓN!$C$2)),0)+IFERROR(GETPIVOTDATA("Suma de dias x plazas",'[1]TTDD DATOS'!$B$49,"País","Total","categoría","Total","tipología","Total","zona","norte","Fecha","mayo","municipio","total municipios","Años",IF([1]ACTUALIZACIÓN!$C$1="enero",[1]ACTUALIZACIÓN!$C$2-1,[1]ACTUALIZACIÓN!$C$2)),0)+IFERROR(GETPIVOTDATA("Suma de dias x plazas",'[1]TTDD DATOS'!$B$49,"País","Total","categoría","Total","tipología","Total","zona","norte","Fecha","junio","municipio","total municipios","Años",IF([1]ACTUALIZACIÓN!$C$1="enero",[1]ACTUALIZACIÓN!$C$2-1,[1]ACTUALIZACIÓN!$C$2)),0)+IFERROR(GETPIVOTDATA("Suma de dias x plazas",'[1]TTDD DATOS'!$B$49,"País","Total","categoría","Total","tipología","Total","zona","norte","Fecha","julio","municipio","total municipios","Años",IF([1]ACTUALIZACIÓN!$C$1="enero",[1]ACTUALIZACIÓN!$C$2-1,[1]ACTUALIZACIÓN!$C$2)),0)+IFERROR(GETPIVOTDATA("Suma de dias x plazas",'[1]TTDD DATOS'!$B$49,"País","Total","categoría","Total","tipología","Total","zona","norte","Fecha","agosto","municipio","total municipios","Años",IF([1]ACTUALIZACIÓN!$C$1="enero",[1]ACTUALIZACIÓN!$C$2-1,[1]ACTUALIZACIÓN!$C$2)),0)+IFERROR(GETPIVOTDATA("Suma de dias x plazas",'[1]TTDD DATOS'!$B$49,"País","Total","categoría","Total","tipología","Total","zona","norte","Fecha","septiembre","municipio","total municipios","Años",IF([1]ACTUALIZACIÓN!$C$1="enero",[1]ACTUALIZACIÓN!$C$2-1,[1]ACTUALIZACIÓN!$C$2)),0)+IFERROR(GETPIVOTDATA("Suma de dias x plazas",'[1]TTDD DATOS'!$B$49,"País","Total","categoría","Total","tipología","Total","zona","norte","Fecha","octubre","municipio","total municipios","Años",IF([1]ACTUALIZACIÓN!$C$1="enero",[1]ACTUALIZACIÓN!$C$2-1,[1]ACTUALIZACIÓN!$C$2)),0)+IFERROR(GETPIVOTDATA("Suma de dias x plazas",'[1]TTDD DATOS'!$B$49,"País","Total","categoría","Total","tipología","Total","zona","norte","Fecha","noviembre","municipio","total municipios","Años",IF([1]ACTUALIZACIÓN!$C$1="enero",[1]ACTUALIZACIÓN!$C$2-1,[1]ACTUALIZACIÓN!$C$2)),0)+IFERROR(GETPIVOTDATA("Suma de dias x plazas",'[1]TTDD DATOS'!$B$49,"País","Total","categoría","Total","tipología","Total","zona","norte","Fecha","diciembre","municipio","total municipios","Años",IF([1]ACTUALIZACIÓN!$C$1="enero",[1]ACTUALIZACIÓN!$C$2-1,[1]ACTUALIZACIÓN!$C$2)),0))</f>
        <v>0.56738037874590841</v>
      </c>
      <c r="L77" s="38">
        <f>(GETPIVOTDATA("Suma de pernoctaciones",'[1]TTDD DATOS'!$B$49,"País","Total","categoría","Total","tipología","Total","zona","norte","municipio","total municipios","Años",IF([1]ACTUALIZACIÓN!$C$1="enero",[1]ACTUALIZACIÓN!$C$2-1,[1]ACTUALIZACIÓN!$C$2))/(IFERROR(GETPIVOTDATA("Suma de dias x plazas",'[1]TTDD DATOS'!$B$49,"País","Total","categoría","Total","tipología","Total","zona","norte","Fecha","enero","municipio","total municipios","Años",IF([1]ACTUALIZACIÓN!$C$1="enero",[1]ACTUALIZACIÓN!$C$2-1,[1]ACTUALIZACIÓN!$C$2)),0)+IFERROR(GETPIVOTDATA("Suma de dias x plazas",'[1]TTDD DATOS'!$B$49,"País","Total","categoría","Total","tipología","Total","zona","norte","Fecha","febrero","municipio","total municipios","Años",IF([1]ACTUALIZACIÓN!$C$1="enero",[1]ACTUALIZACIÓN!$C$2-1,[1]ACTUALIZACIÓN!$C$2)),0)+IFERROR(GETPIVOTDATA("Suma de dias x plazas",'[1]TTDD DATOS'!$B$49,"País","Total","categoría","Total","tipología","Total","zona","norte","Fecha","marzo","municipio","total municipios","Años",IF([1]ACTUALIZACIÓN!$C$1="enero",[1]ACTUALIZACIÓN!$C$2-1,[1]ACTUALIZACIÓN!$C$2)),0)+IFERROR(GETPIVOTDATA("Suma de dias x plazas",'[1]TTDD DATOS'!$B$49,"País","Total","categoría","Total","tipología","Total","zona","norte","Fecha","abril","municipio","total municipios","Años",IF([1]ACTUALIZACIÓN!$C$1="enero",[1]ACTUALIZACIÓN!$C$2-1,[1]ACTUALIZACIÓN!$C$2)),0)+IFERROR(GETPIVOTDATA("Suma de dias x plazas",'[1]TTDD DATOS'!$B$49,"País","Total","categoría","Total","tipología","Total","zona","norte","Fecha","mayo","municipio","total municipios","Años",IF([1]ACTUALIZACIÓN!$C$1="enero",[1]ACTUALIZACIÓN!$C$2-1,[1]ACTUALIZACIÓN!$C$2)),0)+IFERROR(GETPIVOTDATA("Suma de dias x plazas",'[1]TTDD DATOS'!$B$49,"País","Total","categoría","Total","tipología","Total","zona","norte","Fecha","junio","municipio","total municipios","Años",IF([1]ACTUALIZACIÓN!$C$1="enero",[1]ACTUALIZACIÓN!$C$2-1,[1]ACTUALIZACIÓN!$C$2)),0)+IFERROR(GETPIVOTDATA("Suma de dias x plazas",'[1]TTDD DATOS'!$B$49,"País","Total","categoría","Total","tipología","Total","zona","norte","Fecha","julio","municipio","total municipios","Años",IF([1]ACTUALIZACIÓN!$C$1="enero",[1]ACTUALIZACIÓN!$C$2-1,[1]ACTUALIZACIÓN!$C$2)),0)+IFERROR(GETPIVOTDATA("Suma de dias x plazas",'[1]TTDD DATOS'!$B$49,"País","Total","categoría","Total","tipología","Total","zona","norte","Fecha","agosto","municipio","total municipios","Años",IF([1]ACTUALIZACIÓN!$C$1="enero",[1]ACTUALIZACIÓN!$C$2-1,[1]ACTUALIZACIÓN!$C$2)),0)+IFERROR(GETPIVOTDATA("Suma de dias x plazas",'[1]TTDD DATOS'!$B$49,"País","Total","categoría","Total","tipología","Total","zona","norte","Fecha","septiembre","municipio","total municipios","Años",IF([1]ACTUALIZACIÓN!$C$1="enero",[1]ACTUALIZACIÓN!$C$2-1,[1]ACTUALIZACIÓN!$C$2)),0)+IFERROR(GETPIVOTDATA("Suma de dias x plazas",'[1]TTDD DATOS'!$B$49,"País","Total","categoría","Total","tipología","Total","zona","norte","Fecha","octubre","municipio","total municipios","Años",IF([1]ACTUALIZACIÓN!$C$1="enero",[1]ACTUALIZACIÓN!$C$2-1,[1]ACTUALIZACIÓN!$C$2)),0)+IFERROR(GETPIVOTDATA("Suma de dias x plazas",'[1]TTDD DATOS'!$B$49,"País","Total","categoría","Total","tipología","Total","zona","norte","Fecha","noviembre","municipio","total municipios","Años",IF([1]ACTUALIZACIÓN!$C$1="enero",[1]ACTUALIZACIÓN!$C$2-1,[1]ACTUALIZACIÓN!$C$2)),0)+IFERROR(GETPIVOTDATA("Suma de dias x plazas",'[1]TTDD DATOS'!$B$49,"País","Total","categoría","Total","tipología","Total","zona","norte","Fecha","diciembre","municipio","total municipios","Años",IF([1]ACTUALIZACIÓN!$C$1="enero",[1]ACTUALIZACIÓN!$C$2-1,[1]ACTUALIZACIÓN!$C$2)),0)))/(GETPIVOTDATA("Suma de pernoctaciones",'[1]TTDD DATOS'!$B$49,"País","Total","categoría","Total","tipología","Total","zona","norte","municipio","total municipios","Años",IF([1]ACTUALIZACIÓN!$C$1="enero",[1]ACTUALIZACIÓN!$C$2-2,[1]ACTUALIZACIÓN!$C$2-1))/(IFERROR(GETPIVOTDATA("Suma de dias x plazas",'[1]TTDD DATOS'!$B$49,"País","Total","categoría","Total","tipología","Total","zona","norte","Fecha","enero","municipio","total municipios","Años",IF([1]ACTUALIZACIÓN!$C$1="enero",[1]ACTUALIZACIÓN!$C$2-2,[1]ACTUALIZACIÓN!$C$2-1)),0)+IFERROR(GETPIVOTDATA("Suma de dias x plazas",'[1]TTDD DATOS'!$B$49,"País","Total","categoría","Total","tipología","Total","zona","norte","Fecha","febrero","municipio","total municipios","Años",IF([1]ACTUALIZACIÓN!$C$1="enero",[1]ACTUALIZACIÓN!$C$2-2,[1]ACTUALIZACIÓN!$C$2-1)),0)+IFERROR(GETPIVOTDATA("Suma de dias x plazas",'[1]TTDD DATOS'!$B$49,"País","Total","categoría","Total","tipología","Total","zona","norte","Fecha","marzo","municipio","total municipios","Años",IF([1]ACTUALIZACIÓN!$C$1="enero",[1]ACTUALIZACIÓN!$C$2-2,[1]ACTUALIZACIÓN!$C$2-1)),0)+IFERROR(GETPIVOTDATA("Suma de dias x plazas",'[1]TTDD DATOS'!$B$49,"País","Total","categoría","Total","tipología","Total","zona","norte","Fecha","abril","municipio","total municipios","Años",IF([1]ACTUALIZACIÓN!$C$1="enero",[1]ACTUALIZACIÓN!$C$2-2,[1]ACTUALIZACIÓN!$C$2-1)),0)+IFERROR(GETPIVOTDATA("Suma de dias x plazas",'[1]TTDD DATOS'!$B$49,"País","Total","categoría","Total","tipología","Total","zona","norte","Fecha","mayo","municipio","total municipios","Años",IF([1]ACTUALIZACIÓN!$C$1="enero",[1]ACTUALIZACIÓN!$C$2-2,[1]ACTUALIZACIÓN!$C$2-1)),0)+IFERROR(GETPIVOTDATA("Suma de dias x plazas",'[1]TTDD DATOS'!$B$49,"País","Total","categoría","Total","tipología","Total","zona","norte","Fecha","junio","municipio","total municipios","Años",IF([1]ACTUALIZACIÓN!$C$1="enero",[1]ACTUALIZACIÓN!$C$2-2,[1]ACTUALIZACIÓN!$C$2-1)),0)+IFERROR(GETPIVOTDATA("Suma de dias x plazas",'[1]TTDD DATOS'!$B$49,"País","Total","categoría","Total","tipología","Total","zona","norte","Fecha","julio","municipio","total municipios","Años",IF([1]ACTUALIZACIÓN!$C$1="enero",[1]ACTUALIZACIÓN!$C$2-2,[1]ACTUALIZACIÓN!$C$2-1)),0)+IFERROR(GETPIVOTDATA("Suma de dias x plazas",'[1]TTDD DATOS'!$B$49,"País","Total","categoría","Total","tipología","Total","zona","norte","Fecha","agosto","municipio","total municipios","Años",IF([1]ACTUALIZACIÓN!$C$1="enero",[1]ACTUALIZACIÓN!$C$2-2,[1]ACTUALIZACIÓN!$C$2-1)),0)+IFERROR(GETPIVOTDATA("Suma de dias x plazas",'[1]TTDD DATOS'!$B$49,"País","Total","categoría","Total","tipología","Total","zona","norte","Fecha","septiembre","municipio","total municipios","Años",IF([1]ACTUALIZACIÓN!$C$1="enero",[1]ACTUALIZACIÓN!$C$2-2,[1]ACTUALIZACIÓN!$C$2-1)),0)+IFERROR(GETPIVOTDATA("Suma de dias x plazas",'[1]TTDD DATOS'!$B$49,"País","Total","categoría","Total","tipología","Total","zona","norte","Fecha","octubre","municipio","total municipios","Años",IF([1]ACTUALIZACIÓN!$C$1="enero",[1]ACTUALIZACIÓN!$C$2-2,[1]ACTUALIZACIÓN!$C$2-1)),0)+IFERROR(GETPIVOTDATA("Suma de dias x plazas",'[1]TTDD DATOS'!$B$49,"País","Total","categoría","Total","tipología","Total","zona","norte","Fecha","noviembre","municipio","total municipios","Años",IF([1]ACTUALIZACIÓN!$C$1="enero",[1]ACTUALIZACIÓN!$C$2-2,[1]ACTUALIZACIÓN!$C$2-1)),0)+IFERROR(GETPIVOTDATA("Suma de dias x plazas",'[1]TTDD DATOS'!$B$49,"País","Total","categoría","Total","tipología","Total","zona","norte","Fecha","diciembre","municipio","total municipios","Años",IF([1]ACTUALIZACIÓN!$C$1="enero",[1]ACTUALIZACIÓN!$C$2-2,[1]ACTUALIZACIÓN!$C$2-1)),0)))-1</f>
        <v>2.377471787769259</v>
      </c>
      <c r="M77" s="39"/>
    </row>
    <row r="78" spans="3:13" ht="24.75" customHeight="1" x14ac:dyDescent="0.2">
      <c r="C78" s="60"/>
      <c r="D78" s="61"/>
      <c r="E78" s="62" t="s">
        <v>10</v>
      </c>
      <c r="F78" s="142">
        <f>GETPIVOTDATA("Suma de pernoctaciones",'[1]TTDD DATOS'!$B$6,"País","Total","categoría","Total","tipología","hotelera","zona","norte","municipio","total municipios","Años",[1]ACTUALIZACIÓN!$C$2)/GETPIVOTDATA("Suma de dias x plazas",'[1]TTDD DATOS'!$B$6,"País","Total","categoría","Total","tipología","hotelera","zona","norte","municipio","total municipios","Años",[1]ACTUALIZACIÓN!$C$2)</f>
        <v>0.65189614694720011</v>
      </c>
      <c r="G78" s="42">
        <f>(GETPIVOTDATA("Suma de pernoctaciones",'[1]TTDD DATOS'!$B$6,"País","Total","categoría","Total","tipología","hotelera","zona","norte","municipio","total municipios","Años",[1]ACTUALIZACIÓN!$C$2)/GETPIVOTDATA("Suma de dias x plazas",'[1]TTDD DATOS'!$B$6,"País","Total","categoría","Total","tipología","hotelera","zona","norte","municipio","total municipios","Años",[1]ACTUALIZACIÓN!$C$2))/(GETPIVOTDATA("Suma de pernoctaciones",'[1]TTDD DATOS'!$B$6,"País","Total","categoría","Total","tipología","hotelera","zona","norte","municipio","total municipios","Años",[1]ACTUALIZACIÓN!$C$2-1)/GETPIVOTDATA("Suma de dias x plazas",'[1]TTDD DATOS'!$B$6,"País","Total","categoría","Total","tipología","hotelera","zona","norte","municipio","total municipios","Años",[1]ACTUALIZACIÓN!$C$2-1))-1</f>
        <v>2.1225163021885165</v>
      </c>
      <c r="H78" s="58"/>
      <c r="I78" s="64"/>
      <c r="J78" s="62" t="s">
        <v>10</v>
      </c>
      <c r="K78" s="142">
        <f>GETPIVOTDATA("Suma de pernoctaciones",'[1]TTDD DATOS'!$B$49,"País","Total","categoría","Total","tipología","hotelera","zona","norte","municipio","total municipios","Años",IF([1]ACTUALIZACIÓN!$C$1="enero",[1]ACTUALIZACIÓN!$C$2-1,[1]ACTUALIZACIÓN!$C$2))/(IFERROR(GETPIVOTDATA("Suma de dias x plazas",'[1]TTDD DATOS'!$B$49,"País","Total","categoría","Total","tipología","hotelera","zona","norte","Fecha","enero","municipio","total municipios","Años",IF([1]ACTUALIZACIÓN!$C$1="enero",[1]ACTUALIZACIÓN!$C$2-1,[1]ACTUALIZACIÓN!$C$2)),0)+IFERROR(GETPIVOTDATA("Suma de dias x plazas",'[1]TTDD DATOS'!$B$49,"País","Total","categoría","Total","tipología","hotelera","zona","norte","Fecha","febrero","municipio","total municipios","Años",IF([1]ACTUALIZACIÓN!$C$1="enero",[1]ACTUALIZACIÓN!$C$2-1,[1]ACTUALIZACIÓN!$C$2)),0)+IFERROR(GETPIVOTDATA("Suma de dias x plazas",'[1]TTDD DATOS'!$B$49,"País","Total","categoría","Total","tipología","hotelera","zona","norte","Fecha","marzo","municipio","total municipios","Años",IF([1]ACTUALIZACIÓN!$C$1="enero",[1]ACTUALIZACIÓN!$C$2-1,[1]ACTUALIZACIÓN!$C$2)),0)+IFERROR(GETPIVOTDATA("Suma de dias x plazas",'[1]TTDD DATOS'!$B$49,"País","Total","categoría","Total","tipología","hotelera","zona","norte","Fecha","abril","municipio","total municipios","Años",IF([1]ACTUALIZACIÓN!$C$1="enero",[1]ACTUALIZACIÓN!$C$2-1,[1]ACTUALIZACIÓN!$C$2)),0)+IFERROR(GETPIVOTDATA("Suma de dias x plazas",'[1]TTDD DATOS'!$B$49,"País","Total","categoría","Total","tipología","hotelera","zona","norte","Fecha","mayo","municipio","total municipios","Años",IF([1]ACTUALIZACIÓN!$C$1="enero",[1]ACTUALIZACIÓN!$C$2-1,[1]ACTUALIZACIÓN!$C$2)),0)+IFERROR(GETPIVOTDATA("Suma de dias x plazas",'[1]TTDD DATOS'!$B$49,"País","Total","categoría","Total","tipología","hotelera","zona","norte","Fecha","junio","municipio","total municipios","Años",IF([1]ACTUALIZACIÓN!$C$1="enero",[1]ACTUALIZACIÓN!$C$2-1,[1]ACTUALIZACIÓN!$C$2)),0)+IFERROR(GETPIVOTDATA("Suma de dias x plazas",'[1]TTDD DATOS'!$B$49,"País","Total","categoría","Total","tipología","hotelera","zona","norte","Fecha","julio","municipio","total municipios","Años",IF([1]ACTUALIZACIÓN!$C$1="enero",[1]ACTUALIZACIÓN!$C$2-1,[1]ACTUALIZACIÓN!$C$2)),0)+IFERROR(GETPIVOTDATA("Suma de dias x plazas",'[1]TTDD DATOS'!$B$49,"País","Total","categoría","Total","tipología","hotelera","zona","norte","Fecha","agosto","municipio","total municipios","Años",IF([1]ACTUALIZACIÓN!$C$1="enero",[1]ACTUALIZACIÓN!$C$2-1,[1]ACTUALIZACIÓN!$C$2)),0)+IFERROR(GETPIVOTDATA("Suma de dias x plazas",'[1]TTDD DATOS'!$B$49,"País","Total","categoría","Total","tipología","hotelera","zona","norte","Fecha","septiembre","municipio","total municipios","Años",IF([1]ACTUALIZACIÓN!$C$1="enero",[1]ACTUALIZACIÓN!$C$2-1,[1]ACTUALIZACIÓN!$C$2)),0)+IFERROR(GETPIVOTDATA("Suma de dias x plazas",'[1]TTDD DATOS'!$B$49,"País","Total","categoría","Total","tipología","hotelera","zona","norte","Fecha","octubre","municipio","total municipios","Años",IF([1]ACTUALIZACIÓN!$C$1="enero",[1]ACTUALIZACIÓN!$C$2-1,[1]ACTUALIZACIÓN!$C$2)),0)+IFERROR(GETPIVOTDATA("Suma de dias x plazas",'[1]TTDD DATOS'!$B$49,"País","Total","categoría","Total","tipología","hotelera","zona","norte","Fecha","noviembre","municipio","total municipios","Años",IF([1]ACTUALIZACIÓN!$C$1="enero",[1]ACTUALIZACIÓN!$C$2-1,[1]ACTUALIZACIÓN!$C$2)),0)+IFERROR(GETPIVOTDATA("Suma de dias x plazas",'[1]TTDD DATOS'!$B$49,"País","Total","categoría","Total","tipología","hotelera","zona","norte","Fecha","diciembre","municipio","total municipios","Años",IF([1]ACTUALIZACIÓN!$C$1="enero",[1]ACTUALIZACIÓN!$C$2-1,[1]ACTUALIZACIÓN!$C$2)),0))</f>
        <v>0.58918925308211489</v>
      </c>
      <c r="L78" s="45">
        <f>(GETPIVOTDATA("Suma de pernoctaciones",'[1]TTDD DATOS'!$B$49,"País","Total","categoría","Total","tipología","hotelera","zona","norte","municipio","total municipios","Años",IF([1]ACTUALIZACIÓN!$C$1="enero",[1]ACTUALIZACIÓN!$C$2-1,[1]ACTUALIZACIÓN!$C$2))/(IFERROR(GETPIVOTDATA("Suma de dias x plazas",'[1]TTDD DATOS'!$B$49,"País","Total","categoría","Total","tipología","hotelera","zona","norte","Fecha","enero","municipio","total municipios","Años",IF([1]ACTUALIZACIÓN!$C$1="enero",[1]ACTUALIZACIÓN!$C$2-1,[1]ACTUALIZACIÓN!$C$2)),0)+IFERROR(GETPIVOTDATA("Suma de dias x plazas",'[1]TTDD DATOS'!$B$49,"País","Total","categoría","Total","tipología","hotelera","zona","norte","Fecha","febrero","municipio","total municipios","Años",IF([1]ACTUALIZACIÓN!$C$1="enero",[1]ACTUALIZACIÓN!$C$2-1,[1]ACTUALIZACIÓN!$C$2)),0)+IFERROR(GETPIVOTDATA("Suma de dias x plazas",'[1]TTDD DATOS'!$B$49,"País","Total","categoría","Total","tipología","hotelera","zona","norte","Fecha","marzo","municipio","total municipios","Años",IF([1]ACTUALIZACIÓN!$C$1="enero",[1]ACTUALIZACIÓN!$C$2-1,[1]ACTUALIZACIÓN!$C$2)),0)+IFERROR(GETPIVOTDATA("Suma de dias x plazas",'[1]TTDD DATOS'!$B$49,"País","Total","categoría","Total","tipología","hotelera","zona","norte","Fecha","abril","municipio","total municipios","Años",IF([1]ACTUALIZACIÓN!$C$1="enero",[1]ACTUALIZACIÓN!$C$2-1,[1]ACTUALIZACIÓN!$C$2)),0)+IFERROR(GETPIVOTDATA("Suma de dias x plazas",'[1]TTDD DATOS'!$B$49,"País","Total","categoría","Total","tipología","hotelera","zona","norte","Fecha","mayo","municipio","total municipios","Años",IF([1]ACTUALIZACIÓN!$C$1="enero",[1]ACTUALIZACIÓN!$C$2-1,[1]ACTUALIZACIÓN!$C$2)),0)+IFERROR(GETPIVOTDATA("Suma de dias x plazas",'[1]TTDD DATOS'!$B$49,"País","Total","categoría","Total","tipología","hotelera","zona","norte","Fecha","junio","municipio","total municipios","Años",IF([1]ACTUALIZACIÓN!$C$1="enero",[1]ACTUALIZACIÓN!$C$2-1,[1]ACTUALIZACIÓN!$C$2)),0)+IFERROR(GETPIVOTDATA("Suma de dias x plazas",'[1]TTDD DATOS'!$B$49,"País","Total","categoría","Total","tipología","hotelera","zona","norte","Fecha","julio","municipio","total municipios","Años",IF([1]ACTUALIZACIÓN!$C$1="enero",[1]ACTUALIZACIÓN!$C$2-1,[1]ACTUALIZACIÓN!$C$2)),0)+IFERROR(GETPIVOTDATA("Suma de dias x plazas",'[1]TTDD DATOS'!$B$49,"País","Total","categoría","Total","tipología","hotelera","zona","norte","Fecha","agosto","municipio","total municipios","Años",IF([1]ACTUALIZACIÓN!$C$1="enero",[1]ACTUALIZACIÓN!$C$2-1,[1]ACTUALIZACIÓN!$C$2)),0)+IFERROR(GETPIVOTDATA("Suma de dias x plazas",'[1]TTDD DATOS'!$B$49,"País","Total","categoría","Total","tipología","hotelera","zona","norte","Fecha","septiembre","municipio","total municipios","Años",IF([1]ACTUALIZACIÓN!$C$1="enero",[1]ACTUALIZACIÓN!$C$2-1,[1]ACTUALIZACIÓN!$C$2)),0)+IFERROR(GETPIVOTDATA("Suma de dias x plazas",'[1]TTDD DATOS'!$B$49,"País","Total","categoría","Total","tipología","hotelera","zona","norte","Fecha","octubre","municipio","total municipios","Años",IF([1]ACTUALIZACIÓN!$C$1="enero",[1]ACTUALIZACIÓN!$C$2-1,[1]ACTUALIZACIÓN!$C$2)),0)+IFERROR(GETPIVOTDATA("Suma de dias x plazas",'[1]TTDD DATOS'!$B$49,"País","Total","categoría","Total","tipología","hotelera","zona","norte","Fecha","noviembre","municipio","total municipios","Años",IF([1]ACTUALIZACIÓN!$C$1="enero",[1]ACTUALIZACIÓN!$C$2-1,[1]ACTUALIZACIÓN!$C$2)),0)+IFERROR(GETPIVOTDATA("Suma de dias x plazas",'[1]TTDD DATOS'!$B$49,"País","Total","categoría","Total","tipología","hotelera","zona","norte","Fecha","diciembre","municipio","total municipios","Años",IF([1]ACTUALIZACIÓN!$C$1="enero",[1]ACTUALIZACIÓN!$C$2-1,[1]ACTUALIZACIÓN!$C$2)),0)))/(GETPIVOTDATA("Suma de pernoctaciones",'[1]TTDD DATOS'!$B$49,"País","Total","categoría","Total","tipología","hotelera","zona","norte","municipio","total municipios","Años",IF([1]ACTUALIZACIÓN!$C$1="enero",[1]ACTUALIZACIÓN!$C$2-2,[1]ACTUALIZACIÓN!$C$2-1))/(IFERROR(GETPIVOTDATA("Suma de dias x plazas",'[1]TTDD DATOS'!$B$49,"País","Total","categoría","Total","tipología","hotelera","zona","norte","Fecha","enero","municipio","total municipios","Años",IF([1]ACTUALIZACIÓN!$C$1="enero",[1]ACTUALIZACIÓN!$C$2-2,[1]ACTUALIZACIÓN!$C$2-1)),0)+IFERROR(GETPIVOTDATA("Suma de dias x plazas",'[1]TTDD DATOS'!$B$49,"País","Total","categoría","Total","tipología","hotelera","zona","norte","Fecha","febrero","municipio","total municipios","Años",IF([1]ACTUALIZACIÓN!$C$1="enero",[1]ACTUALIZACIÓN!$C$2-2,[1]ACTUALIZACIÓN!$C$2-1)),0)+IFERROR(GETPIVOTDATA("Suma de dias x plazas",'[1]TTDD DATOS'!$B$49,"País","Total","categoría","Total","tipología","hotelera","zona","norte","Fecha","marzo","municipio","total municipios","Años",IF([1]ACTUALIZACIÓN!$C$1="enero",[1]ACTUALIZACIÓN!$C$2-2,[1]ACTUALIZACIÓN!$C$2-1)),0)+IFERROR(GETPIVOTDATA("Suma de dias x plazas",'[1]TTDD DATOS'!$B$49,"País","Total","categoría","Total","tipología","hotelera","zona","norte","Fecha","abril","municipio","total municipios","Años",IF([1]ACTUALIZACIÓN!$C$1="enero",[1]ACTUALIZACIÓN!$C$2-2,[1]ACTUALIZACIÓN!$C$2-1)),0)+IFERROR(GETPIVOTDATA("Suma de dias x plazas",'[1]TTDD DATOS'!$B$49,"País","Total","categoría","Total","tipología","hotelera","zona","norte","Fecha","mayo","municipio","total municipios","Años",IF([1]ACTUALIZACIÓN!$C$1="enero",[1]ACTUALIZACIÓN!$C$2-2,[1]ACTUALIZACIÓN!$C$2-1)),0)+IFERROR(GETPIVOTDATA("Suma de dias x plazas",'[1]TTDD DATOS'!$B$49,"País","Total","categoría","Total","tipología","hotelera","zona","norte","Fecha","junio","municipio","total municipios","Años",IF([1]ACTUALIZACIÓN!$C$1="enero",[1]ACTUALIZACIÓN!$C$2-2,[1]ACTUALIZACIÓN!$C$2-1)),0)+IFERROR(GETPIVOTDATA("Suma de dias x plazas",'[1]TTDD DATOS'!$B$49,"País","Total","categoría","Total","tipología","hotelera","zona","norte","Fecha","julio","municipio","total municipios","Años",IF([1]ACTUALIZACIÓN!$C$1="enero",[1]ACTUALIZACIÓN!$C$2-2,[1]ACTUALIZACIÓN!$C$2-1)),0)+IFERROR(GETPIVOTDATA("Suma de dias x plazas",'[1]TTDD DATOS'!$B$49,"País","Total","categoría","Total","tipología","hotelera","zona","norte","Fecha","agosto","municipio","total municipios","Años",IF([1]ACTUALIZACIÓN!$C$1="enero",[1]ACTUALIZACIÓN!$C$2-2,[1]ACTUALIZACIÓN!$C$2-1)),0)+IFERROR(GETPIVOTDATA("Suma de dias x plazas",'[1]TTDD DATOS'!$B$49,"País","Total","categoría","Total","tipología","hotelera","zona","norte","Fecha","septiembre","municipio","total municipios","Años",IF([1]ACTUALIZACIÓN!$C$1="enero",[1]ACTUALIZACIÓN!$C$2-2,[1]ACTUALIZACIÓN!$C$2-1)),0)+IFERROR(GETPIVOTDATA("Suma de dias x plazas",'[1]TTDD DATOS'!$B$49,"País","Total","categoría","Total","tipología","hotelera","zona","norte","Fecha","octubre","municipio","total municipios","Años",IF([1]ACTUALIZACIÓN!$C$1="enero",[1]ACTUALIZACIÓN!$C$2-2,[1]ACTUALIZACIÓN!$C$2-1)),0)+IFERROR(GETPIVOTDATA("Suma de dias x plazas",'[1]TTDD DATOS'!$B$49,"País","Total","categoría","Total","tipología","hotelera","zona","norte","Fecha","noviembre","municipio","total municipios","Años",IF([1]ACTUALIZACIÓN!$C$1="enero",[1]ACTUALIZACIÓN!$C$2-2,[1]ACTUALIZACIÓN!$C$2-1)),0)+IFERROR(GETPIVOTDATA("Suma de dias x plazas",'[1]TTDD DATOS'!$B$49,"País","Total","categoría","Total","tipología","hotelera","zona","norte","Fecha","diciembre","municipio","total municipios","Años",IF([1]ACTUALIZACIÓN!$C$1="enero",[1]ACTUALIZACIÓN!$C$2-2,[1]ACTUALIZACIÓN!$C$2-1)),0)))-1</f>
        <v>2.4367284606038582</v>
      </c>
      <c r="M78" s="39"/>
    </row>
    <row r="79" spans="3:13" ht="24.75" customHeight="1" thickBot="1" x14ac:dyDescent="0.25">
      <c r="C79" s="65"/>
      <c r="D79" s="66"/>
      <c r="E79" s="67" t="s">
        <v>11</v>
      </c>
      <c r="F79" s="143">
        <f>GETPIVOTDATA("Suma de pernoctaciones",'[1]TTDD DATOS'!$B$6,"País","Total","categoría","Total","tipología","extrahotelera","zona","norte","municipio","total municipios","Años",[1]ACTUALIZACIÓN!$C$2)/GETPIVOTDATA("Suma de dias x plazas",'[1]TTDD DATOS'!$B$6,"País","Total","categoría","Total","tipología","extrahotelera","zona","norte","municipio","total municipios","Años",[1]ACTUALIZACIÓN!$C$2)</f>
        <v>0.50912366147379662</v>
      </c>
      <c r="G79" s="69">
        <f>(GETPIVOTDATA("Suma de pernoctaciones",'[1]TTDD DATOS'!$B$6,"País","Total","categoría","Total","tipología","extrahotelera","zona","norte","municipio","total municipios","Años",[1]ACTUALIZACIÓN!$C$2)/GETPIVOTDATA("Suma de dias x plazas",'[1]TTDD DATOS'!$B$6,"País","Total","categoría","Total","tipología","extrahotelera","zona","norte","municipio","total municipios","Años",[1]ACTUALIZACIÓN!$C$2))/(GETPIVOTDATA("Suma de pernoctaciones",'[1]TTDD DATOS'!$B$6,"País","Total","categoría","Total","tipología","extrahotelera","zona","norte","municipio","total municipios","Años",[1]ACTUALIZACIÓN!$C$2-1)/GETPIVOTDATA("Suma de dias x plazas",'[1]TTDD DATOS'!$B$6,"País","Total","categoría","Total","tipología","extrahotelera","zona","norte","municipio","total municipios","Años",[1]ACTUALIZACIÓN!$C$2-1))-1</f>
        <v>1.707008590452932</v>
      </c>
      <c r="H79" s="58"/>
      <c r="I79" s="70"/>
      <c r="J79" s="67" t="s">
        <v>11</v>
      </c>
      <c r="K79" s="143">
        <f>GETPIVOTDATA("Suma de pernoctaciones",'[1]TTDD DATOS'!$B$49,"País","Total","categoría","Total","tipología","extrahotelera","zona","norte","municipio","total municipios","Años",IF([1]ACTUALIZACIÓN!$C$1="enero",[1]ACTUALIZACIÓN!$C$2-1,[1]ACTUALIZACIÓN!$C$2))/(IFERROR(GETPIVOTDATA("Suma de dias x plazas",'[1]TTDD DATOS'!$B$49,"País","Total","categoría","Total","tipología","extrahotelera","zona","norte","Fecha","enero","municipio","total municipios","Años",IF([1]ACTUALIZACIÓN!$C$1="enero",[1]ACTUALIZACIÓN!$C$2-1,[1]ACTUALIZACIÓN!$C$2)),0)+IFERROR(GETPIVOTDATA("Suma de dias x plazas",'[1]TTDD DATOS'!$B$49,"País","Total","categoría","Total","tipología","extrahotelera","zona","norte","Fecha","febrero","municipio","total municipios","Años",IF([1]ACTUALIZACIÓN!$C$1="enero",[1]ACTUALIZACIÓN!$C$2-1,[1]ACTUALIZACIÓN!$C$2)),0)+IFERROR(GETPIVOTDATA("Suma de dias x plazas",'[1]TTDD DATOS'!$B$49,"País","Total","categoría","Total","tipología","extrahotelera","zona","norte","Fecha","marzo","municipio","total municipios","Años",IF([1]ACTUALIZACIÓN!$C$1="enero",[1]ACTUALIZACIÓN!$C$2-1,[1]ACTUALIZACIÓN!$C$2)),0)+IFERROR(GETPIVOTDATA("Suma de dias x plazas",'[1]TTDD DATOS'!$B$49,"País","Total","categoría","Total","tipología","extrahotelera","zona","norte","Fecha","abril","municipio","total municipios","Años",IF([1]ACTUALIZACIÓN!$C$1="enero",[1]ACTUALIZACIÓN!$C$2-1,[1]ACTUALIZACIÓN!$C$2)),0)+IFERROR(GETPIVOTDATA("Suma de dias x plazas",'[1]TTDD DATOS'!$B$49,"País","Total","categoría","Total","tipología","extrahotelera","zona","norte","Fecha","mayo","municipio","total municipios","Años",IF([1]ACTUALIZACIÓN!$C$1="enero",[1]ACTUALIZACIÓN!$C$2-1,[1]ACTUALIZACIÓN!$C$2)),0)+IFERROR(GETPIVOTDATA("Suma de dias x plazas",'[1]TTDD DATOS'!$B$49,"País","Total","categoría","Total","tipología","extrahotelera","zona","norte","Fecha","junio","municipio","total municipios","Años",IF([1]ACTUALIZACIÓN!$C$1="enero",[1]ACTUALIZACIÓN!$C$2-1,[1]ACTUALIZACIÓN!$C$2)),0)+IFERROR(GETPIVOTDATA("Suma de dias x plazas",'[1]TTDD DATOS'!$B$49,"País","Total","categoría","Total","tipología","extrahotelera","zona","norte","Fecha","julio","municipio","total municipios","Años",IF([1]ACTUALIZACIÓN!$C$1="enero",[1]ACTUALIZACIÓN!$C$2-1,[1]ACTUALIZACIÓN!$C$2)),0)+IFERROR(GETPIVOTDATA("Suma de dias x plazas",'[1]TTDD DATOS'!$B$49,"País","Total","categoría","Total","tipología","extrahotelera","zona","norte","Fecha","agosto","municipio","total municipios","Años",IF([1]ACTUALIZACIÓN!$C$1="enero",[1]ACTUALIZACIÓN!$C$2-1,[1]ACTUALIZACIÓN!$C$2)),0)+IFERROR(GETPIVOTDATA("Suma de dias x plazas",'[1]TTDD DATOS'!$B$49,"País","Total","categoría","Total","tipología","extrahotelera","zona","norte","Fecha","septiembre","municipio","total municipios","Años",IF([1]ACTUALIZACIÓN!$C$1="enero",[1]ACTUALIZACIÓN!$C$2-1,[1]ACTUALIZACIÓN!$C$2)),0)+IFERROR(GETPIVOTDATA("Suma de dias x plazas",'[1]TTDD DATOS'!$B$49,"País","Total","categoría","Total","tipología","extrahotelera","zona","norte","Fecha","octubre","municipio","total municipios","Años",IF([1]ACTUALIZACIÓN!$C$1="enero",[1]ACTUALIZACIÓN!$C$2-1,[1]ACTUALIZACIÓN!$C$2)),0)+IFERROR(GETPIVOTDATA("Suma de dias x plazas",'[1]TTDD DATOS'!$B$49,"País","Total","categoría","Total","tipología","extrahotelera","zona","norte","Fecha","noviembre","municipio","total municipios","Años",IF([1]ACTUALIZACIÓN!$C$1="enero",[1]ACTUALIZACIÓN!$C$2-1,[1]ACTUALIZACIÓN!$C$2)),0)+IFERROR(GETPIVOTDATA("Suma de dias x plazas",'[1]TTDD DATOS'!$B$49,"País","Total","categoría","Total","tipología","extrahotelera","zona","norte","Fecha","diciembre","municipio","total municipios","Años",IF([1]ACTUALIZACIÓN!$C$1="enero",[1]ACTUALIZACIÓN!$C$2-1,[1]ACTUALIZACIÓN!$C$2)),0))</f>
        <v>0.50504106281281391</v>
      </c>
      <c r="L79" s="52">
        <f>(GETPIVOTDATA("Suma de pernoctaciones",'[1]TTDD DATOS'!$B$49,"País","Total","categoría","Total","tipología","extrahotelera","zona","norte","municipio","total municipios","Años",IF([1]ACTUALIZACIÓN!$C$1="enero",[1]ACTUALIZACIÓN!$C$2-1,[1]ACTUALIZACIÓN!$C$2))/(IFERROR(GETPIVOTDATA("Suma de dias x plazas",'[1]TTDD DATOS'!$B$49,"País","Total","categoría","Total","tipología","extrahotelera","zona","norte","Fecha","enero","municipio","total municipios","Años",IF([1]ACTUALIZACIÓN!$C$1="enero",[1]ACTUALIZACIÓN!$C$2-1,[1]ACTUALIZACIÓN!$C$2)),0)+IFERROR(GETPIVOTDATA("Suma de dias x plazas",'[1]TTDD DATOS'!$B$49,"País","Total","categoría","Total","tipología","extrahotelera","zona","norte","Fecha","febrero","municipio","total municipios","Años",IF([1]ACTUALIZACIÓN!$C$1="enero",[1]ACTUALIZACIÓN!$C$2-1,[1]ACTUALIZACIÓN!$C$2)),0)+IFERROR(GETPIVOTDATA("Suma de dias x plazas",'[1]TTDD DATOS'!$B$49,"País","Total","categoría","Total","tipología","extrahotelera","zona","norte","Fecha","marzo","municipio","total municipios","Años",IF([1]ACTUALIZACIÓN!$C$1="enero",[1]ACTUALIZACIÓN!$C$2-1,[1]ACTUALIZACIÓN!$C$2)),0)+IFERROR(GETPIVOTDATA("Suma de dias x plazas",'[1]TTDD DATOS'!$B$49,"País","Total","categoría","Total","tipología","extrahotelera","zona","norte","Fecha","abril","municipio","total municipios","Años",IF([1]ACTUALIZACIÓN!$C$1="enero",[1]ACTUALIZACIÓN!$C$2-1,[1]ACTUALIZACIÓN!$C$2)),0)+IFERROR(GETPIVOTDATA("Suma de dias x plazas",'[1]TTDD DATOS'!$B$49,"País","Total","categoría","Total","tipología","extrahotelera","zona","norte","Fecha","mayo","municipio","total municipios","Años",IF([1]ACTUALIZACIÓN!$C$1="enero",[1]ACTUALIZACIÓN!$C$2-1,[1]ACTUALIZACIÓN!$C$2)),0)+IFERROR(GETPIVOTDATA("Suma de dias x plazas",'[1]TTDD DATOS'!$B$49,"País","Total","categoría","Total","tipología","extrahotelera","zona","norte","Fecha","junio","municipio","total municipios","Años",IF([1]ACTUALIZACIÓN!$C$1="enero",[1]ACTUALIZACIÓN!$C$2-1,[1]ACTUALIZACIÓN!$C$2)),0)+IFERROR(GETPIVOTDATA("Suma de dias x plazas",'[1]TTDD DATOS'!$B$49,"País","Total","categoría","Total","tipología","extrahotelera","zona","norte","Fecha","julio","municipio","total municipios","Años",IF([1]ACTUALIZACIÓN!$C$1="enero",[1]ACTUALIZACIÓN!$C$2-1,[1]ACTUALIZACIÓN!$C$2)),0)+IFERROR(GETPIVOTDATA("Suma de dias x plazas",'[1]TTDD DATOS'!$B$49,"País","Total","categoría","Total","tipología","extrahotelera","zona","norte","Fecha","agosto","municipio","total municipios","Años",IF([1]ACTUALIZACIÓN!$C$1="enero",[1]ACTUALIZACIÓN!$C$2-1,[1]ACTUALIZACIÓN!$C$2)),0)+IFERROR(GETPIVOTDATA("Suma de dias x plazas",'[1]TTDD DATOS'!$B$49,"País","Total","categoría","Total","tipología","extrahotelera","zona","norte","Fecha","septiembre","municipio","total municipios","Años",IF([1]ACTUALIZACIÓN!$C$1="enero",[1]ACTUALIZACIÓN!$C$2-1,[1]ACTUALIZACIÓN!$C$2)),0)+IFERROR(GETPIVOTDATA("Suma de dias x plazas",'[1]TTDD DATOS'!$B$49,"País","Total","categoría","Total","tipología","extrahotelera","zona","norte","Fecha","octubre","municipio","total municipios","Años",IF([1]ACTUALIZACIÓN!$C$1="enero",[1]ACTUALIZACIÓN!$C$2-1,[1]ACTUALIZACIÓN!$C$2)),0)+IFERROR(GETPIVOTDATA("Suma de dias x plazas",'[1]TTDD DATOS'!$B$49,"País","Total","categoría","Total","tipología","extrahotelera","zona","norte","Fecha","noviembre","municipio","total municipios","Años",IF([1]ACTUALIZACIÓN!$C$1="enero",[1]ACTUALIZACIÓN!$C$2-1,[1]ACTUALIZACIÓN!$C$2)),0)+IFERROR(GETPIVOTDATA("Suma de dias x plazas",'[1]TTDD DATOS'!$B$49,"País","Total","categoría","Total","tipología","extrahotelera","zona","norte","Fecha","diciembre","municipio","total municipios","Años",IF([1]ACTUALIZACIÓN!$C$1="enero",[1]ACTUALIZACIÓN!$C$2-1,[1]ACTUALIZACIÓN!$C$2)),0)))/(GETPIVOTDATA("Suma de pernoctaciones",'[1]TTDD DATOS'!$B$49,"País","Total","categoría","Total","tipología","extrahotelera","zona","norte","municipio","total municipios","Años",IF([1]ACTUALIZACIÓN!$C$1="enero",[1]ACTUALIZACIÓN!$C$2-2,[1]ACTUALIZACIÓN!$C$2-1))/(IFERROR(GETPIVOTDATA("Suma de dias x plazas",'[1]TTDD DATOS'!$B$49,"País","Total","categoría","Total","tipología","extrahotelera","zona","norte","Fecha","enero","municipio","total municipios","Años",IF([1]ACTUALIZACIÓN!$C$1="enero",[1]ACTUALIZACIÓN!$C$2-2,[1]ACTUALIZACIÓN!$C$2-1)),0)+IFERROR(GETPIVOTDATA("Suma de dias x plazas",'[1]TTDD DATOS'!$B$49,"País","Total","categoría","Total","tipología","extrahotelera","zona","norte","Fecha","febrero","municipio","total municipios","Años",IF([1]ACTUALIZACIÓN!$C$1="enero",[1]ACTUALIZACIÓN!$C$2-2,[1]ACTUALIZACIÓN!$C$2-1)),0)+IFERROR(GETPIVOTDATA("Suma de dias x plazas",'[1]TTDD DATOS'!$B$49,"País","Total","categoría","Total","tipología","extrahotelera","zona","norte","Fecha","marzo","municipio","total municipios","Años",IF([1]ACTUALIZACIÓN!$C$1="enero",[1]ACTUALIZACIÓN!$C$2-2,[1]ACTUALIZACIÓN!$C$2-1)),0)+IFERROR(GETPIVOTDATA("Suma de dias x plazas",'[1]TTDD DATOS'!$B$49,"País","Total","categoría","Total","tipología","extrahotelera","zona","norte","Fecha","abril","municipio","total municipios","Años",IF([1]ACTUALIZACIÓN!$C$1="enero",[1]ACTUALIZACIÓN!$C$2-2,[1]ACTUALIZACIÓN!$C$2-1)),0)+IFERROR(GETPIVOTDATA("Suma de dias x plazas",'[1]TTDD DATOS'!$B$49,"País","Total","categoría","Total","tipología","extrahotelera","zona","norte","Fecha","mayo","municipio","total municipios","Años",IF([1]ACTUALIZACIÓN!$C$1="enero",[1]ACTUALIZACIÓN!$C$2-2,[1]ACTUALIZACIÓN!$C$2-1)),0)+IFERROR(GETPIVOTDATA("Suma de dias x plazas",'[1]TTDD DATOS'!$B$49,"País","Total","categoría","Total","tipología","extrahotelera","zona","norte","Fecha","junio","municipio","total municipios","Años",IF([1]ACTUALIZACIÓN!$C$1="enero",[1]ACTUALIZACIÓN!$C$2-2,[1]ACTUALIZACIÓN!$C$2-1)),0)+IFERROR(GETPIVOTDATA("Suma de dias x plazas",'[1]TTDD DATOS'!$B$49,"País","Total","categoría","Total","tipología","extrahotelera","zona","norte","Fecha","julio","municipio","total municipios","Años",IF([1]ACTUALIZACIÓN!$C$1="enero",[1]ACTUALIZACIÓN!$C$2-2,[1]ACTUALIZACIÓN!$C$2-1)),0)+IFERROR(GETPIVOTDATA("Suma de dias x plazas",'[1]TTDD DATOS'!$B$49,"País","Total","categoría","Total","tipología","extrahotelera","zona","norte","Fecha","agosto","municipio","total municipios","Años",IF([1]ACTUALIZACIÓN!$C$1="enero",[1]ACTUALIZACIÓN!$C$2-2,[1]ACTUALIZACIÓN!$C$2-1)),0)+IFERROR(GETPIVOTDATA("Suma de dias x plazas",'[1]TTDD DATOS'!$B$49,"País","Total","categoría","Total","tipología","extrahotelera","zona","norte","Fecha","septiembre","municipio","total municipios","Años",IF([1]ACTUALIZACIÓN!$C$1="enero",[1]ACTUALIZACIÓN!$C$2-2,[1]ACTUALIZACIÓN!$C$2-1)),0)+IFERROR(GETPIVOTDATA("Suma de dias x plazas",'[1]TTDD DATOS'!$B$49,"País","Total","categoría","Total","tipología","extrahotelera","zona","norte","Fecha","octubre","municipio","total municipios","Años",IF([1]ACTUALIZACIÓN!$C$1="enero",[1]ACTUALIZACIÓN!$C$2-2,[1]ACTUALIZACIÓN!$C$2-1)),0)+IFERROR(GETPIVOTDATA("Suma de dias x plazas",'[1]TTDD DATOS'!$B$49,"País","Total","categoría","Total","tipología","extrahotelera","zona","norte","Fecha","noviembre","municipio","total municipios","Años",IF([1]ACTUALIZACIÓN!$C$1="enero",[1]ACTUALIZACIÓN!$C$2-2,[1]ACTUALIZACIÓN!$C$2-1)),0)+IFERROR(GETPIVOTDATA("Suma de dias x plazas",'[1]TTDD DATOS'!$B$49,"País","Total","categoría","Total","tipología","extrahotelera","zona","norte","Fecha","diciembre","municipio","total municipios","Años",IF([1]ACTUALIZACIÓN!$C$1="enero",[1]ACTUALIZACIÓN!$C$2-2,[1]ACTUALIZACIÓN!$C$2-1)),0)))-1</f>
        <v>2.0745321349354642</v>
      </c>
      <c r="M79" s="39"/>
    </row>
    <row r="80" spans="3:13" ht="24.75" customHeight="1" x14ac:dyDescent="0.2">
      <c r="C80" s="86" t="s">
        <v>15</v>
      </c>
      <c r="D80" s="87"/>
      <c r="E80" s="88" t="s">
        <v>8</v>
      </c>
      <c r="F80" s="147">
        <f>GETPIVOTDATA("Suma de pernoctaciones",'[1]TTDD DATOS'!$B$6,"País","Total","categoría","Total","tipología","Total","zona","sur","municipio","total municipios","Años",[1]ACTUALIZACIÓN!$C$2)/GETPIVOTDATA("Suma de dias x plazas",'[1]TTDD DATOS'!$B$6,"País","Total","categoría","Total","tipología","Total","zona","sur","municipio","total municipios","Años",[1]ACTUALIZACIÓN!$C$2)</f>
        <v>0.68883225167879547</v>
      </c>
      <c r="G80" s="57">
        <f>(GETPIVOTDATA("Suma de pernoctaciones",'[1]TTDD DATOS'!$B$6,"País","Total","categoría","Total","tipología","Total","zona","sur","municipio","total municipios","Años",[1]ACTUALIZACIÓN!$C$2)/GETPIVOTDATA("Suma de dias x plazas",'[1]TTDD DATOS'!$B$6,"País","Total","categoría","Total","tipología","Total","zona","sur","municipio","total municipios","Años",[1]ACTUALIZACIÓN!$C$2))/(GETPIVOTDATA("Suma de pernoctaciones",'[1]TTDD DATOS'!$B$6,"País","Total","categoría","Total","tipología","Total","zona","sur","municipio","total municipios","Años",[1]ACTUALIZACIÓN!$C$2-1)/GETPIVOTDATA("Suma de dias x plazas",'[1]TTDD DATOS'!$B$6,"País","Total","categoría","Total","tipología","Total","zona","sur","municipio","total municipios","Años",[1]ACTUALIZACIÓN!$C$2-1))-1</f>
        <v>1.9839830610287503</v>
      </c>
      <c r="H80" s="58"/>
      <c r="I80" s="90" t="s">
        <v>15</v>
      </c>
      <c r="J80" s="88" t="s">
        <v>8</v>
      </c>
      <c r="K80" s="147">
        <f>GETPIVOTDATA("Suma de pernoctaciones",'[1]TTDD DATOS'!$B$49,"País","Total","categoría","Total","tipología","Total","zona","sur","municipio","total municipios","Años",IF([1]ACTUALIZACIÓN!$C$1="enero",[1]ACTUALIZACIÓN!$C$2-1,[1]ACTUALIZACIÓN!$C$2))/(IFERROR(GETPIVOTDATA("Suma de dias x plazas",'[1]TTDD DATOS'!$B$49,"País","Total","categoría","Total","tipología","Total","zona","sur","Fecha","enero","municipio","total municipios","Años",IF([1]ACTUALIZACIÓN!$C$1="enero",[1]ACTUALIZACIÓN!$C$2-1,[1]ACTUALIZACIÓN!$C$2)),0)+IFERROR(GETPIVOTDATA("Suma de dias x plazas",'[1]TTDD DATOS'!$B$49,"País","Total","categoría","Total","tipología","Total","zona","sur","Fecha","febrero","municipio","total municipios","Años",IF([1]ACTUALIZACIÓN!$C$1="enero",[1]ACTUALIZACIÓN!$C$2-1,[1]ACTUALIZACIÓN!$C$2)),0)+IFERROR(GETPIVOTDATA("Suma de dias x plazas",'[1]TTDD DATOS'!$B$49,"País","Total","categoría","Total","tipología","Total","zona","sur","Fecha","marzo","municipio","total municipios","Años",IF([1]ACTUALIZACIÓN!$C$1="enero",[1]ACTUALIZACIÓN!$C$2-1,[1]ACTUALIZACIÓN!$C$2)),0)+IFERROR(GETPIVOTDATA("Suma de dias x plazas",'[1]TTDD DATOS'!$B$49,"País","Total","categoría","Total","tipología","Total","zona","sur","Fecha","abril","municipio","total municipios","Años",IF([1]ACTUALIZACIÓN!$C$1="enero",[1]ACTUALIZACIÓN!$C$2-1,[1]ACTUALIZACIÓN!$C$2)),0)+IFERROR(GETPIVOTDATA("Suma de dias x plazas",'[1]TTDD DATOS'!$B$49,"País","Total","categoría","Total","tipología","Total","zona","sur","Fecha","mayo","municipio","total municipios","Años",IF([1]ACTUALIZACIÓN!$C$1="enero",[1]ACTUALIZACIÓN!$C$2-1,[1]ACTUALIZACIÓN!$C$2)),0)+IFERROR(GETPIVOTDATA("Suma de dias x plazas",'[1]TTDD DATOS'!$B$49,"País","Total","categoría","Total","tipología","Total","zona","sur","Fecha","junio","municipio","total municipios","Años",IF([1]ACTUALIZACIÓN!$C$1="enero",[1]ACTUALIZACIÓN!$C$2-1,[1]ACTUALIZACIÓN!$C$2)),0)+IFERROR(GETPIVOTDATA("Suma de dias x plazas",'[1]TTDD DATOS'!$B$49,"País","Total","categoría","Total","tipología","Total","zona","sur","Fecha","julio","municipio","total municipios","Años",IF([1]ACTUALIZACIÓN!$C$1="enero",[1]ACTUALIZACIÓN!$C$2-1,[1]ACTUALIZACIÓN!$C$2)),0)+IFERROR(GETPIVOTDATA("Suma de dias x plazas",'[1]TTDD DATOS'!$B$49,"País","Total","categoría","Total","tipología","Total","zona","sur","Fecha","agosto","municipio","total municipios","Años",IF([1]ACTUALIZACIÓN!$C$1="enero",[1]ACTUALIZACIÓN!$C$2-1,[1]ACTUALIZACIÓN!$C$2)),0)+IFERROR(GETPIVOTDATA("Suma de dias x plazas",'[1]TTDD DATOS'!$B$49,"País","Total","categoría","Total","tipología","Total","zona","sur","Fecha","septiembre","municipio","total municipios","Años",IF([1]ACTUALIZACIÓN!$C$1="enero",[1]ACTUALIZACIÓN!$C$2-1,[1]ACTUALIZACIÓN!$C$2)),0)+IFERROR(GETPIVOTDATA("Suma de dias x plazas",'[1]TTDD DATOS'!$B$49,"País","Total","categoría","Total","tipología","Total","zona","sur","Fecha","octubre","municipio","total municipios","Años",IF([1]ACTUALIZACIÓN!$C$1="enero",[1]ACTUALIZACIÓN!$C$2-1,[1]ACTUALIZACIÓN!$C$2)),0)+IFERROR(GETPIVOTDATA("Suma de dias x plazas",'[1]TTDD DATOS'!$B$49,"País","Total","categoría","Total","tipología","Total","zona","sur","Fecha","noviembre","municipio","total municipios","Años",IF([1]ACTUALIZACIÓN!$C$1="enero",[1]ACTUALIZACIÓN!$C$2-1,[1]ACTUALIZACIÓN!$C$2)),0)+IFERROR(GETPIVOTDATA("Suma de dias x plazas",'[1]TTDD DATOS'!$B$49,"País","Total","categoría","Total","tipología","Total","zona","sur","Fecha","diciembre","municipio","total municipios","Años",IF([1]ACTUALIZACIÓN!$C$1="enero",[1]ACTUALIZACIÓN!$C$2-1,[1]ACTUALIZACIÓN!$C$2)),0))</f>
        <v>0.62873470982198232</v>
      </c>
      <c r="L80" s="38">
        <f>(GETPIVOTDATA("Suma de pernoctaciones",'[1]TTDD DATOS'!$B$49,"País","Total","categoría","Total","tipología","Total","zona","sur","municipio","total municipios","Años",IF([1]ACTUALIZACIÓN!$C$1="enero",[1]ACTUALIZACIÓN!$C$2-1,[1]ACTUALIZACIÓN!$C$2))/(IFERROR(GETPIVOTDATA("Suma de dias x plazas",'[1]TTDD DATOS'!$B$49,"País","Total","categoría","Total","tipología","Total","zona","sur","Fecha","enero","municipio","total municipios","Años",IF([1]ACTUALIZACIÓN!$C$1="enero",[1]ACTUALIZACIÓN!$C$2-1,[1]ACTUALIZACIÓN!$C$2)),0)+IFERROR(GETPIVOTDATA("Suma de dias x plazas",'[1]TTDD DATOS'!$B$49,"País","Total","categoría","Total","tipología","Total","zona","sur","Fecha","febrero","municipio","total municipios","Años",IF([1]ACTUALIZACIÓN!$C$1="enero",[1]ACTUALIZACIÓN!$C$2-1,[1]ACTUALIZACIÓN!$C$2)),0)+IFERROR(GETPIVOTDATA("Suma de dias x plazas",'[1]TTDD DATOS'!$B$49,"País","Total","categoría","Total","tipología","Total","zona","sur","Fecha","marzo","municipio","total municipios","Años",IF([1]ACTUALIZACIÓN!$C$1="enero",[1]ACTUALIZACIÓN!$C$2-1,[1]ACTUALIZACIÓN!$C$2)),0)+IFERROR(GETPIVOTDATA("Suma de dias x plazas",'[1]TTDD DATOS'!$B$49,"País","Total","categoría","Total","tipología","Total","zona","sur","Fecha","abril","municipio","total municipios","Años",IF([1]ACTUALIZACIÓN!$C$1="enero",[1]ACTUALIZACIÓN!$C$2-1,[1]ACTUALIZACIÓN!$C$2)),0)+IFERROR(GETPIVOTDATA("Suma de dias x plazas",'[1]TTDD DATOS'!$B$49,"País","Total","categoría","Total","tipología","Total","zona","sur","Fecha","mayo","municipio","total municipios","Años",IF([1]ACTUALIZACIÓN!$C$1="enero",[1]ACTUALIZACIÓN!$C$2-1,[1]ACTUALIZACIÓN!$C$2)),0)+IFERROR(GETPIVOTDATA("Suma de dias x plazas",'[1]TTDD DATOS'!$B$49,"País","Total","categoría","Total","tipología","Total","zona","sur","Fecha","junio","municipio","total municipios","Años",IF([1]ACTUALIZACIÓN!$C$1="enero",[1]ACTUALIZACIÓN!$C$2-1,[1]ACTUALIZACIÓN!$C$2)),0)+IFERROR(GETPIVOTDATA("Suma de dias x plazas",'[1]TTDD DATOS'!$B$49,"País","Total","categoría","Total","tipología","Total","zona","sur","Fecha","julio","municipio","total municipios","Años",IF([1]ACTUALIZACIÓN!$C$1="enero",[1]ACTUALIZACIÓN!$C$2-1,[1]ACTUALIZACIÓN!$C$2)),0)+IFERROR(GETPIVOTDATA("Suma de dias x plazas",'[1]TTDD DATOS'!$B$49,"País","Total","categoría","Total","tipología","Total","zona","sur","Fecha","agosto","municipio","total municipios","Años",IF([1]ACTUALIZACIÓN!$C$1="enero",[1]ACTUALIZACIÓN!$C$2-1,[1]ACTUALIZACIÓN!$C$2)),0)+IFERROR(GETPIVOTDATA("Suma de dias x plazas",'[1]TTDD DATOS'!$B$49,"País","Total","categoría","Total","tipología","Total","zona","sur","Fecha","septiembre","municipio","total municipios","Años",IF([1]ACTUALIZACIÓN!$C$1="enero",[1]ACTUALIZACIÓN!$C$2-1,[1]ACTUALIZACIÓN!$C$2)),0)+IFERROR(GETPIVOTDATA("Suma de dias x plazas",'[1]TTDD DATOS'!$B$49,"País","Total","categoría","Total","tipología","Total","zona","sur","Fecha","octubre","municipio","total municipios","Años",IF([1]ACTUALIZACIÓN!$C$1="enero",[1]ACTUALIZACIÓN!$C$2-1,[1]ACTUALIZACIÓN!$C$2)),0)+IFERROR(GETPIVOTDATA("Suma de dias x plazas",'[1]TTDD DATOS'!$B$49,"País","Total","categoría","Total","tipología","Total","zona","sur","Fecha","noviembre","municipio","total municipios","Años",IF([1]ACTUALIZACIÓN!$C$1="enero",[1]ACTUALIZACIÓN!$C$2-1,[1]ACTUALIZACIÓN!$C$2)),0)+IFERROR(GETPIVOTDATA("Suma de dias x plazas",'[1]TTDD DATOS'!$B$49,"País","Total","categoría","Total","tipología","Total","zona","sur","Fecha","diciembre","municipio","total municipios","Años",IF([1]ACTUALIZACIÓN!$C$1="enero",[1]ACTUALIZACIÓN!$C$2-1,[1]ACTUALIZACIÓN!$C$2)),0)))/(GETPIVOTDATA("Suma de pernoctaciones",'[1]TTDD DATOS'!$B$49,"País","Total","categoría","Total","tipología","Total","zona","sur","municipio","total municipios","Años",IF([1]ACTUALIZACIÓN!$C$1="enero",[1]ACTUALIZACIÓN!$C$2-2,[1]ACTUALIZACIÓN!$C$2-1))/(IFERROR(GETPIVOTDATA("Suma de dias x plazas",'[1]TTDD DATOS'!$B$49,"País","Total","categoría","Total","tipología","Total","zona","sur","Fecha","enero","municipio","total municipios","Años",IF([1]ACTUALIZACIÓN!$C$1="enero",[1]ACTUALIZACIÓN!$C$2-2,[1]ACTUALIZACIÓN!$C$2-1)),0)+IFERROR(GETPIVOTDATA("Suma de dias x plazas",'[1]TTDD DATOS'!$B$49,"País","Total","categoría","Total","tipología","Total","zona","sur","Fecha","febrero","municipio","total municipios","Años",IF([1]ACTUALIZACIÓN!$C$1="enero",[1]ACTUALIZACIÓN!$C$2-2,[1]ACTUALIZACIÓN!$C$2-1)),0)+IFERROR(GETPIVOTDATA("Suma de dias x plazas",'[1]TTDD DATOS'!$B$49,"País","Total","categoría","Total","tipología","Total","zona","sur","Fecha","marzo","municipio","total municipios","Años",IF([1]ACTUALIZACIÓN!$C$1="enero",[1]ACTUALIZACIÓN!$C$2-2,[1]ACTUALIZACIÓN!$C$2-1)),0)+IFERROR(GETPIVOTDATA("Suma de dias x plazas",'[1]TTDD DATOS'!$B$49,"País","Total","categoría","Total","tipología","Total","zona","sur","Fecha","abril","municipio","total municipios","Años",IF([1]ACTUALIZACIÓN!$C$1="enero",[1]ACTUALIZACIÓN!$C$2-2,[1]ACTUALIZACIÓN!$C$2-1)),0)+IFERROR(GETPIVOTDATA("Suma de dias x plazas",'[1]TTDD DATOS'!$B$49,"País","Total","categoría","Total","tipología","Total","zona","sur","Fecha","mayo","municipio","total municipios","Años",IF([1]ACTUALIZACIÓN!$C$1="enero",[1]ACTUALIZACIÓN!$C$2-2,[1]ACTUALIZACIÓN!$C$2-1)),0)+IFERROR(GETPIVOTDATA("Suma de dias x plazas",'[1]TTDD DATOS'!$B$49,"País","Total","categoría","Total","tipología","Total","zona","sur","Fecha","junio","municipio","total municipios","Años",IF([1]ACTUALIZACIÓN!$C$1="enero",[1]ACTUALIZACIÓN!$C$2-2,[1]ACTUALIZACIÓN!$C$2-1)),0)+IFERROR(GETPIVOTDATA("Suma de dias x plazas",'[1]TTDD DATOS'!$B$49,"País","Total","categoría","Total","tipología","Total","zona","sur","Fecha","julio","municipio","total municipios","Años",IF([1]ACTUALIZACIÓN!$C$1="enero",[1]ACTUALIZACIÓN!$C$2-2,[1]ACTUALIZACIÓN!$C$2-1)),0)+IFERROR(GETPIVOTDATA("Suma de dias x plazas",'[1]TTDD DATOS'!$B$49,"País","Total","categoría","Total","tipología","Total","zona","sur","Fecha","agosto","municipio","total municipios","Años",IF([1]ACTUALIZACIÓN!$C$1="enero",[1]ACTUALIZACIÓN!$C$2-2,[1]ACTUALIZACIÓN!$C$2-1)),0)+IFERROR(GETPIVOTDATA("Suma de dias x plazas",'[1]TTDD DATOS'!$B$49,"País","Total","categoría","Total","tipología","Total","zona","sur","Fecha","septiembre","municipio","total municipios","Años",IF([1]ACTUALIZACIÓN!$C$1="enero",[1]ACTUALIZACIÓN!$C$2-2,[1]ACTUALIZACIÓN!$C$2-1)),0)+IFERROR(GETPIVOTDATA("Suma de dias x plazas",'[1]TTDD DATOS'!$B$49,"País","Total","categoría","Total","tipología","Total","zona","sur","Fecha","octubre","municipio","total municipios","Años",IF([1]ACTUALIZACIÓN!$C$1="enero",[1]ACTUALIZACIÓN!$C$2-2,[1]ACTUALIZACIÓN!$C$2-1)),0)+IFERROR(GETPIVOTDATA("Suma de dias x plazas",'[1]TTDD DATOS'!$B$49,"País","Total","categoría","Total","tipología","Total","zona","sur","Fecha","noviembre","municipio","total municipios","Años",IF([1]ACTUALIZACIÓN!$C$1="enero",[1]ACTUALIZACIÓN!$C$2-2,[1]ACTUALIZACIÓN!$C$2-1)),0)+IFERROR(GETPIVOTDATA("Suma de dias x plazas",'[1]TTDD DATOS'!$B$49,"País","Total","categoría","Total","tipología","Total","zona","sur","Fecha","diciembre","municipio","total municipios","Años",IF([1]ACTUALIZACIÓN!$C$1="enero",[1]ACTUALIZACIÓN!$C$2-2,[1]ACTUALIZACIÓN!$C$2-1)),0)))-1</f>
        <v>2.2783778813886535</v>
      </c>
      <c r="M80" s="39"/>
    </row>
    <row r="81" spans="3:13" ht="24.75" customHeight="1" x14ac:dyDescent="0.2">
      <c r="C81" s="91"/>
      <c r="D81" s="92"/>
      <c r="E81" s="93" t="s">
        <v>10</v>
      </c>
      <c r="F81" s="148">
        <f>GETPIVOTDATA("Suma de pernoctaciones",'[1]TTDD DATOS'!$B$6,"País","Total","categoría","Total","tipología","hotelera","zona","sur","municipio","total municipios","Años",[1]ACTUALIZACIÓN!$C$2)/GETPIVOTDATA("Suma de dias x plazas",'[1]TTDD DATOS'!$B$6,"País","Total","categoría","Total","tipología","hotelera","zona","sur","municipio","total municipios","Años",[1]ACTUALIZACIÓN!$C$2)</f>
        <v>0.75025831233212259</v>
      </c>
      <c r="G81" s="42">
        <f>(GETPIVOTDATA("Suma de pernoctaciones",'[1]TTDD DATOS'!$B$6,"País","Total","categoría","Total","tipología","hotelera","zona","sur","municipio","total municipios","Años",[1]ACTUALIZACIÓN!$C$2)/GETPIVOTDATA("Suma de dias x plazas",'[1]TTDD DATOS'!$B$6,"País","Total","categoría","Total","tipología","hotelera","zona","sur","municipio","total municipios","Años",[1]ACTUALIZACIÓN!$C$2))/(GETPIVOTDATA("Suma de pernoctaciones",'[1]TTDD DATOS'!$B$6,"País","Total","categoría","Total","tipología","hotelera","zona","sur","municipio","total municipios","Años",[1]ACTUALIZACIÓN!$C$2-1)/GETPIVOTDATA("Suma de dias x plazas",'[1]TTDD DATOS'!$B$6,"País","Total","categoría","Total","tipología","hotelera","zona","sur","municipio","total municipios","Años",[1]ACTUALIZACIÓN!$C$2-1))-1</f>
        <v>1.3860885657438775</v>
      </c>
      <c r="H81" s="58"/>
      <c r="I81" s="95"/>
      <c r="J81" s="93" t="s">
        <v>10</v>
      </c>
      <c r="K81" s="148">
        <f>GETPIVOTDATA("Suma de pernoctaciones",'[1]TTDD DATOS'!$B$49,"País","Total","categoría","Total","tipología","hotelera","zona","sur","municipio","total municipios","Años",IF([1]ACTUALIZACIÓN!$C$1="enero",[1]ACTUALIZACIÓN!$C$2-1,[1]ACTUALIZACIÓN!$C$2))/(IFERROR(GETPIVOTDATA("Suma de dias x plazas",'[1]TTDD DATOS'!$B$49,"País","Total","categoría","Total","tipología","hotelera","zona","sur","Fecha","enero","municipio","total municipios","Años",IF([1]ACTUALIZACIÓN!$C$1="enero",[1]ACTUALIZACIÓN!$C$2-1,[1]ACTUALIZACIÓN!$C$2)),0)+IFERROR(GETPIVOTDATA("Suma de dias x plazas",'[1]TTDD DATOS'!$B$49,"País","Total","categoría","Total","tipología","hotelera","zona","sur","Fecha","febrero","municipio","total municipios","Años",IF([1]ACTUALIZACIÓN!$C$1="enero",[1]ACTUALIZACIÓN!$C$2-1,[1]ACTUALIZACIÓN!$C$2)),0)+IFERROR(GETPIVOTDATA("Suma de dias x plazas",'[1]TTDD DATOS'!$B$49,"País","Total","categoría","Total","tipología","hotelera","zona","sur","Fecha","marzo","municipio","total municipios","Años",IF([1]ACTUALIZACIÓN!$C$1="enero",[1]ACTUALIZACIÓN!$C$2-1,[1]ACTUALIZACIÓN!$C$2)),0)+IFERROR(GETPIVOTDATA("Suma de dias x plazas",'[1]TTDD DATOS'!$B$49,"País","Total","categoría","Total","tipología","hotelera","zona","sur","Fecha","abril","municipio","total municipios","Años",IF([1]ACTUALIZACIÓN!$C$1="enero",[1]ACTUALIZACIÓN!$C$2-1,[1]ACTUALIZACIÓN!$C$2)),0)+IFERROR(GETPIVOTDATA("Suma de dias x plazas",'[1]TTDD DATOS'!$B$49,"País","Total","categoría","Total","tipología","hotelera","zona","sur","Fecha","mayo","municipio","total municipios","Años",IF([1]ACTUALIZACIÓN!$C$1="enero",[1]ACTUALIZACIÓN!$C$2-1,[1]ACTUALIZACIÓN!$C$2)),0)+IFERROR(GETPIVOTDATA("Suma de dias x plazas",'[1]TTDD DATOS'!$B$49,"País","Total","categoría","Total","tipología","hotelera","zona","sur","Fecha","junio","municipio","total municipios","Años",IF([1]ACTUALIZACIÓN!$C$1="enero",[1]ACTUALIZACIÓN!$C$2-1,[1]ACTUALIZACIÓN!$C$2)),0)+IFERROR(GETPIVOTDATA("Suma de dias x plazas",'[1]TTDD DATOS'!$B$49,"País","Total","categoría","Total","tipología","hotelera","zona","sur","Fecha","julio","municipio","total municipios","Años",IF([1]ACTUALIZACIÓN!$C$1="enero",[1]ACTUALIZACIÓN!$C$2-1,[1]ACTUALIZACIÓN!$C$2)),0)+IFERROR(GETPIVOTDATA("Suma de dias x plazas",'[1]TTDD DATOS'!$B$49,"País","Total","categoría","Total","tipología","hotelera","zona","sur","Fecha","agosto","municipio","total municipios","Años",IF([1]ACTUALIZACIÓN!$C$1="enero",[1]ACTUALIZACIÓN!$C$2-1,[1]ACTUALIZACIÓN!$C$2)),0)+IFERROR(GETPIVOTDATA("Suma de dias x plazas",'[1]TTDD DATOS'!$B$49,"País","Total","categoría","Total","tipología","hotelera","zona","sur","Fecha","septiembre","municipio","total municipios","Años",IF([1]ACTUALIZACIÓN!$C$1="enero",[1]ACTUALIZACIÓN!$C$2-1,[1]ACTUALIZACIÓN!$C$2)),0)+IFERROR(GETPIVOTDATA("Suma de dias x plazas",'[1]TTDD DATOS'!$B$49,"País","Total","categoría","Total","tipología","hotelera","zona","sur","Fecha","octubre","municipio","total municipios","Años",IF([1]ACTUALIZACIÓN!$C$1="enero",[1]ACTUALIZACIÓN!$C$2-1,[1]ACTUALIZACIÓN!$C$2)),0)+IFERROR(GETPIVOTDATA("Suma de dias x plazas",'[1]TTDD DATOS'!$B$49,"País","Total","categoría","Total","tipología","hotelera","zona","sur","Fecha","noviembre","municipio","total municipios","Años",IF([1]ACTUALIZACIÓN!$C$1="enero",[1]ACTUALIZACIÓN!$C$2-1,[1]ACTUALIZACIÓN!$C$2)),0)+IFERROR(GETPIVOTDATA("Suma de dias x plazas",'[1]TTDD DATOS'!$B$49,"País","Total","categoría","Total","tipología","hotelera","zona","sur","Fecha","diciembre","municipio","total municipios","Años",IF([1]ACTUALIZACIÓN!$C$1="enero",[1]ACTUALIZACIÓN!$C$2-1,[1]ACTUALIZACIÓN!$C$2)),0))</f>
        <v>0.67123691678286668</v>
      </c>
      <c r="L81" s="45">
        <f>(GETPIVOTDATA("Suma de pernoctaciones",'[1]TTDD DATOS'!$B$49,"País","Total","categoría","Total","tipología","hotelera","zona","sur","municipio","total municipios","Años",IF([1]ACTUALIZACIÓN!$C$1="enero",[1]ACTUALIZACIÓN!$C$2-1,[1]ACTUALIZACIÓN!$C$2))/(IFERROR(GETPIVOTDATA("Suma de dias x plazas",'[1]TTDD DATOS'!$B$49,"País","Total","categoría","Total","tipología","hotelera","zona","sur","Fecha","enero","municipio","total municipios","Años",IF([1]ACTUALIZACIÓN!$C$1="enero",[1]ACTUALIZACIÓN!$C$2-1,[1]ACTUALIZACIÓN!$C$2)),0)+IFERROR(GETPIVOTDATA("Suma de dias x plazas",'[1]TTDD DATOS'!$B$49,"País","Total","categoría","Total","tipología","hotelera","zona","sur","Fecha","febrero","municipio","total municipios","Años",IF([1]ACTUALIZACIÓN!$C$1="enero",[1]ACTUALIZACIÓN!$C$2-1,[1]ACTUALIZACIÓN!$C$2)),0)+IFERROR(GETPIVOTDATA("Suma de dias x plazas",'[1]TTDD DATOS'!$B$49,"País","Total","categoría","Total","tipología","hotelera","zona","sur","Fecha","marzo","municipio","total municipios","Años",IF([1]ACTUALIZACIÓN!$C$1="enero",[1]ACTUALIZACIÓN!$C$2-1,[1]ACTUALIZACIÓN!$C$2)),0)+IFERROR(GETPIVOTDATA("Suma de dias x plazas",'[1]TTDD DATOS'!$B$49,"País","Total","categoría","Total","tipología","hotelera","zona","sur","Fecha","abril","municipio","total municipios","Años",IF([1]ACTUALIZACIÓN!$C$1="enero",[1]ACTUALIZACIÓN!$C$2-1,[1]ACTUALIZACIÓN!$C$2)),0)+IFERROR(GETPIVOTDATA("Suma de dias x plazas",'[1]TTDD DATOS'!$B$49,"País","Total","categoría","Total","tipología","hotelera","zona","sur","Fecha","mayo","municipio","total municipios","Años",IF([1]ACTUALIZACIÓN!$C$1="enero",[1]ACTUALIZACIÓN!$C$2-1,[1]ACTUALIZACIÓN!$C$2)),0)+IFERROR(GETPIVOTDATA("Suma de dias x plazas",'[1]TTDD DATOS'!$B$49,"País","Total","categoría","Total","tipología","hotelera","zona","sur","Fecha","junio","municipio","total municipios","Años",IF([1]ACTUALIZACIÓN!$C$1="enero",[1]ACTUALIZACIÓN!$C$2-1,[1]ACTUALIZACIÓN!$C$2)),0)+IFERROR(GETPIVOTDATA("Suma de dias x plazas",'[1]TTDD DATOS'!$B$49,"País","Total","categoría","Total","tipología","hotelera","zona","sur","Fecha","julio","municipio","total municipios","Años",IF([1]ACTUALIZACIÓN!$C$1="enero",[1]ACTUALIZACIÓN!$C$2-1,[1]ACTUALIZACIÓN!$C$2)),0)+IFERROR(GETPIVOTDATA("Suma de dias x plazas",'[1]TTDD DATOS'!$B$49,"País","Total","categoría","Total","tipología","hotelera","zona","sur","Fecha","agosto","municipio","total municipios","Años",IF([1]ACTUALIZACIÓN!$C$1="enero",[1]ACTUALIZACIÓN!$C$2-1,[1]ACTUALIZACIÓN!$C$2)),0)+IFERROR(GETPIVOTDATA("Suma de dias x plazas",'[1]TTDD DATOS'!$B$49,"País","Total","categoría","Total","tipología","hotelera","zona","sur","Fecha","septiembre","municipio","total municipios","Años",IF([1]ACTUALIZACIÓN!$C$1="enero",[1]ACTUALIZACIÓN!$C$2-1,[1]ACTUALIZACIÓN!$C$2)),0)+IFERROR(GETPIVOTDATA("Suma de dias x plazas",'[1]TTDD DATOS'!$B$49,"País","Total","categoría","Total","tipología","hotelera","zona","sur","Fecha","octubre","municipio","total municipios","Años",IF([1]ACTUALIZACIÓN!$C$1="enero",[1]ACTUALIZACIÓN!$C$2-1,[1]ACTUALIZACIÓN!$C$2)),0)+IFERROR(GETPIVOTDATA("Suma de dias x plazas",'[1]TTDD DATOS'!$B$49,"País","Total","categoría","Total","tipología","hotelera","zona","sur","Fecha","noviembre","municipio","total municipios","Años",IF([1]ACTUALIZACIÓN!$C$1="enero",[1]ACTUALIZACIÓN!$C$2-1,[1]ACTUALIZACIÓN!$C$2)),0)+IFERROR(GETPIVOTDATA("Suma de dias x plazas",'[1]TTDD DATOS'!$B$49,"País","Total","categoría","Total","tipología","hotelera","zona","sur","Fecha","diciembre","municipio","total municipios","Años",IF([1]ACTUALIZACIÓN!$C$1="enero",[1]ACTUALIZACIÓN!$C$2-1,[1]ACTUALIZACIÓN!$C$2)),0)))/(GETPIVOTDATA("Suma de pernoctaciones",'[1]TTDD DATOS'!$B$49,"País","Total","categoría","Total","tipología","hotelera","zona","sur","municipio","total municipios","Años",IF([1]ACTUALIZACIÓN!$C$1="enero",[1]ACTUALIZACIÓN!$C$2-2,[1]ACTUALIZACIÓN!$C$2-1))/(IFERROR(GETPIVOTDATA("Suma de dias x plazas",'[1]TTDD DATOS'!$B$49,"País","Total","categoría","Total","tipología","hotelera","zona","sur","Fecha","enero","municipio","total municipios","Años",IF([1]ACTUALIZACIÓN!$C$1="enero",[1]ACTUALIZACIÓN!$C$2-2,[1]ACTUALIZACIÓN!$C$2-1)),0)+IFERROR(GETPIVOTDATA("Suma de dias x plazas",'[1]TTDD DATOS'!$B$49,"País","Total","categoría","Total","tipología","hotelera","zona","sur","Fecha","febrero","municipio","total municipios","Años",IF([1]ACTUALIZACIÓN!$C$1="enero",[1]ACTUALIZACIÓN!$C$2-2,[1]ACTUALIZACIÓN!$C$2-1)),0)+IFERROR(GETPIVOTDATA("Suma de dias x plazas",'[1]TTDD DATOS'!$B$49,"País","Total","categoría","Total","tipología","hotelera","zona","sur","Fecha","marzo","municipio","total municipios","Años",IF([1]ACTUALIZACIÓN!$C$1="enero",[1]ACTUALIZACIÓN!$C$2-2,[1]ACTUALIZACIÓN!$C$2-1)),0)+IFERROR(GETPIVOTDATA("Suma de dias x plazas",'[1]TTDD DATOS'!$B$49,"País","Total","categoría","Total","tipología","hotelera","zona","sur","Fecha","abril","municipio","total municipios","Años",IF([1]ACTUALIZACIÓN!$C$1="enero",[1]ACTUALIZACIÓN!$C$2-2,[1]ACTUALIZACIÓN!$C$2-1)),0)+IFERROR(GETPIVOTDATA("Suma de dias x plazas",'[1]TTDD DATOS'!$B$49,"País","Total","categoría","Total","tipología","hotelera","zona","sur","Fecha","mayo","municipio","total municipios","Años",IF([1]ACTUALIZACIÓN!$C$1="enero",[1]ACTUALIZACIÓN!$C$2-2,[1]ACTUALIZACIÓN!$C$2-1)),0)+IFERROR(GETPIVOTDATA("Suma de dias x plazas",'[1]TTDD DATOS'!$B$49,"País","Total","categoría","Total","tipología","hotelera","zona","sur","Fecha","junio","municipio","total municipios","Años",IF([1]ACTUALIZACIÓN!$C$1="enero",[1]ACTUALIZACIÓN!$C$2-2,[1]ACTUALIZACIÓN!$C$2-1)),0)+IFERROR(GETPIVOTDATA("Suma de dias x plazas",'[1]TTDD DATOS'!$B$49,"País","Total","categoría","Total","tipología","hotelera","zona","sur","Fecha","julio","municipio","total municipios","Años",IF([1]ACTUALIZACIÓN!$C$1="enero",[1]ACTUALIZACIÓN!$C$2-2,[1]ACTUALIZACIÓN!$C$2-1)),0)+IFERROR(GETPIVOTDATA("Suma de dias x plazas",'[1]TTDD DATOS'!$B$49,"País","Total","categoría","Total","tipología","hotelera","zona","sur","Fecha","agosto","municipio","total municipios","Años",IF([1]ACTUALIZACIÓN!$C$1="enero",[1]ACTUALIZACIÓN!$C$2-2,[1]ACTUALIZACIÓN!$C$2-1)),0)+IFERROR(GETPIVOTDATA("Suma de dias x plazas",'[1]TTDD DATOS'!$B$49,"País","Total","categoría","Total","tipología","hotelera","zona","sur","Fecha","septiembre","municipio","total municipios","Años",IF([1]ACTUALIZACIÓN!$C$1="enero",[1]ACTUALIZACIÓN!$C$2-2,[1]ACTUALIZACIÓN!$C$2-1)),0)+IFERROR(GETPIVOTDATA("Suma de dias x plazas",'[1]TTDD DATOS'!$B$49,"País","Total","categoría","Total","tipología","hotelera","zona","sur","Fecha","octubre","municipio","total municipios","Años",IF([1]ACTUALIZACIÓN!$C$1="enero",[1]ACTUALIZACIÓN!$C$2-2,[1]ACTUALIZACIÓN!$C$2-1)),0)+IFERROR(GETPIVOTDATA("Suma de dias x plazas",'[1]TTDD DATOS'!$B$49,"País","Total","categoría","Total","tipología","hotelera","zona","sur","Fecha","noviembre","municipio","total municipios","Años",IF([1]ACTUALIZACIÓN!$C$1="enero",[1]ACTUALIZACIÓN!$C$2-2,[1]ACTUALIZACIÓN!$C$2-1)),0)+IFERROR(GETPIVOTDATA("Suma de dias x plazas",'[1]TTDD DATOS'!$B$49,"País","Total","categoría","Total","tipología","hotelera","zona","sur","Fecha","diciembre","municipio","total municipios","Años",IF([1]ACTUALIZACIÓN!$C$1="enero",[1]ACTUALIZACIÓN!$C$2-2,[1]ACTUALIZACIÓN!$C$2-1)),0)))-1</f>
        <v>1.7679958046200324</v>
      </c>
      <c r="M81" s="39"/>
    </row>
    <row r="82" spans="3:13" ht="24.75" customHeight="1" thickBot="1" x14ac:dyDescent="0.25">
      <c r="C82" s="96"/>
      <c r="D82" s="97"/>
      <c r="E82" s="98" t="s">
        <v>11</v>
      </c>
      <c r="F82" s="149">
        <f>GETPIVOTDATA("Suma de pernoctaciones",'[1]TTDD DATOS'!$B$6,"País","Total","categoría","Total","tipología","extrahotelera","zona","sur","municipio","total municipios","Años",[1]ACTUALIZACIÓN!$C$2)/GETPIVOTDATA("Suma de dias x plazas",'[1]TTDD DATOS'!$B$6,"País","Total","categoría","Total","tipología","extrahotelera","zona","sur","municipio","total municipios","Años",[1]ACTUALIZACIÓN!$C$2)</f>
        <v>0.55509466059191992</v>
      </c>
      <c r="G82" s="69">
        <f>(GETPIVOTDATA("Suma de pernoctaciones",'[1]TTDD DATOS'!$B$6,"País","Total","categoría","Total","tipología","extrahotelera","zona","sur","municipio","total municipios","Años",[1]ACTUALIZACIÓN!$C$2)/GETPIVOTDATA("Suma de dias x plazas",'[1]TTDD DATOS'!$B$6,"País","Total","categoría","Total","tipología","extrahotelera","zona","sur","municipio","total municipios","Años",[1]ACTUALIZACIÓN!$C$2))/(GETPIVOTDATA("Suma de pernoctaciones",'[1]TTDD DATOS'!$B$6,"País","Total","categoría","Total","tipología","extrahotelera","zona","sur","municipio","total municipios","Años",[1]ACTUALIZACIÓN!$C$2-1)/GETPIVOTDATA("Suma de dias x plazas",'[1]TTDD DATOS'!$B$6,"País","Total","categoría","Total","tipología","extrahotelera","zona","sur","municipio","total municipios","Años",[1]ACTUALIZACIÓN!$C$2-1))-1</f>
        <v>3.0797416088681207</v>
      </c>
      <c r="H82" s="58"/>
      <c r="I82" s="100"/>
      <c r="J82" s="98" t="s">
        <v>11</v>
      </c>
      <c r="K82" s="149">
        <f>GETPIVOTDATA("Suma de pernoctaciones",'[1]TTDD DATOS'!$B$49,"País","Total","categoría","Total","tipología","extrahotelera","zona","sur","municipio","total municipios","Años",IF([1]ACTUALIZACIÓN!$C$1="enero",[1]ACTUALIZACIÓN!$C$2-1,[1]ACTUALIZACIÓN!$C$2))/(IFERROR(GETPIVOTDATA("Suma de dias x plazas",'[1]TTDD DATOS'!$B$49,"País","Total","categoría","Total","tipología","extrahotelera","zona","sur","Fecha","enero","municipio","total municipios","Años",IF([1]ACTUALIZACIÓN!$C$1="enero",[1]ACTUALIZACIÓN!$C$2-1,[1]ACTUALIZACIÓN!$C$2)),0)+IFERROR(GETPIVOTDATA("Suma de dias x plazas",'[1]TTDD DATOS'!$B$49,"País","Total","categoría","Total","tipología","extrahotelera","zona","sur","Fecha","febrero","municipio","total municipios","Años",IF([1]ACTUALIZACIÓN!$C$1="enero",[1]ACTUALIZACIÓN!$C$2-1,[1]ACTUALIZACIÓN!$C$2)),0)+IFERROR(GETPIVOTDATA("Suma de dias x plazas",'[1]TTDD DATOS'!$B$49,"País","Total","categoría","Total","tipología","extrahotelera","zona","sur","Fecha","marzo","municipio","total municipios","Años",IF([1]ACTUALIZACIÓN!$C$1="enero",[1]ACTUALIZACIÓN!$C$2-1,[1]ACTUALIZACIÓN!$C$2)),0)+IFERROR(GETPIVOTDATA("Suma de dias x plazas",'[1]TTDD DATOS'!$B$49,"País","Total","categoría","Total","tipología","extrahotelera","zona","sur","Fecha","abril","municipio","total municipios","Años",IF([1]ACTUALIZACIÓN!$C$1="enero",[1]ACTUALIZACIÓN!$C$2-1,[1]ACTUALIZACIÓN!$C$2)),0)+IFERROR(GETPIVOTDATA("Suma de dias x plazas",'[1]TTDD DATOS'!$B$49,"País","Total","categoría","Total","tipología","extrahotelera","zona","sur","Fecha","mayo","municipio","total municipios","Años",IF([1]ACTUALIZACIÓN!$C$1="enero",[1]ACTUALIZACIÓN!$C$2-1,[1]ACTUALIZACIÓN!$C$2)),0)+IFERROR(GETPIVOTDATA("Suma de dias x plazas",'[1]TTDD DATOS'!$B$49,"País","Total","categoría","Total","tipología","extrahotelera","zona","sur","Fecha","junio","municipio","total municipios","Años",IF([1]ACTUALIZACIÓN!$C$1="enero",[1]ACTUALIZACIÓN!$C$2-1,[1]ACTUALIZACIÓN!$C$2)),0)+IFERROR(GETPIVOTDATA("Suma de dias x plazas",'[1]TTDD DATOS'!$B$49,"País","Total","categoría","Total","tipología","extrahotelera","zona","sur","Fecha","julio","municipio","total municipios","Años",IF([1]ACTUALIZACIÓN!$C$1="enero",[1]ACTUALIZACIÓN!$C$2-1,[1]ACTUALIZACIÓN!$C$2)),0)+IFERROR(GETPIVOTDATA("Suma de dias x plazas",'[1]TTDD DATOS'!$B$49,"País","Total","categoría","Total","tipología","extrahotelera","zona","sur","Fecha","agosto","municipio","total municipios","Años",IF([1]ACTUALIZACIÓN!$C$1="enero",[1]ACTUALIZACIÓN!$C$2-1,[1]ACTUALIZACIÓN!$C$2)),0)+IFERROR(GETPIVOTDATA("Suma de dias x plazas",'[1]TTDD DATOS'!$B$49,"País","Total","categoría","Total","tipología","extrahotelera","zona","sur","Fecha","septiembre","municipio","total municipios","Años",IF([1]ACTUALIZACIÓN!$C$1="enero",[1]ACTUALIZACIÓN!$C$2-1,[1]ACTUALIZACIÓN!$C$2)),0)+IFERROR(GETPIVOTDATA("Suma de dias x plazas",'[1]TTDD DATOS'!$B$49,"País","Total","categoría","Total","tipología","extrahotelera","zona","sur","Fecha","octubre","municipio","total municipios","Años",IF([1]ACTUALIZACIÓN!$C$1="enero",[1]ACTUALIZACIÓN!$C$2-1,[1]ACTUALIZACIÓN!$C$2)),0)+IFERROR(GETPIVOTDATA("Suma de dias x plazas",'[1]TTDD DATOS'!$B$49,"País","Total","categoría","Total","tipología","extrahotelera","zona","sur","Fecha","noviembre","municipio","total municipios","Años",IF([1]ACTUALIZACIÓN!$C$1="enero",[1]ACTUALIZACIÓN!$C$2-1,[1]ACTUALIZACIÓN!$C$2)),0)+IFERROR(GETPIVOTDATA("Suma de dias x plazas",'[1]TTDD DATOS'!$B$49,"País","Total","categoría","Total","tipología","extrahotelera","zona","sur","Fecha","diciembre","municipio","total municipios","Años",IF([1]ACTUALIZACIÓN!$C$1="enero",[1]ACTUALIZACIÓN!$C$2-1,[1]ACTUALIZACIÓN!$C$2)),0))</f>
        <v>0.53637979825905324</v>
      </c>
      <c r="L82" s="52">
        <f>(GETPIVOTDATA("Suma de pernoctaciones",'[1]TTDD DATOS'!$B$49,"País","Total","categoría","Total","tipología","extrahotelera","zona","sur","municipio","total municipios","Años",IF([1]ACTUALIZACIÓN!$C$1="enero",[1]ACTUALIZACIÓN!$C$2-1,[1]ACTUALIZACIÓN!$C$2))/(IFERROR(GETPIVOTDATA("Suma de dias x plazas",'[1]TTDD DATOS'!$B$49,"País","Total","categoría","Total","tipología","extrahotelera","zona","sur","Fecha","enero","municipio","total municipios","Años",IF([1]ACTUALIZACIÓN!$C$1="enero",[1]ACTUALIZACIÓN!$C$2-1,[1]ACTUALIZACIÓN!$C$2)),0)+IFERROR(GETPIVOTDATA("Suma de dias x plazas",'[1]TTDD DATOS'!$B$49,"País","Total","categoría","Total","tipología","extrahotelera","zona","sur","Fecha","febrero","municipio","total municipios","Años",IF([1]ACTUALIZACIÓN!$C$1="enero",[1]ACTUALIZACIÓN!$C$2-1,[1]ACTUALIZACIÓN!$C$2)),0)+IFERROR(GETPIVOTDATA("Suma de dias x plazas",'[1]TTDD DATOS'!$B$49,"País","Total","categoría","Total","tipología","extrahotelera","zona","sur","Fecha","marzo","municipio","total municipios","Años",IF([1]ACTUALIZACIÓN!$C$1="enero",[1]ACTUALIZACIÓN!$C$2-1,[1]ACTUALIZACIÓN!$C$2)),0)+IFERROR(GETPIVOTDATA("Suma de dias x plazas",'[1]TTDD DATOS'!$B$49,"País","Total","categoría","Total","tipología","extrahotelera","zona","sur","Fecha","abril","municipio","total municipios","Años",IF([1]ACTUALIZACIÓN!$C$1="enero",[1]ACTUALIZACIÓN!$C$2-1,[1]ACTUALIZACIÓN!$C$2)),0)+IFERROR(GETPIVOTDATA("Suma de dias x plazas",'[1]TTDD DATOS'!$B$49,"País","Total","categoría","Total","tipología","extrahotelera","zona","sur","Fecha","mayo","municipio","total municipios","Años",IF([1]ACTUALIZACIÓN!$C$1="enero",[1]ACTUALIZACIÓN!$C$2-1,[1]ACTUALIZACIÓN!$C$2)),0)+IFERROR(GETPIVOTDATA("Suma de dias x plazas",'[1]TTDD DATOS'!$B$49,"País","Total","categoría","Total","tipología","extrahotelera","zona","sur","Fecha","junio","municipio","total municipios","Años",IF([1]ACTUALIZACIÓN!$C$1="enero",[1]ACTUALIZACIÓN!$C$2-1,[1]ACTUALIZACIÓN!$C$2)),0)+IFERROR(GETPIVOTDATA("Suma de dias x plazas",'[1]TTDD DATOS'!$B$49,"País","Total","categoría","Total","tipología","extrahotelera","zona","sur","Fecha","julio","municipio","total municipios","Años",IF([1]ACTUALIZACIÓN!$C$1="enero",[1]ACTUALIZACIÓN!$C$2-1,[1]ACTUALIZACIÓN!$C$2)),0)+IFERROR(GETPIVOTDATA("Suma de dias x plazas",'[1]TTDD DATOS'!$B$49,"País","Total","categoría","Total","tipología","extrahotelera","zona","sur","Fecha","agosto","municipio","total municipios","Años",IF([1]ACTUALIZACIÓN!$C$1="enero",[1]ACTUALIZACIÓN!$C$2-1,[1]ACTUALIZACIÓN!$C$2)),0)+IFERROR(GETPIVOTDATA("Suma de dias x plazas",'[1]TTDD DATOS'!$B$49,"País","Total","categoría","Total","tipología","extrahotelera","zona","sur","Fecha","septiembre","municipio","total municipios","Años",IF([1]ACTUALIZACIÓN!$C$1="enero",[1]ACTUALIZACIÓN!$C$2-1,[1]ACTUALIZACIÓN!$C$2)),0)+IFERROR(GETPIVOTDATA("Suma de dias x plazas",'[1]TTDD DATOS'!$B$49,"País","Total","categoría","Total","tipología","extrahotelera","zona","sur","Fecha","octubre","municipio","total municipios","Años",IF([1]ACTUALIZACIÓN!$C$1="enero",[1]ACTUALIZACIÓN!$C$2-1,[1]ACTUALIZACIÓN!$C$2)),0)+IFERROR(GETPIVOTDATA("Suma de dias x plazas",'[1]TTDD DATOS'!$B$49,"País","Total","categoría","Total","tipología","extrahotelera","zona","sur","Fecha","noviembre","municipio","total municipios","Años",IF([1]ACTUALIZACIÓN!$C$1="enero",[1]ACTUALIZACIÓN!$C$2-1,[1]ACTUALIZACIÓN!$C$2)),0)+IFERROR(GETPIVOTDATA("Suma de dias x plazas",'[1]TTDD DATOS'!$B$49,"País","Total","categoría","Total","tipología","extrahotelera","zona","sur","Fecha","diciembre","municipio","total municipios","Años",IF([1]ACTUALIZACIÓN!$C$1="enero",[1]ACTUALIZACIÓN!$C$2-1,[1]ACTUALIZACIÓN!$C$2)),0)))/(GETPIVOTDATA("Suma de pernoctaciones",'[1]TTDD DATOS'!$B$49,"País","Total","categoría","Total","tipología","extrahotelera","zona","sur","municipio","total municipios","Años",IF([1]ACTUALIZACIÓN!$C$1="enero",[1]ACTUALIZACIÓN!$C$2-2,[1]ACTUALIZACIÓN!$C$2-1))/(IFERROR(GETPIVOTDATA("Suma de dias x plazas",'[1]TTDD DATOS'!$B$49,"País","Total","categoría","Total","tipología","extrahotelera","zona","sur","Fecha","enero","municipio","total municipios","Años",IF([1]ACTUALIZACIÓN!$C$1="enero",[1]ACTUALIZACIÓN!$C$2-2,[1]ACTUALIZACIÓN!$C$2-1)),0)+IFERROR(GETPIVOTDATA("Suma de dias x plazas",'[1]TTDD DATOS'!$B$49,"País","Total","categoría","Total","tipología","extrahotelera","zona","sur","Fecha","febrero","municipio","total municipios","Años",IF([1]ACTUALIZACIÓN!$C$1="enero",[1]ACTUALIZACIÓN!$C$2-2,[1]ACTUALIZACIÓN!$C$2-1)),0)+IFERROR(GETPIVOTDATA("Suma de dias x plazas",'[1]TTDD DATOS'!$B$49,"País","Total","categoría","Total","tipología","extrahotelera","zona","sur","Fecha","marzo","municipio","total municipios","Años",IF([1]ACTUALIZACIÓN!$C$1="enero",[1]ACTUALIZACIÓN!$C$2-2,[1]ACTUALIZACIÓN!$C$2-1)),0)+IFERROR(GETPIVOTDATA("Suma de dias x plazas",'[1]TTDD DATOS'!$B$49,"País","Total","categoría","Total","tipología","extrahotelera","zona","sur","Fecha","abril","municipio","total municipios","Años",IF([1]ACTUALIZACIÓN!$C$1="enero",[1]ACTUALIZACIÓN!$C$2-2,[1]ACTUALIZACIÓN!$C$2-1)),0)+IFERROR(GETPIVOTDATA("Suma de dias x plazas",'[1]TTDD DATOS'!$B$49,"País","Total","categoría","Total","tipología","extrahotelera","zona","sur","Fecha","mayo","municipio","total municipios","Años",IF([1]ACTUALIZACIÓN!$C$1="enero",[1]ACTUALIZACIÓN!$C$2-2,[1]ACTUALIZACIÓN!$C$2-1)),0)+IFERROR(GETPIVOTDATA("Suma de dias x plazas",'[1]TTDD DATOS'!$B$49,"País","Total","categoría","Total","tipología","extrahotelera","zona","sur","Fecha","junio","municipio","total municipios","Años",IF([1]ACTUALIZACIÓN!$C$1="enero",[1]ACTUALIZACIÓN!$C$2-2,[1]ACTUALIZACIÓN!$C$2-1)),0)+IFERROR(GETPIVOTDATA("Suma de dias x plazas",'[1]TTDD DATOS'!$B$49,"País","Total","categoría","Total","tipología","extrahotelera","zona","sur","Fecha","julio","municipio","total municipios","Años",IF([1]ACTUALIZACIÓN!$C$1="enero",[1]ACTUALIZACIÓN!$C$2-2,[1]ACTUALIZACIÓN!$C$2-1)),0)+IFERROR(GETPIVOTDATA("Suma de dias x plazas",'[1]TTDD DATOS'!$B$49,"País","Total","categoría","Total","tipología","extrahotelera","zona","sur","Fecha","agosto","municipio","total municipios","Años",IF([1]ACTUALIZACIÓN!$C$1="enero",[1]ACTUALIZACIÓN!$C$2-2,[1]ACTUALIZACIÓN!$C$2-1)),0)+IFERROR(GETPIVOTDATA("Suma de dias x plazas",'[1]TTDD DATOS'!$B$49,"País","Total","categoría","Total","tipología","extrahotelera","zona","sur","Fecha","septiembre","municipio","total municipios","Años",IF([1]ACTUALIZACIÓN!$C$1="enero",[1]ACTUALIZACIÓN!$C$2-2,[1]ACTUALIZACIÓN!$C$2-1)),0)+IFERROR(GETPIVOTDATA("Suma de dias x plazas",'[1]TTDD DATOS'!$B$49,"País","Total","categoría","Total","tipología","extrahotelera","zona","sur","Fecha","octubre","municipio","total municipios","Años",IF([1]ACTUALIZACIÓN!$C$1="enero",[1]ACTUALIZACIÓN!$C$2-2,[1]ACTUALIZACIÓN!$C$2-1)),0)+IFERROR(GETPIVOTDATA("Suma de dias x plazas",'[1]TTDD DATOS'!$B$49,"País","Total","categoría","Total","tipología","extrahotelera","zona","sur","Fecha","noviembre","municipio","total municipios","Años",IF([1]ACTUALIZACIÓN!$C$1="enero",[1]ACTUALIZACIÓN!$C$2-2,[1]ACTUALIZACIÓN!$C$2-1)),0)+IFERROR(GETPIVOTDATA("Suma de dias x plazas",'[1]TTDD DATOS'!$B$49,"País","Total","categoría","Total","tipología","extrahotelera","zona","sur","Fecha","diciembre","municipio","total municipios","Años",IF([1]ACTUALIZACIÓN!$C$1="enero",[1]ACTUALIZACIÓN!$C$2-2,[1]ACTUALIZACIÓN!$C$2-1)),0)))-1</f>
        <v>3.1913845771990932</v>
      </c>
      <c r="M82" s="39"/>
    </row>
    <row r="83" spans="3:13" ht="5.25" customHeight="1" thickBot="1" x14ac:dyDescent="0.25"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</row>
    <row r="84" spans="3:13" ht="20.100000000000001" customHeight="1" thickBot="1" x14ac:dyDescent="0.25">
      <c r="C84" s="24" t="s">
        <v>19</v>
      </c>
      <c r="D84" s="25"/>
      <c r="E84" s="25"/>
      <c r="F84" s="25"/>
      <c r="G84" s="25"/>
      <c r="H84" s="25"/>
      <c r="I84" s="25"/>
      <c r="J84" s="25"/>
      <c r="K84" s="25"/>
      <c r="L84" s="25"/>
      <c r="M84" s="26"/>
    </row>
    <row r="85" spans="3:13" ht="5.25" customHeight="1" thickBot="1" x14ac:dyDescent="0.25">
      <c r="C85" s="150"/>
      <c r="D85" s="27"/>
      <c r="E85" s="27"/>
      <c r="F85" s="27"/>
      <c r="G85" s="27"/>
      <c r="H85" s="27"/>
      <c r="I85" s="27"/>
      <c r="J85" s="27"/>
      <c r="K85" s="27"/>
      <c r="L85" s="27"/>
      <c r="M85" s="102"/>
    </row>
    <row r="86" spans="3:13" ht="33.75" customHeight="1" x14ac:dyDescent="0.2">
      <c r="C86" s="53" t="s">
        <v>7</v>
      </c>
      <c r="D86" s="54"/>
      <c r="E86" s="55" t="s">
        <v>20</v>
      </c>
      <c r="F86" s="56">
        <f>GETPIVOTDATA("Suma de turistas",'[1]TTDD DATOS'!$B$6,"País","Total","categoría","5*","tipología","hotelera","zona","tenerife","municipio","total municipios","Años",[1]ACTUALIZACIÓN!$C$2)</f>
        <v>61672</v>
      </c>
      <c r="G86" s="57">
        <f>GETPIVOTDATA("Suma de turistas",'[1]TTDD DATOS'!$B$6,"País","Total","categoría","5*","tipología","hotelera","zona","tenerife","municipio","total municipios","Años",[1]ACTUALIZACIÓN!$C$2)/GETPIVOTDATA("Suma de turistas",'[1]TTDD DATOS'!$B$6,"País","Total","categoría","5*","tipología","hotelera","zona","tenerife","municipio","total municipios","Años",[1]ACTUALIZACIÓN!$C$2-1)-1</f>
        <v>2.5267341453651282</v>
      </c>
      <c r="H86" s="151"/>
      <c r="I86" s="59" t="s">
        <v>7</v>
      </c>
      <c r="J86" s="55" t="s">
        <v>20</v>
      </c>
      <c r="K86" s="56">
        <f>GETPIVOTDATA("Suma de turistas",'[1]TTDD DATOS'!$B$49,"País","Total","categoría","5*","tipología","hotelera","zona","tenerife","municipio","total municipios","Años",IF([1]ACTUALIZACIÓN!$C$1="enero",[1]ACTUALIZACIÓN!$C$2-1,[1]ACTUALIZACIÓN!$C$2))</f>
        <v>168833</v>
      </c>
      <c r="L86" s="38">
        <f>GETPIVOTDATA("Suma de turistas",'[1]TTDD DATOS'!$B$49,"País","Total","categoría","5*","tipología","hotelera","zona","tenerife","municipio","total municipios","Años",IF([1]ACTUALIZACIÓN!$C$1="enero",[1]ACTUALIZACIÓN!$C$2-1,[1]ACTUALIZACIÓN!$C$2))/GETPIVOTDATA("Suma de turistas",'[1]TTDD DATOS'!$B$49,"País","Total","categoría","5*","tipología","hotelera","zona","tenerife","municipio","total municipios","Años",IF([1]ACTUALIZACIÓN!$C$1="enero",[1]ACTUALIZACIÓN!$C$2-2,[1]ACTUALIZACIÓN!$C$2-1))-1</f>
        <v>3.1451755462803828</v>
      </c>
      <c r="M86" s="39" t="s">
        <v>9</v>
      </c>
    </row>
    <row r="87" spans="3:13" ht="33.75" customHeight="1" x14ac:dyDescent="0.2">
      <c r="C87" s="60"/>
      <c r="D87" s="61"/>
      <c r="E87" s="93" t="s">
        <v>21</v>
      </c>
      <c r="F87" s="94">
        <f>GETPIVOTDATA("Suma de turistas",'[1]TTDD DATOS'!$B$6,"País","Total","categoría","4*","tipología","hotelera","zona","tenerife","municipio","total municipios","Años",[1]ACTUALIZACIÓN!$C$2)</f>
        <v>165442</v>
      </c>
      <c r="G87" s="42">
        <f>GETPIVOTDATA("Suma de turistas",'[1]TTDD DATOS'!$B$6,"País","Total","categoría","4*","tipología","hotelera","zona","tenerife","municipio","total municipios","Años",[1]ACTUALIZACIÓN!$C$2)/GETPIVOTDATA("Suma de turistas",'[1]TTDD DATOS'!$B$6,"País","Total","categoría","4*","tipología","hotelera","zona","tenerife","municipio","total municipios","Años",[1]ACTUALIZACIÓN!$C$2-1)-1</f>
        <v>5.1087028763430933</v>
      </c>
      <c r="H87" s="58"/>
      <c r="I87" s="64"/>
      <c r="J87" s="93" t="s">
        <v>21</v>
      </c>
      <c r="K87" s="94">
        <f>GETPIVOTDATA("Suma de turistas",'[1]TTDD DATOS'!$B$49,"País","Total","categoría","4*","tipología","hotelera","zona","tenerife","municipio","total municipios","Años",IF([1]ACTUALIZACIÓN!$C$1="enero",[1]ACTUALIZACIÓN!$C$2-1,[1]ACTUALIZACIÓN!$C$2))</f>
        <v>423636</v>
      </c>
      <c r="L87" s="45">
        <f>GETPIVOTDATA("Suma de turistas",'[1]TTDD DATOS'!$B$49,"País","Total","categoría","4*","tipología","hotelera","zona","tenerife","municipio","total municipios","Años",IF([1]ACTUALIZACIÓN!$C$1="enero",[1]ACTUALIZACIÓN!$C$2-1,[1]ACTUALIZACIÓN!$C$2))/GETPIVOTDATA("Suma de turistas",'[1]TTDD DATOS'!$B$49,"País","Total","categoría","4*","tipología","hotelera","zona","tenerife","municipio","total municipios","Años",IF([1]ACTUALIZACIÓN!$C$1="enero",[1]ACTUALIZACIÓN!$C$2-2,[1]ACTUALIZACIÓN!$C$2-1))-1</f>
        <v>5.6111518594235239</v>
      </c>
      <c r="M87" s="39"/>
    </row>
    <row r="88" spans="3:13" ht="33.75" customHeight="1" x14ac:dyDescent="0.2">
      <c r="C88" s="60"/>
      <c r="D88" s="61"/>
      <c r="E88" s="62" t="s">
        <v>22</v>
      </c>
      <c r="F88" s="63">
        <f>GETPIVOTDATA("Suma de turistas",'[1]TTDD DATOS'!$B$6,"País","Total","categoría","3*","tipología","hotelera","zona","tenerife","municipio","total municipios","Años",[1]ACTUALIZACIÓN!$C$2)</f>
        <v>42226</v>
      </c>
      <c r="G88" s="42">
        <f>GETPIVOTDATA("Suma de turistas",'[1]TTDD DATOS'!$B$6,"País","Total","categoría","3*","tipología","hotelera","zona","tenerife","municipio","total municipios","Años",[1]ACTUALIZACIÓN!$C$2)/GETPIVOTDATA("Suma de turistas",'[1]TTDD DATOS'!$B$6,"País","Total","categoría","3*","tipología","hotelera","zona","tenerife","municipio","total municipios","Años",[1]ACTUALIZACIÓN!$C$2-1)-1</f>
        <v>2.7170774647887326</v>
      </c>
      <c r="H88" s="58"/>
      <c r="I88" s="64"/>
      <c r="J88" s="62" t="s">
        <v>22</v>
      </c>
      <c r="K88" s="63">
        <f>GETPIVOTDATA("Suma de turistas",'[1]TTDD DATOS'!$B$49,"País","Total","categoría","3*","tipología","hotelera","zona","tenerife","municipio","total municipios","Años",IF([1]ACTUALIZACIÓN!$C$1="enero",[1]ACTUALIZACIÓN!$C$2-1,[1]ACTUALIZACIÓN!$C$2))</f>
        <v>111298</v>
      </c>
      <c r="L88" s="45">
        <f>GETPIVOTDATA("Suma de turistas",'[1]TTDD DATOS'!$B$49,"País","Total","categoría","3*","tipología","hotelera","zona","tenerife","municipio","total municipios","Años",IF([1]ACTUALIZACIÓN!$C$1="enero",[1]ACTUALIZACIÓN!$C$2-1,[1]ACTUALIZACIÓN!$C$2))/GETPIVOTDATA("Suma de turistas",'[1]TTDD DATOS'!$B$49,"País","Total","categoría","3*","tipología","hotelera","zona","tenerife","municipio","total municipios","Años",IF([1]ACTUALIZACIÓN!$C$1="enero",[1]ACTUALIZACIÓN!$C$2-2,[1]ACTUALIZACIÓN!$C$2-1))-1</f>
        <v>2.6286515388628064</v>
      </c>
      <c r="M88" s="39"/>
    </row>
    <row r="89" spans="3:13" ht="33.75" customHeight="1" x14ac:dyDescent="0.2">
      <c r="C89" s="60"/>
      <c r="D89" s="61"/>
      <c r="E89" s="93" t="s">
        <v>23</v>
      </c>
      <c r="F89" s="94">
        <f>GETPIVOTDATA("Suma de turistas",'[1]TTDD DATOS'!$B$6,"País","Total","categoría","2*","tipología","hotelera","zona","tenerife","municipio","total municipios","Años",[1]ACTUALIZACIÓN!$C$2)</f>
        <v>6945</v>
      </c>
      <c r="G89" s="42">
        <f>GETPIVOTDATA("Suma de turistas",'[1]TTDD DATOS'!$B$6,"País","Total","categoría","2*","tipología","hotelera","zona","tenerife","municipio","total municipios","Años",[1]ACTUALIZACIÓN!$C$2)/GETPIVOTDATA("Suma de turistas",'[1]TTDD DATOS'!$B$6,"País","Total","categoría","2*","tipología","hotelera","zona","tenerife","municipio","total municipios","Años",[1]ACTUALIZACIÓN!$C$2-1)-1</f>
        <v>3.3271028037383177</v>
      </c>
      <c r="H89" s="58"/>
      <c r="I89" s="64"/>
      <c r="J89" s="93" t="s">
        <v>23</v>
      </c>
      <c r="K89" s="94">
        <f>GETPIVOTDATA("Suma de turistas",'[1]TTDD DATOS'!$B$49,"País","Total","categoría","2*","tipología","hotelera","zona","tenerife","municipio","total municipios","Años",IF([1]ACTUALIZACIÓN!$C$1="enero",[1]ACTUALIZACIÓN!$C$2-1,[1]ACTUALIZACIÓN!$C$2))</f>
        <v>19925</v>
      </c>
      <c r="L89" s="45">
        <f>GETPIVOTDATA("Suma de turistas",'[1]TTDD DATOS'!$B$49,"País","Total","categoría","2*","tipología","hotelera","zona","tenerife","municipio","total municipios","Años",IF([1]ACTUALIZACIÓN!$C$1="enero",[1]ACTUALIZACIÓN!$C$2-1,[1]ACTUALIZACIÓN!$C$2))/GETPIVOTDATA("Suma de turistas",'[1]TTDD DATOS'!$B$49,"País","Total","categoría","2*","tipología","hotelera","zona","tenerife","municipio","total municipios","Años",IF([1]ACTUALIZACIÓN!$C$1="enero",[1]ACTUALIZACIÓN!$C$2-2,[1]ACTUALIZACIÓN!$C$2-1))-1</f>
        <v>2.9857971594318862</v>
      </c>
      <c r="M89" s="39"/>
    </row>
    <row r="90" spans="3:13" ht="33.75" customHeight="1" thickBot="1" x14ac:dyDescent="0.25">
      <c r="C90" s="65"/>
      <c r="D90" s="66"/>
      <c r="E90" s="67" t="s">
        <v>24</v>
      </c>
      <c r="F90" s="68">
        <f>GETPIVOTDATA("Suma de turistas",'[1]TTDD DATOS'!$B$6,"País","Total","categoría","1*","tipología","hotelera","zona","tenerife","municipio","total municipios","Años",[1]ACTUALIZACIÓN!$C$2)</f>
        <v>2036</v>
      </c>
      <c r="G90" s="69">
        <f>GETPIVOTDATA("Suma de turistas",'[1]TTDD DATOS'!$B$6,"País","Total","categoría","1*","tipología","hotelera","zona","tenerife","municipio","total municipios","Años",[1]ACTUALIZACIÓN!$C$2)/GETPIVOTDATA("Suma de turistas",'[1]TTDD DATOS'!$B$6,"País","Total","categoría","1*","tipología","hotelera","zona","tenerife","municipio","total municipios","Años",[1]ACTUALIZACIÓN!$C$2-1)-1</f>
        <v>0.17213586643638457</v>
      </c>
      <c r="H90" s="152"/>
      <c r="I90" s="70"/>
      <c r="J90" s="67" t="s">
        <v>24</v>
      </c>
      <c r="K90" s="68">
        <f>GETPIVOTDATA("Suma de turistas",'[1]TTDD DATOS'!$B$49,"País","Total","categoría","1*","tipología","hotelera","zona","tenerife","municipio","total municipios","Años",IF([1]ACTUALIZACIÓN!$C$1="enero",[1]ACTUALIZACIÓN!$C$2-1,[1]ACTUALIZACIÓN!$C$2))</f>
        <v>5579</v>
      </c>
      <c r="L90" s="52">
        <f>GETPIVOTDATA("Suma de turistas",'[1]TTDD DATOS'!$B$49,"País","Total","categoría","1*","tipología","hotelera","zona","tenerife","municipio","total municipios","Años",IF([1]ACTUALIZACIÓN!$C$1="enero",[1]ACTUALIZACIÓN!$C$2-1,[1]ACTUALIZACIÓN!$C$2))/GETPIVOTDATA("Suma de turistas",'[1]TTDD DATOS'!$B$49,"País","Total","categoría","1*","tipología","hotelera","zona","tenerife","municipio","total municipios","Años",IF([1]ACTUALIZACIÓN!$C$1="enero",[1]ACTUALIZACIÓN!$C$2-2,[1]ACTUALIZACIÓN!$C$2-1))-1</f>
        <v>2.0486555697823317E-2</v>
      </c>
      <c r="M90" s="39"/>
    </row>
    <row r="91" spans="3:13" ht="5.25" customHeight="1" thickBot="1" x14ac:dyDescent="0.25"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</row>
    <row r="92" spans="3:13" ht="20.100000000000001" customHeight="1" thickBot="1" x14ac:dyDescent="0.25">
      <c r="C92" s="24" t="s">
        <v>25</v>
      </c>
      <c r="D92" s="25"/>
      <c r="E92" s="25"/>
      <c r="F92" s="25"/>
      <c r="G92" s="25"/>
      <c r="H92" s="25"/>
      <c r="I92" s="25"/>
      <c r="J92" s="25"/>
      <c r="K92" s="25"/>
      <c r="L92" s="25"/>
      <c r="M92" s="26"/>
    </row>
    <row r="93" spans="3:13" ht="5.25" customHeight="1" thickBot="1" x14ac:dyDescent="0.25">
      <c r="C93" s="150"/>
      <c r="D93" s="27"/>
      <c r="E93" s="27"/>
      <c r="F93" s="27"/>
      <c r="G93" s="27"/>
      <c r="H93" s="27"/>
      <c r="I93" s="27"/>
      <c r="J93" s="27"/>
      <c r="K93" s="27"/>
      <c r="L93" s="27"/>
      <c r="M93" s="102"/>
    </row>
    <row r="94" spans="3:13" s="153" customFormat="1" ht="33.75" customHeight="1" x14ac:dyDescent="0.2">
      <c r="C94" s="53" t="s">
        <v>7</v>
      </c>
      <c r="D94" s="54"/>
      <c r="E94" s="55" t="s">
        <v>20</v>
      </c>
      <c r="F94" s="56">
        <f>GETPIVOTDATA("Suma de pernoctaciones",'[1]TTDD DATOS'!$B$6,"País","Total","categoría","5*","tipología","hotelera","zona","tenerife","municipio","total municipios","Años",[1]ACTUALIZACIÓN!$C$2)</f>
        <v>401601</v>
      </c>
      <c r="G94" s="57">
        <f>GETPIVOTDATA("Suma de pernoctaciones",'[1]TTDD DATOS'!$B$6,"País","Total","categoría","5*","tipología","hotelera","zona","tenerife","municipio","total municipios","Años",[1]ACTUALIZACIÓN!$C$2)/GETPIVOTDATA("Suma de pernoctaciones",'[1]TTDD DATOS'!$B$6,"País","Total","categoría","5*","tipología","hotelera","zona","tenerife","municipio","total municipios","Años",[1]ACTUALIZACIÓN!$C$2-1)-1</f>
        <v>3.2122149734639507</v>
      </c>
      <c r="H94" s="151"/>
      <c r="I94" s="59" t="s">
        <v>7</v>
      </c>
      <c r="J94" s="55" t="s">
        <v>20</v>
      </c>
      <c r="K94" s="56">
        <f>GETPIVOTDATA("Suma de pernoctaciones",'[1]TTDD DATOS'!$B$49,"País","Total","categoría","5*","tipología","hotelera","zona","tenerife","municipio","total municipios","Años",IF([1]ACTUALIZACIÓN!$C$1="enero",[1]ACTUALIZACIÓN!$C$2-1,[1]ACTUALIZACIÓN!$C$2))</f>
        <v>1074968</v>
      </c>
      <c r="L94" s="38">
        <f>GETPIVOTDATA("Suma de pernoctaciones",'[1]TTDD DATOS'!$B$49,"País","Total","categoría","5*","tipología","hotelera","zona","tenerife","municipio","total municipios","Años",IF([1]ACTUALIZACIÓN!$C$1="enero",[1]ACTUALIZACIÓN!$C$2-1,[1]ACTUALIZACIÓN!$C$2))/GETPIVOTDATA("Suma de pernoctaciones",'[1]TTDD DATOS'!$B$49,"País","Total","categoría","5*","tipología","hotelera","zona","tenerife","municipio","total municipios","Años",IF([1]ACTUALIZACIÓN!$C$1="enero",[1]ACTUALIZACIÓN!$C$2-2,[1]ACTUALIZACIÓN!$C$2-1))-1</f>
        <v>3.6515073496003909</v>
      </c>
      <c r="M94" s="39" t="s">
        <v>9</v>
      </c>
    </row>
    <row r="95" spans="3:13" s="153" customFormat="1" ht="33.75" customHeight="1" x14ac:dyDescent="0.2">
      <c r="C95" s="60"/>
      <c r="D95" s="61"/>
      <c r="E95" s="93" t="s">
        <v>21</v>
      </c>
      <c r="F95" s="94">
        <f>GETPIVOTDATA("Suma de pernoctaciones",'[1]TTDD DATOS'!$B$6,"País","Total","categoría","4*","tipología","hotelera","zona","tenerife","municipio","total municipios","Años",[1]ACTUALIZACIÓN!$C$2)</f>
        <v>1093860</v>
      </c>
      <c r="G95" s="42">
        <f>GETPIVOTDATA("Suma de pernoctaciones",'[1]TTDD DATOS'!$B$6,"País","Total","categoría","4*","tipología","hotelera","zona","tenerife","municipio","total municipios","Años",[1]ACTUALIZACIÓN!$C$2)/GETPIVOTDATA("Suma de pernoctaciones",'[1]TTDD DATOS'!$B$6,"País","Total","categoría","4*","tipología","hotelera","zona","tenerife","municipio","total municipios","Años",[1]ACTUALIZACIÓN!$C$2-1)-1</f>
        <v>10.132981863333809</v>
      </c>
      <c r="H95" s="58"/>
      <c r="I95" s="64"/>
      <c r="J95" s="93" t="s">
        <v>21</v>
      </c>
      <c r="K95" s="94">
        <f>GETPIVOTDATA("Suma de pernoctaciones",'[1]TTDD DATOS'!$B$49,"País","Total","categoría","4*","tipología","hotelera","zona","tenerife","municipio","total municipios","Años",IF([1]ACTUALIZACIÓN!$C$1="enero",[1]ACTUALIZACIÓN!$C$2-1,[1]ACTUALIZACIÓN!$C$2))</f>
        <v>2804757</v>
      </c>
      <c r="L95" s="45">
        <f>GETPIVOTDATA("Suma de pernoctaciones",'[1]TTDD DATOS'!$B$49,"País","Total","categoría","4*","tipología","hotelera","zona","tenerife","municipio","total municipios","Años",IF([1]ACTUALIZACIÓN!$C$1="enero",[1]ACTUALIZACIÓN!$C$2-1,[1]ACTUALIZACIÓN!$C$2))/GETPIVOTDATA("Suma de pernoctaciones",'[1]TTDD DATOS'!$B$49,"País","Total","categoría","4*","tipología","hotelera","zona","tenerife","municipio","total municipios","Años",IF([1]ACTUALIZACIÓN!$C$1="enero",[1]ACTUALIZACIÓN!$C$2-2,[1]ACTUALIZACIÓN!$C$2-1))-1</f>
        <v>10.93635520223342</v>
      </c>
      <c r="M95" s="39"/>
    </row>
    <row r="96" spans="3:13" s="153" customFormat="1" ht="33.75" customHeight="1" x14ac:dyDescent="0.2">
      <c r="C96" s="60"/>
      <c r="D96" s="61"/>
      <c r="E96" s="62" t="s">
        <v>22</v>
      </c>
      <c r="F96" s="63">
        <f>GETPIVOTDATA("Suma de pernoctaciones",'[1]TTDD DATOS'!$B$6,"País","Total","categoría","3*","tipología","hotelera","zona","tenerife","municipio","total municipios","Años",[1]ACTUALIZACIÓN!$C$2)</f>
        <v>278981</v>
      </c>
      <c r="G96" s="42">
        <f>GETPIVOTDATA("Suma de pernoctaciones",'[1]TTDD DATOS'!$B$6,"País","Total","categoría","3*","tipología","hotelera","zona","tenerife","municipio","total municipios","Años",[1]ACTUALIZACIÓN!$C$2)/GETPIVOTDATA("Suma de pernoctaciones",'[1]TTDD DATOS'!$B$6,"País","Total","categoría","3*","tipología","hotelera","zona","tenerife","municipio","total municipios","Años",[1]ACTUALIZACIÓN!$C$2-1)-1</f>
        <v>7.4683402136959689</v>
      </c>
      <c r="H96" s="58"/>
      <c r="I96" s="64"/>
      <c r="J96" s="62" t="s">
        <v>22</v>
      </c>
      <c r="K96" s="63">
        <f>GETPIVOTDATA("Suma de pernoctaciones",'[1]TTDD DATOS'!$B$49,"País","Total","categoría","3*","tipología","hotelera","zona","tenerife","municipio","total municipios","Años",IF([1]ACTUALIZACIÓN!$C$1="enero",[1]ACTUALIZACIÓN!$C$2-1,[1]ACTUALIZACIÓN!$C$2))</f>
        <v>715656</v>
      </c>
      <c r="L96" s="45">
        <f>GETPIVOTDATA("Suma de pernoctaciones",'[1]TTDD DATOS'!$B$49,"País","Total","categoría","3*","tipología","hotelera","zona","tenerife","municipio","total municipios","Años",IF([1]ACTUALIZACIÓN!$C$1="enero",[1]ACTUALIZACIÓN!$C$2-1,[1]ACTUALIZACIÓN!$C$2))/GETPIVOTDATA("Suma de pernoctaciones",'[1]TTDD DATOS'!$B$49,"País","Total","categoría","3*","tipología","hotelera","zona","tenerife","municipio","total municipios","Años",IF([1]ACTUALIZACIÓN!$C$1="enero",[1]ACTUALIZACIÓN!$C$2-2,[1]ACTUALIZACIÓN!$C$2-1))-1</f>
        <v>7.1211956151698779</v>
      </c>
      <c r="M96" s="39"/>
    </row>
    <row r="97" spans="3:15" s="153" customFormat="1" ht="33.75" customHeight="1" x14ac:dyDescent="0.2">
      <c r="C97" s="60"/>
      <c r="D97" s="61"/>
      <c r="E97" s="93" t="s">
        <v>23</v>
      </c>
      <c r="F97" s="94">
        <f>GETPIVOTDATA("Suma de pernoctaciones",'[1]TTDD DATOS'!$B$6,"País","Total","categoría","2*","tipología","hotelera","zona","tenerife","municipio","total municipios","Años",[1]ACTUALIZACIÓN!$C$2)</f>
        <v>34208</v>
      </c>
      <c r="G97" s="42">
        <f>GETPIVOTDATA("Suma de pernoctaciones",'[1]TTDD DATOS'!$B$6,"País","Total","categoría","2*","tipología","hotelera","zona","tenerife","municipio","total municipios","Años",[1]ACTUALIZACIÓN!$C$2)/GETPIVOTDATA("Suma de pernoctaciones",'[1]TTDD DATOS'!$B$6,"País","Total","categoría","2*","tipología","hotelera","zona","tenerife","municipio","total municipios","Años",[1]ACTUALIZACIÓN!$C$2-1)-1</f>
        <v>8.9644625691814745</v>
      </c>
      <c r="H97" s="58"/>
      <c r="I97" s="64"/>
      <c r="J97" s="93" t="s">
        <v>23</v>
      </c>
      <c r="K97" s="94">
        <f>GETPIVOTDATA("Suma de pernoctaciones",'[1]TTDD DATOS'!$B$49,"País","Total","categoría","2*","tipología","hotelera","zona","tenerife","municipio","total municipios","Años",IF([1]ACTUALIZACIÓN!$C$1="enero",[1]ACTUALIZACIÓN!$C$2-1,[1]ACTUALIZACIÓN!$C$2))</f>
        <v>97678</v>
      </c>
      <c r="L97" s="45">
        <f>GETPIVOTDATA("Suma de pernoctaciones",'[1]TTDD DATOS'!$B$49,"País","Total","categoría","2*","tipología","hotelera","zona","tenerife","municipio","total municipios","Años",IF([1]ACTUALIZACIÓN!$C$1="enero",[1]ACTUALIZACIÓN!$C$2-1,[1]ACTUALIZACIÓN!$C$2))/GETPIVOTDATA("Suma de pernoctaciones",'[1]TTDD DATOS'!$B$49,"País","Total","categoría","2*","tipología","hotelera","zona","tenerife","municipio","total municipios","Años",IF([1]ACTUALIZACIÓN!$C$1="enero",[1]ACTUALIZACIÓN!$C$2-2,[1]ACTUALIZACIÓN!$C$2-1))-1</f>
        <v>8.1518785720978162</v>
      </c>
      <c r="M97" s="39"/>
    </row>
    <row r="98" spans="3:15" s="153" customFormat="1" ht="33.75" customHeight="1" thickBot="1" x14ac:dyDescent="0.25">
      <c r="C98" s="65"/>
      <c r="D98" s="66"/>
      <c r="E98" s="67" t="s">
        <v>24</v>
      </c>
      <c r="F98" s="68">
        <f>GETPIVOTDATA("Suma de pernoctaciones",'[1]TTDD DATOS'!$B$6,"País","Total","categoría","1*","tipología","hotelera","zona","tenerife","municipio","total municipios","Años",[1]ACTUALIZACIÓN!$C$2)</f>
        <v>11013</v>
      </c>
      <c r="G98" s="69">
        <f>GETPIVOTDATA("Suma de pernoctaciones",'[1]TTDD DATOS'!$B$6,"País","Total","categoría","1*","tipología","hotelera","zona","tenerife","municipio","total municipios","Años",[1]ACTUALIZACIÓN!$C$2)/GETPIVOTDATA("Suma de pernoctaciones",'[1]TTDD DATOS'!$B$6,"País","Total","categoría","1*","tipología","hotelera","zona","tenerife","municipio","total municipios","Años",[1]ACTUALIZACIÓN!$C$2-1)-1</f>
        <v>1.3451873935264054</v>
      </c>
      <c r="H98" s="152"/>
      <c r="I98" s="70"/>
      <c r="J98" s="67" t="s">
        <v>24</v>
      </c>
      <c r="K98" s="68">
        <f>GETPIVOTDATA("Suma de pernoctaciones",'[1]TTDD DATOS'!$B$49,"País","Total","categoría","1*","tipología","hotelera","zona","tenerife","municipio","total municipios","Años",IF([1]ACTUALIZACIÓN!$C$1="enero",[1]ACTUALIZACIÓN!$C$2-1,[1]ACTUALIZACIÓN!$C$2))</f>
        <v>24082</v>
      </c>
      <c r="L98" s="52">
        <f>GETPIVOTDATA("Suma de pernoctaciones",'[1]TTDD DATOS'!$B$49,"País","Total","categoría","1*","tipología","hotelera","zona","tenerife","municipio","total municipios","Años",IF([1]ACTUALIZACIÓN!$C$1="enero",[1]ACTUALIZACIÓN!$C$2-1,[1]ACTUALIZACIÓN!$C$2))/GETPIVOTDATA("Suma de pernoctaciones",'[1]TTDD DATOS'!$B$49,"País","Total","categoría","1*","tipología","hotelera","zona","tenerife","municipio","total municipios","Años",IF([1]ACTUALIZACIÓN!$C$1="enero",[1]ACTUALIZACIÓN!$C$2-2,[1]ACTUALIZACIÓN!$C$2-1))-1</f>
        <v>0.45924983336363079</v>
      </c>
      <c r="M98" s="39"/>
    </row>
    <row r="99" spans="3:15" ht="5.25" customHeight="1" thickBot="1" x14ac:dyDescent="0.25"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</row>
    <row r="100" spans="3:15" ht="20.100000000000001" customHeight="1" thickBot="1" x14ac:dyDescent="0.25">
      <c r="C100" s="24" t="s">
        <v>26</v>
      </c>
      <c r="D100" s="25"/>
      <c r="E100" s="25"/>
      <c r="F100" s="25"/>
      <c r="G100" s="25"/>
      <c r="H100" s="25"/>
      <c r="I100" s="25"/>
      <c r="J100" s="25"/>
      <c r="K100" s="25"/>
      <c r="L100" s="25"/>
      <c r="M100" s="26"/>
    </row>
    <row r="101" spans="3:15" ht="5.25" customHeight="1" thickBot="1" x14ac:dyDescent="0.25">
      <c r="C101" s="150"/>
      <c r="D101" s="27"/>
      <c r="E101" s="27"/>
      <c r="F101" s="27"/>
      <c r="G101" s="27"/>
      <c r="H101" s="27"/>
      <c r="I101" s="27"/>
      <c r="J101" s="27"/>
      <c r="K101" s="27"/>
      <c r="L101" s="27"/>
      <c r="M101" s="102"/>
    </row>
    <row r="102" spans="3:15" ht="33.75" customHeight="1" x14ac:dyDescent="0.2">
      <c r="C102" s="53" t="s">
        <v>7</v>
      </c>
      <c r="D102" s="54"/>
      <c r="E102" s="55" t="s">
        <v>20</v>
      </c>
      <c r="F102" s="154">
        <f>GETPIVOTDATA("Suma de pernoctaciones",'[1]TTDD DATOS'!$B$6,"País","Total","categoría","5*","tipología","hotelera","zona","tenerife","municipio","total municipios","Años",[1]ACTUALIZACIÓN!$C$2)/GETPIVOTDATA("Suma de turistas",'[1]TTDD DATOS'!$B$6,"País","Total","categoría","5*","tipología","hotelera","zona","tenerife","municipio","total municipios","Años",[1]ACTUALIZACIÓN!$C$2)</f>
        <v>6.5118854585549357</v>
      </c>
      <c r="G102" s="106">
        <f>(GETPIVOTDATA("Suma de pernoctaciones",'[1]TTDD DATOS'!$B$6,"País","Total","categoría","5*","tipología","hotelera","zona","tenerife","municipio","total municipios","Años",[1]ACTUALIZACIÓN!$C$2)/GETPIVOTDATA("Suma de turistas",'[1]TTDD DATOS'!$B$6,"País","Total","categoría","5*","tipología","hotelera","zona","tenerife","municipio","total municipios","Años",[1]ACTUALIZACIÓN!$C$2))-(GETPIVOTDATA("Suma de pernoctaciones",'[1]TTDD DATOS'!$B$6,"País","Total","categoría","5*","tipología","hotelera","zona","tenerife","municipio","total municipios","Años",[1]ACTUALIZACIÓN!$C$2-1)/GETPIVOTDATA("Suma de turistas",'[1]TTDD DATOS'!$B$6,"País","Total","categoría","5*","tipología","hotelera","zona","tenerife","municipio","total municipios","Años",[1]ACTUALIZACIÓN!$C$2-1))</f>
        <v>1.0597209935237695</v>
      </c>
      <c r="H102" s="151"/>
      <c r="I102" s="59" t="s">
        <v>7</v>
      </c>
      <c r="J102" s="55" t="s">
        <v>20</v>
      </c>
      <c r="K102" s="154">
        <f>(GETPIVOTDATA("pernoctaciones",'[1]TTDD DATOS'!$B$49,"País","total","categoría","5*","tipología","hotelera","zona","tenerife","municipio","total municipios","Años",IF([1]ACTUALIZACIÓN!$C$1="enero",[1]ACTUALIZACIÓN!$C$2-1,[1]ACTUALIZACIÓN!$C$2))/GETPIVOTDATA("Suma de turistas",'[1]TTDD DATOS'!$B$49,"País","Total","categoría","5*","tipología","hotelera","zona","tenerife","municipio","total municipios","Años",IF([1]ACTUALIZACIÓN!$C$1="enero",[1]ACTUALIZACIÓN!$C$2-1,[1]ACTUALIZACIÓN!$C$2)))</f>
        <v>6.3670490958521144</v>
      </c>
      <c r="L102" s="107">
        <f>(GETPIVOTDATA("pernoctaciones",'[1]TTDD DATOS'!$B$49,"País","total","categoría","5*","tipología","hotelera","zona","tenerife","municipio","total municipios","Años",IF([1]ACTUALIZACIÓN!$C$1="enero",[1]ACTUALIZACIÓN!$C$2-1,[1]ACTUALIZACIÓN!$C$2))/GETPIVOTDATA("Suma de turistas",'[1]TTDD DATOS'!$B$49,"País","Total","categoría","5*","tipología","hotelera","zona","tenerife","municipio","total municipios","Años",IF([1]ACTUALIZACIÓN!$C$1="enero",[1]ACTUALIZACIÓN!$C$2-1,[1]ACTUALIZACIÓN!$C$2)))-(GETPIVOTDATA("pernoctaciones",'[1]TTDD DATOS'!$B$49,"País","total","categoría","5*","tipología","hotelera","zona","tenerife","municipio","total municipios","Años",IF([1]ACTUALIZACIÓN!$C$1="enero",[1]ACTUALIZACIÓN!$C$2-2,[1]ACTUALIZACIÓN!$C$2-1))/GETPIVOTDATA("Suma de turistas",'[1]TTDD DATOS'!$B$49,"País","Total","categoría","5*","tipología","hotelera","zona","tenerife","municipio","total municipios","Años",IF([1]ACTUALIZACIÓN!$C$1="enero",[1]ACTUALIZACIÓN!$C$2-2,[1]ACTUALIZACIÓN!$C$2-1)))</f>
        <v>0.69307413881798752</v>
      </c>
      <c r="M102" s="39" t="s">
        <v>9</v>
      </c>
    </row>
    <row r="103" spans="3:15" ht="33.75" customHeight="1" x14ac:dyDescent="0.2">
      <c r="C103" s="60"/>
      <c r="D103" s="61"/>
      <c r="E103" s="78" t="s">
        <v>21</v>
      </c>
      <c r="F103" s="155">
        <f>GETPIVOTDATA("Suma de pernoctaciones",'[1]TTDD DATOS'!$B$6,"País","Total","categoría","4*","tipología","hotelera","zona","tenerife","municipio","total municipios","Años",[1]ACTUALIZACIÓN!$C$2)/GETPIVOTDATA("Suma de turistas",'[1]TTDD DATOS'!$B$6,"País","Total","categoría","4*","tipología","hotelera","zona","tenerife","municipio","total municipios","Años",[1]ACTUALIZACIÓN!$C$2)</f>
        <v>6.611743088212183</v>
      </c>
      <c r="G103" s="109">
        <f>(GETPIVOTDATA("Suma de pernoctaciones",'[1]TTDD DATOS'!$B$6,"País","Total","categoría","4*","tipología","hotelera","zona","tenerife","municipio","total municipios","Años",[1]ACTUALIZACIÓN!$C$2)/GETPIVOTDATA("Suma de turistas",'[1]TTDD DATOS'!$B$6,"País","Total","categoría","4*","tipología","hotelera","zona","tenerife","municipio","total municipios","Años",[1]ACTUALIZACIÓN!$C$2))-(GETPIVOTDATA("Suma de pernoctaciones",'[1]TTDD DATOS'!$B$6,"País","Total","categoría","4*","tipología","hotelera","zona","tenerife","municipio","total municipios","Años",[1]ACTUALIZACIÓN!$C$2-1)/GETPIVOTDATA("Suma de turistas",'[1]TTDD DATOS'!$B$6,"País","Total","categoría","4*","tipología","hotelera","zona","tenerife","municipio","total municipios","Años",[1]ACTUALIZACIÓN!$C$2-1))</f>
        <v>2.9838584373241721</v>
      </c>
      <c r="H103" s="58"/>
      <c r="I103" s="64"/>
      <c r="J103" s="78" t="s">
        <v>21</v>
      </c>
      <c r="K103" s="155">
        <f>(GETPIVOTDATA("pernoctaciones",'[1]TTDD DATOS'!$B$49,"País","total","categoría","4*","tipología","hotelera","zona","tenerife","municipio","total municipios","Años",IF([1]ACTUALIZACIÓN!$C$1="enero",[1]ACTUALIZACIÓN!$C$2-1,[1]ACTUALIZACIÓN!$C$2))/GETPIVOTDATA("Suma de turistas",'[1]TTDD DATOS'!$B$49,"País","Total","categoría","4*","tipología","hotelera","zona","tenerife","municipio","total municipios","Años",IF([1]ACTUALIZACIÓN!$C$1="enero",[1]ACTUALIZACIÓN!$C$2-1,[1]ACTUALIZACIÓN!$C$2)))</f>
        <v>6.6206767130272217</v>
      </c>
      <c r="L103" s="110">
        <f>(GETPIVOTDATA("pernoctaciones",'[1]TTDD DATOS'!$B$49,"País","total","categoría","4*","tipología","hotelera","zona","tenerife","municipio","total municipios","Años",IF([1]ACTUALIZACIÓN!$C$1="enero",[1]ACTUALIZACIÓN!$C$2-1,[1]ACTUALIZACIÓN!$C$2))/GETPIVOTDATA("Suma de turistas",'[1]TTDD DATOS'!$B$49,"País","Total","categoría","4*","tipología","hotelera","zona","tenerife","municipio","total municipios","Años",IF([1]ACTUALIZACIÓN!$C$1="enero",[1]ACTUALIZACIÓN!$C$2-1,[1]ACTUALIZACIÓN!$C$2)))-(GETPIVOTDATA("pernoctaciones",'[1]TTDD DATOS'!$B$49,"País","total","categoría","4*","tipología","hotelera","zona","tenerife","municipio","total municipios","Años",IF([1]ACTUALIZACIÓN!$C$1="enero",[1]ACTUALIZACIÓN!$C$2-2,[1]ACTUALIZACIÓN!$C$2-1))/GETPIVOTDATA("Suma de turistas",'[1]TTDD DATOS'!$B$49,"País","Total","categoría","4*","tipología","hotelera","zona","tenerife","municipio","total municipios","Años",IF([1]ACTUALIZACIÓN!$C$1="enero",[1]ACTUALIZACIÓN!$C$2-2,[1]ACTUALIZACIÓN!$C$2-1)))</f>
        <v>2.9537031335394022</v>
      </c>
      <c r="M103" s="39"/>
    </row>
    <row r="104" spans="3:15" ht="33.75" customHeight="1" x14ac:dyDescent="0.2">
      <c r="C104" s="60"/>
      <c r="D104" s="61"/>
      <c r="E104" s="62" t="s">
        <v>22</v>
      </c>
      <c r="F104" s="156">
        <f>GETPIVOTDATA("Suma de pernoctaciones",'[1]TTDD DATOS'!$B$6,"País","Total","categoría","3*","tipología","hotelera","zona","tenerife","municipio","total municipios","Años",[1]ACTUALIZACIÓN!$C$2)/GETPIVOTDATA("Suma de turistas",'[1]TTDD DATOS'!$B$6,"País","Total","categoría","3*","tipología","hotelera","zona","tenerife","municipio","total municipios","Años",[1]ACTUALIZACIÓN!$C$2)</f>
        <v>6.6068535973097147</v>
      </c>
      <c r="G104" s="109">
        <f>(GETPIVOTDATA("Suma de pernoctaciones",'[1]TTDD DATOS'!$B$6,"País","Total","categoría","3*","tipología","hotelera","zona","tenerife","municipio","total municipios","Años",[1]ACTUALIZACIÓN!$C$2)/GETPIVOTDATA("Suma de turistas",'[1]TTDD DATOS'!$B$6,"País","Total","categoría","3*","tipología","hotelera","zona","tenerife","municipio","total municipios","Años",[1]ACTUALIZACIÓN!$C$2))-(GETPIVOTDATA("Suma de pernoctaciones",'[1]TTDD DATOS'!$B$6,"País","Total","categoría","3*","tipología","hotelera","zona","tenerife","municipio","total municipios","Años",[1]ACTUALIZACIÓN!$C$2-1)/GETPIVOTDATA("Suma de turistas",'[1]TTDD DATOS'!$B$6,"País","Total","categoría","3*","tipología","hotelera","zona","tenerife","municipio","total municipios","Años",[1]ACTUALIZACIÓN!$C$2-1))</f>
        <v>3.7068535973097148</v>
      </c>
      <c r="H104" s="58"/>
      <c r="I104" s="64"/>
      <c r="J104" s="62" t="s">
        <v>22</v>
      </c>
      <c r="K104" s="156">
        <f>(GETPIVOTDATA("pernoctaciones",'[1]TTDD DATOS'!$B$49,"País","total","categoría","3*","tipología","hotelera","zona","tenerife","municipio","total municipios","Años",IF([1]ACTUALIZACIÓN!$C$1="enero",[1]ACTUALIZACIÓN!$C$2-1,[1]ACTUALIZACIÓN!$C$2))/GETPIVOTDATA("Suma de turistas",'[1]TTDD DATOS'!$B$49,"País","Total","categoría","3*","tipología","hotelera","zona","tenerife","municipio","total municipios","Años",IF([1]ACTUALIZACIÓN!$C$1="enero",[1]ACTUALIZACIÓN!$C$2-1,[1]ACTUALIZACIÓN!$C$2)))</f>
        <v>6.4300885909899552</v>
      </c>
      <c r="L104" s="110">
        <f>(GETPIVOTDATA("pernoctaciones",'[1]TTDD DATOS'!$B$49,"País","total","categoría","3*","tipología","hotelera","zona","tenerife","municipio","total municipios","Años",IF([1]ACTUALIZACIÓN!$C$1="enero",[1]ACTUALIZACIÓN!$C$2-1,[1]ACTUALIZACIÓN!$C$2))/GETPIVOTDATA("Suma de turistas",'[1]TTDD DATOS'!$B$49,"País","Total","categoría","3*","tipología","hotelera","zona","tenerife","municipio","total municipios","Años",IF([1]ACTUALIZACIÓN!$C$1="enero",[1]ACTUALIZACIÓN!$C$2-1,[1]ACTUALIZACIÓN!$C$2)))-(GETPIVOTDATA("pernoctaciones",'[1]TTDD DATOS'!$B$49,"País","total","categoría","3*","tipología","hotelera","zona","tenerife","municipio","total municipios","Años",IF([1]ACTUALIZACIÓN!$C$1="enero",[1]ACTUALIZACIÓN!$C$2-2,[1]ACTUALIZACIÓN!$C$2-1))/GETPIVOTDATA("Suma de turistas",'[1]TTDD DATOS'!$B$49,"País","Total","categoría","3*","tipología","hotelera","zona","tenerife","municipio","total municipios","Años",IF([1]ACTUALIZACIÓN!$C$1="enero",[1]ACTUALIZACIÓN!$C$2-2,[1]ACTUALIZACIÓN!$C$2-1)))</f>
        <v>3.5570447725236014</v>
      </c>
      <c r="M104" s="39"/>
      <c r="O104" s="157"/>
    </row>
    <row r="105" spans="3:15" ht="33.75" customHeight="1" x14ac:dyDescent="0.2">
      <c r="C105" s="60"/>
      <c r="D105" s="61"/>
      <c r="E105" s="78" t="s">
        <v>23</v>
      </c>
      <c r="F105" s="155">
        <f>GETPIVOTDATA("Suma de pernoctaciones",'[1]TTDD DATOS'!$B$6,"País","Total","categoría","2*","tipología","hotelera","zona","tenerife","municipio","total municipios","Años",[1]ACTUALIZACIÓN!$C$2)/GETPIVOTDATA("Suma de turistas",'[1]TTDD DATOS'!$B$6,"País","Total","categoría","2*","tipología","hotelera","zona","tenerife","municipio","total municipios","Años",[1]ACTUALIZACIÓN!$C$2)</f>
        <v>4.9255579553635709</v>
      </c>
      <c r="G105" s="109">
        <f>(GETPIVOTDATA("Suma de pernoctaciones",'[1]TTDD DATOS'!$B$6,"País","Total","categoría","2*","tipología","hotelera","zona","tenerife","municipio","total municipios","Años",[1]ACTUALIZACIÓN!$C$2)/GETPIVOTDATA("Suma de turistas",'[1]TTDD DATOS'!$B$6,"País","Total","categoría","2*","tipología","hotelera","zona","tenerife","municipio","total municipios","Años",[1]ACTUALIZACIÓN!$C$2))-(GETPIVOTDATA("Suma de pernoctaciones",'[1]TTDD DATOS'!$B$6,"País","Total","categoría","2*","tipología","hotelera","zona","tenerife","municipio","total municipios","Años",[1]ACTUALIZACIÓN!$C$2-1)/GETPIVOTDATA("Suma de turistas",'[1]TTDD DATOS'!$B$6,"País","Total","categoría","2*","tipología","hotelera","zona","tenerife","municipio","total municipios","Años",[1]ACTUALIZACIÓN!$C$2-1))</f>
        <v>2.7866171453947235</v>
      </c>
      <c r="H105" s="58"/>
      <c r="I105" s="64"/>
      <c r="J105" s="78" t="s">
        <v>23</v>
      </c>
      <c r="K105" s="155">
        <f>(GETPIVOTDATA("pernoctaciones",'[1]TTDD DATOS'!$B$49,"País","total","categoría","2*","tipología","hotelera","zona","tenerife","municipio","total municipios","Años",IF([1]ACTUALIZACIÓN!$C$1="enero",[1]ACTUALIZACIÓN!$C$2-1,[1]ACTUALIZACIÓN!$C$2))/GETPIVOTDATA("Suma de turistas",'[1]TTDD DATOS'!$B$49,"País","Total","categoría","2*","tipología","hotelera","zona","tenerife","municipio","total municipios","Años",IF([1]ACTUALIZACIÓN!$C$1="enero",[1]ACTUALIZACIÓN!$C$2-1,[1]ACTUALIZACIÓN!$C$2)))</f>
        <v>4.9022835633626096</v>
      </c>
      <c r="L105" s="110">
        <f>(GETPIVOTDATA("pernoctaciones",'[1]TTDD DATOS'!$B$49,"País","total","categoría","2*","tipología","hotelera","zona","tenerife","municipio","total municipios","Años",IF([1]ACTUALIZACIÓN!$C$1="enero",[1]ACTUALIZACIÓN!$C$2-1,[1]ACTUALIZACIÓN!$C$2))/GETPIVOTDATA("Suma de turistas",'[1]TTDD DATOS'!$B$49,"País","Total","categoría","2*","tipología","hotelera","zona","tenerife","municipio","total municipios","Años",IF([1]ACTUALIZACIÓN!$C$1="enero",[1]ACTUALIZACIÓN!$C$2-1,[1]ACTUALIZACIÓN!$C$2)))-(GETPIVOTDATA("pernoctaciones",'[1]TTDD DATOS'!$B$49,"País","total","categoría","2*","tipología","hotelera","zona","tenerife","municipio","total municipios","Años",IF([1]ACTUALIZACIÓN!$C$1="enero",[1]ACTUALIZACIÓN!$C$2-2,[1]ACTUALIZACIÓN!$C$2-1))/GETPIVOTDATA("Suma de turistas",'[1]TTDD DATOS'!$B$49,"País","Total","categoría","2*","tipología","hotelera","zona","tenerife","municipio","total municipios","Años",IF([1]ACTUALIZACIÓN!$C$1="enero",[1]ACTUALIZACIÓN!$C$2-2,[1]ACTUALIZACIÓN!$C$2-1)))</f>
        <v>2.7672565579615296</v>
      </c>
      <c r="M105" s="39"/>
    </row>
    <row r="106" spans="3:15" ht="33.75" customHeight="1" thickBot="1" x14ac:dyDescent="0.25">
      <c r="C106" s="65"/>
      <c r="D106" s="66"/>
      <c r="E106" s="67" t="s">
        <v>24</v>
      </c>
      <c r="F106" s="158">
        <f>GETPIVOTDATA("Suma de pernoctaciones",'[1]TTDD DATOS'!$B$6,"País","Total","categoría","1*","tipología","hotelera","zona","tenerife","municipio","total municipios","Años",[1]ACTUALIZACIÓN!$C$2)/GETPIVOTDATA("Suma de turistas",'[1]TTDD DATOS'!$B$6,"País","Total","categoría","1*","tipología","hotelera","zona","tenerife","municipio","total municipios","Años",[1]ACTUALIZACIÓN!$C$2)</f>
        <v>5.4091355599214141</v>
      </c>
      <c r="G106" s="112">
        <f>(GETPIVOTDATA("Suma de pernoctaciones",'[1]TTDD DATOS'!$B$6,"País","Total","categoría","1*","tipología","hotelera","zona","tenerife","municipio","total municipios","Años",[1]ACTUALIZACIÓN!$C$2)/GETPIVOTDATA("Suma de turistas",'[1]TTDD DATOS'!$B$6,"País","Total","categoría","1*","tipología","hotelera","zona","tenerife","municipio","total municipios","Años",[1]ACTUALIZACIÓN!$C$2))-(GETPIVOTDATA("Suma de pernoctaciones",'[1]TTDD DATOS'!$B$6,"País","Total","categoría","1*","tipología","hotelera","zona","tenerife","municipio","total municipios","Años",[1]ACTUALIZACIÓN!$C$2-1)/GETPIVOTDATA("Suma de turistas",'[1]TTDD DATOS'!$B$6,"País","Total","categoría","1*","tipología","hotelera","zona","tenerife","municipio","total municipios","Años",[1]ACTUALIZACIÓN!$C$2-1))</f>
        <v>2.7056237579640166</v>
      </c>
      <c r="H106" s="152"/>
      <c r="I106" s="70"/>
      <c r="J106" s="67" t="s">
        <v>24</v>
      </c>
      <c r="K106" s="158">
        <f>(GETPIVOTDATA("pernoctaciones",'[1]TTDD DATOS'!$B$49,"País","total","categoría","1*","tipología","hotelera","zona","tenerife","municipio","total municipios","Años",IF([1]ACTUALIZACIÓN!$C$1="enero",[1]ACTUALIZACIÓN!$C$2-1,[1]ACTUALIZACIÓN!$C$2))/GETPIVOTDATA("Suma de turistas",'[1]TTDD DATOS'!$B$49,"País","Total","categoría","1*","tipología","hotelera","zona","tenerife","municipio","total municipios","Años",IF([1]ACTUALIZACIÓN!$C$1="enero",[1]ACTUALIZACIÓN!$C$2-1,[1]ACTUALIZACIÓN!$C$2)))</f>
        <v>4.3165441835454379</v>
      </c>
      <c r="L106" s="113">
        <f>(GETPIVOTDATA("pernoctaciones",'[1]TTDD DATOS'!$B$49,"País","total","categoría","1*","tipología","hotelera","zona","tenerife","municipio","total municipios","Años",IF([1]ACTUALIZACIÓN!$C$1="enero",[1]ACTUALIZACIÓN!$C$2-1,[1]ACTUALIZACIÓN!$C$2))/GETPIVOTDATA("Suma de turistas",'[1]TTDD DATOS'!$B$49,"País","Total","categoría","1*","tipología","hotelera","zona","tenerife","municipio","total municipios","Años",IF([1]ACTUALIZACIÓN!$C$1="enero",[1]ACTUALIZACIÓN!$C$2-1,[1]ACTUALIZACIÓN!$C$2)))-(GETPIVOTDATA("pernoctaciones",'[1]TTDD DATOS'!$B$49,"País","total","categoría","1*","tipología","hotelera","zona","tenerife","municipio","total municipios","Años",IF([1]ACTUALIZACIÓN!$C$1="enero",[1]ACTUALIZACIÓN!$C$2-2,[1]ACTUALIZACIÓN!$C$2-1))/GETPIVOTDATA("Suma de turistas",'[1]TTDD DATOS'!$B$49,"País","Total","categoría","1*","tipología","hotelera","zona","tenerife","municipio","total municipios","Años",IF([1]ACTUALIZACIÓN!$C$1="enero",[1]ACTUALIZACIÓN!$C$2-2,[1]ACTUALIZACIÓN!$C$2-1)))</f>
        <v>1.2978867846063489</v>
      </c>
      <c r="M106" s="39"/>
    </row>
    <row r="107" spans="3:15" ht="5.25" customHeight="1" thickBot="1" x14ac:dyDescent="0.25"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</row>
    <row r="108" spans="3:15" ht="20.100000000000001" customHeight="1" thickBot="1" x14ac:dyDescent="0.25">
      <c r="C108" s="24" t="s">
        <v>27</v>
      </c>
      <c r="D108" s="25"/>
      <c r="E108" s="25"/>
      <c r="F108" s="25"/>
      <c r="G108" s="25"/>
      <c r="H108" s="25"/>
      <c r="I108" s="25"/>
      <c r="J108" s="25"/>
      <c r="K108" s="25"/>
      <c r="L108" s="25"/>
      <c r="M108" s="26"/>
    </row>
    <row r="109" spans="3:15" ht="5.25" customHeight="1" thickBot="1" x14ac:dyDescent="0.25"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159"/>
    </row>
    <row r="110" spans="3:15" ht="33.75" customHeight="1" x14ac:dyDescent="0.2">
      <c r="C110" s="53" t="s">
        <v>7</v>
      </c>
      <c r="D110" s="54"/>
      <c r="E110" s="55" t="s">
        <v>20</v>
      </c>
      <c r="F110" s="141">
        <f>GETPIVOTDATA("Suma de pernoctaciones",'[1]TTDD DATOS'!$B$6,"País","Total","categoría","5*","tipología","hotelera","zona","tenerife","municipio","total municipios","Años",[1]ACTUALIZACIÓN!$C$2)/GETPIVOTDATA("Suma de dias x plazas",'[1]TTDD DATOS'!$B$6,"País","Total","categoría","5*","tipología","hotelera","zona","tenerife","municipio","total municipios","Años",[1]ACTUALIZACIÓN!$C$2)</f>
        <v>0.74082867088362414</v>
      </c>
      <c r="G110" s="57">
        <f>(GETPIVOTDATA("Suma de pernoctaciones",'[1]TTDD DATOS'!$B$6,"País","Total","categoría","5*","tipología","hotelera","zona","tenerife","municipio","total municipios","Años",[1]ACTUALIZACIÓN!$C$2)/GETPIVOTDATA("Suma de dias x plazas",'[1]TTDD DATOS'!$B$6,"País","Total","categoría","5*","tipología","hotelera","zona","tenerife","municipio","total municipios","Años",[1]ACTUALIZACIÓN!$C$2))/(GETPIVOTDATA("Suma de pernoctaciones",'[1]TTDD DATOS'!$B$6,"País","Total","categoría","5*","tipología","hotelera","zona","tenerife","municipio","total municipios","Años",[1]ACTUALIZACIÓN!$C$2-1)/GETPIVOTDATA("Suma de dias x plazas",'[1]TTDD DATOS'!$B$6,"País","Total","categoría","5*","tipología","hotelera","zona","tenerife","municipio","total municipios","Años",[1]ACTUALIZACIÓN!$C$2-1))-1</f>
        <v>0.98434419576805787</v>
      </c>
      <c r="H110" s="151"/>
      <c r="I110" s="59" t="s">
        <v>7</v>
      </c>
      <c r="J110" s="55" t="s">
        <v>20</v>
      </c>
      <c r="K110" s="141">
        <f>GETPIVOTDATA("Suma de pernoctaciones",'[1]TTDD DATOS'!$B$49,"País","Total","categoría","5*","tipología","hotelera","zona","Tenerife","municipio","total municipios","Años",IF([1]ACTUALIZACIÓN!$C$1="enero",[1]ACTUALIZACIÓN!$C$2-1,[1]ACTUALIZACIÓN!$C$2))/(IFERROR(GETPIVOTDATA("Suma de dias x plazas",'[1]TTDD DATOS'!$B$49,"País","Total","categoría","5*","tipología","hotelera","zona","Tenerife","Fecha","enero","municipio","total municipios","Años",IF([1]ACTUALIZACIÓN!$C$1="enero",[1]ACTUALIZACIÓN!$C$2-1,[1]ACTUALIZACIÓN!$C$2)),0)+IFERROR(GETPIVOTDATA("Suma de dias x plazas",'[1]TTDD DATOS'!$B$49,"País","Total","categoría","5*","tipología","hotelera","zona","Tenerife","Fecha","febrero","municipio","total municipios","Años",IF([1]ACTUALIZACIÓN!$C$1="enero",[1]ACTUALIZACIÓN!$C$2-1,[1]ACTUALIZACIÓN!$C$2)),0)+IFERROR(GETPIVOTDATA("Suma de dias x plazas",'[1]TTDD DATOS'!$B$49,"País","Total","categoría","5*","tipología","hotelera","zona","Tenerife","Fecha","marzo","municipio","total municipios","Años",IF([1]ACTUALIZACIÓN!$C$1="enero",[1]ACTUALIZACIÓN!$C$2-1,[1]ACTUALIZACIÓN!$C$2)),0)+IFERROR(GETPIVOTDATA("Suma de dias x plazas",'[1]TTDD DATOS'!$B$49,"País","Total","categoría","5*","tipología","hotelera","zona","Tenerife","Fecha","abril","municipio","total municipios","Años",IF([1]ACTUALIZACIÓN!$C$1="enero",[1]ACTUALIZACIÓN!$C$2-1,[1]ACTUALIZACIÓN!$C$2)),0)+IFERROR(GETPIVOTDATA("Suma de dias x plazas",'[1]TTDD DATOS'!$B$49,"País","Total","categoría","5*","tipología","hotelera","zona","Tenerife","Fecha","mayo","municipio","total municipios","Años",IF([1]ACTUALIZACIÓN!$C$1="enero",[1]ACTUALIZACIÓN!$C$2-1,[1]ACTUALIZACIÓN!$C$2)),0)+IFERROR(GETPIVOTDATA("Suma de dias x plazas",'[1]TTDD DATOS'!$B$49,"País","Total","categoría","5*","tipología","hotelera","zona","Tenerife","Fecha","junio","municipio","total municipios","Años",IF([1]ACTUALIZACIÓN!$C$1="enero",[1]ACTUALIZACIÓN!$C$2-1,[1]ACTUALIZACIÓN!$C$2)),0)+IFERROR(GETPIVOTDATA("Suma de dias x plazas",'[1]TTDD DATOS'!$B$49,"País","Total","categoría","5*","tipología","hotelera","zona","Tenerife","Fecha","julio","municipio","total municipios","Años",IF([1]ACTUALIZACIÓN!$C$1="enero",[1]ACTUALIZACIÓN!$C$2-1,[1]ACTUALIZACIÓN!$C$2)),0)+IFERROR(GETPIVOTDATA("Suma de dias x plazas",'[1]TTDD DATOS'!$B$49,"País","Total","categoría","5*","tipología","hotelera","zona","Tenerife","Fecha","agosto","municipio","total municipios","Años",IF([1]ACTUALIZACIÓN!$C$1="enero",[1]ACTUALIZACIÓN!$C$2-1,[1]ACTUALIZACIÓN!$C$2)),0)+IFERROR(GETPIVOTDATA("Suma de dias x plazas",'[1]TTDD DATOS'!$B$49,"País","Total","categoría","5*","tipología","hotelera","zona","Tenerife","Fecha","septiembre","municipio","total municipios","Años",IF([1]ACTUALIZACIÓN!$C$1="enero",[1]ACTUALIZACIÓN!$C$2-1,[1]ACTUALIZACIÓN!$C$2)),0)+IFERROR(GETPIVOTDATA("Suma de dias x plazas",'[1]TTDD DATOS'!$B$49,"País","Total","categoría","5*","tipología","hotelera","zona","Tenerife","Fecha","octubre","municipio","total municipios","Años",IF([1]ACTUALIZACIÓN!$C$1="enero",[1]ACTUALIZACIÓN!$C$2-1,[1]ACTUALIZACIÓN!$C$2)),0)+IFERROR(GETPIVOTDATA("Suma de dias x plazas",'[1]TTDD DATOS'!$B$49,"País","Total","categoría","5*","tipología","hotelera","zona","Tenerife","Fecha","noviembre","municipio","total municipios","Años",IF([1]ACTUALIZACIÓN!$C$1="enero",[1]ACTUALIZACIÓN!$C$2-1,[1]ACTUALIZACIÓN!$C$2)),0)+IFERROR(GETPIVOTDATA("Suma de dias x plazas",'[1]TTDD DATOS'!$B$49,"País","Total","categoría","5*","tipología","hotelera","zona","Tenerife","Fecha","diciembre","municipio","total municipios","Años",IF([1]ACTUALIZACIÓN!$C$1="enero",[1]ACTUALIZACIÓN!$C$2-1,[1]ACTUALIZACIÓN!$C$2)),0))</f>
        <v>0.68302675638410759</v>
      </c>
      <c r="L110" s="38">
        <f>(GETPIVOTDATA("Suma de pernoctaciones",'[1]TTDD DATOS'!$B$49,"País","Total","categoría","5*","tipología","hotelera","zona","Tenerife","municipio","total municipios","Años",IF([1]ACTUALIZACIÓN!$C$1="enero",[1]ACTUALIZACIÓN!$C$2-1,[1]ACTUALIZACIÓN!$C$2))/(IFERROR(GETPIVOTDATA("Suma de dias x plazas",'[1]TTDD DATOS'!$B$49,"País","Total","categoría","5*","tipología","hotelera","zona","Tenerife","Fecha","enero","municipio","total municipios","Años",IF([1]ACTUALIZACIÓN!$C$1="enero",[1]ACTUALIZACIÓN!$C$2-1,[1]ACTUALIZACIÓN!$C$2)),0)+IFERROR(GETPIVOTDATA("Suma de dias x plazas",'[1]TTDD DATOS'!$B$49,"País","Total","categoría","5*","tipología","hotelera","zona","Tenerife","Fecha","febrero","municipio","total municipios","Años",IF([1]ACTUALIZACIÓN!$C$1="enero",[1]ACTUALIZACIÓN!$C$2-1,[1]ACTUALIZACIÓN!$C$2)),0)+IFERROR(GETPIVOTDATA("Suma de dias x plazas",'[1]TTDD DATOS'!$B$49,"País","Total","categoría","5*","tipología","hotelera","zona","Tenerife","Fecha","marzo","municipio","total municipios","Años",IF([1]ACTUALIZACIÓN!$C$1="enero",[1]ACTUALIZACIÓN!$C$2-1,[1]ACTUALIZACIÓN!$C$2)),0)+IFERROR(GETPIVOTDATA("Suma de dias x plazas",'[1]TTDD DATOS'!$B$49,"País","Total","categoría","5*","tipología","hotelera","zona","Tenerife","Fecha","abril","municipio","total municipios","Años",IF([1]ACTUALIZACIÓN!$C$1="enero",[1]ACTUALIZACIÓN!$C$2-1,[1]ACTUALIZACIÓN!$C$2)),0)+IFERROR(GETPIVOTDATA("Suma de dias x plazas",'[1]TTDD DATOS'!$B$49,"País","Total","categoría","5*","tipología","hotelera","zona","Tenerife","Fecha","mayo","municipio","total municipios","Años",IF([1]ACTUALIZACIÓN!$C$1="enero",[1]ACTUALIZACIÓN!$C$2-1,[1]ACTUALIZACIÓN!$C$2)),0)+IFERROR(GETPIVOTDATA("Suma de dias x plazas",'[1]TTDD DATOS'!$B$49,"País","Total","categoría","5*","tipología","hotelera","zona","Tenerife","Fecha","junio","municipio","total municipios","Años",IF([1]ACTUALIZACIÓN!$C$1="enero",[1]ACTUALIZACIÓN!$C$2-1,[1]ACTUALIZACIÓN!$C$2)),0)+IFERROR(GETPIVOTDATA("Suma de dias x plazas",'[1]TTDD DATOS'!$B$49,"País","Total","categoría","5*","tipología","hotelera","zona","Tenerife","Fecha","julio","municipio","total municipios","Años",IF([1]ACTUALIZACIÓN!$C$1="enero",[1]ACTUALIZACIÓN!$C$2-1,[1]ACTUALIZACIÓN!$C$2)),0)+IFERROR(GETPIVOTDATA("Suma de dias x plazas",'[1]TTDD DATOS'!$B$49,"País","Total","categoría","5*","tipología","hotelera","zona","Tenerife","Fecha","agosto","municipio","total municipios","Años",IF([1]ACTUALIZACIÓN!$C$1="enero",[1]ACTUALIZACIÓN!$C$2-1,[1]ACTUALIZACIÓN!$C$2)),0)+IFERROR(GETPIVOTDATA("Suma de dias x plazas",'[1]TTDD DATOS'!$B$49,"País","Total","categoría","5*","tipología","hotelera","zona","Tenerife","Fecha","septiembre","municipio","total municipios","Años",IF([1]ACTUALIZACIÓN!$C$1="enero",[1]ACTUALIZACIÓN!$C$2-1,[1]ACTUALIZACIÓN!$C$2)),0)+IFERROR(GETPIVOTDATA("Suma de dias x plazas",'[1]TTDD DATOS'!$B$49,"País","Total","categoría","5*","tipología","hotelera","zona","Tenerife","Fecha","octubre","municipio","total municipios","Años",IF([1]ACTUALIZACIÓN!$C$1="enero",[1]ACTUALIZACIÓN!$C$2-1,[1]ACTUALIZACIÓN!$C$2)),0)+IFERROR(GETPIVOTDATA("Suma de dias x plazas",'[1]TTDD DATOS'!$B$49,"País","Total","categoría","5*","tipología","hotelera","zona","Tenerife","Fecha","noviembre","municipio","total municipios","Años",IF([1]ACTUALIZACIÓN!$C$1="enero",[1]ACTUALIZACIÓN!$C$2-1,[1]ACTUALIZACIÓN!$C$2)),0)+IFERROR(GETPIVOTDATA("Suma de dias x plazas",'[1]TTDD DATOS'!$B$49,"País","Total","categoría","5*","tipología","hotelera","zona","Tenerife","Fecha","diciembre","municipio","total municipios","Años",IF([1]ACTUALIZACIÓN!$C$1="enero",[1]ACTUALIZACIÓN!$C$2-1,[1]ACTUALIZACIÓN!$C$2)),0)))/(GETPIVOTDATA("Suma de pernoctaciones",'[1]TTDD DATOS'!$B$49,"País","Total","categoría","5*","tipología","hotelera","zona","Tenerife","municipio","total municipios","Años",IF([1]ACTUALIZACIÓN!$C$1="enero",[1]ACTUALIZACIÓN!$C$2-2,[1]ACTUALIZACIÓN!$C$2-1))/(IFERROR(GETPIVOTDATA("Suma de dias x plazas",'[1]TTDD DATOS'!$B$49,"País","Total","categoría","5*","tipología","hotelera","zona","Tenerife","Fecha","enero","municipio","total municipios","Años",IF([1]ACTUALIZACIÓN!$C$1="enero",[1]ACTUALIZACIÓN!$C$2-2,[1]ACTUALIZACIÓN!$C$2-1)),0)+IFERROR(GETPIVOTDATA("Suma de dias x plazas",'[1]TTDD DATOS'!$B$49,"País","Total","categoría","5*","tipología","hotelera","zona","Tenerife","Fecha","febrero","municipio","total municipios","Años",IF([1]ACTUALIZACIÓN!$C$1="enero",[1]ACTUALIZACIÓN!$C$2-2,[1]ACTUALIZACIÓN!$C$2-1)),0)+IFERROR(GETPIVOTDATA("Suma de dias x plazas",'[1]TTDD DATOS'!$B$49,"País","Total","categoría","5*","tipología","hotelera","zona","Tenerife","Fecha","marzo","municipio","total municipios","Años",IF([1]ACTUALIZACIÓN!$C$1="enero",[1]ACTUALIZACIÓN!$C$2-2,[1]ACTUALIZACIÓN!$C$2-1)),0)+IFERROR(GETPIVOTDATA("Suma de dias x plazas",'[1]TTDD DATOS'!$B$49,"País","Total","categoría","5*","tipología","hotelera","zona","Tenerife","Fecha","abril","municipio","total municipios","Años",IF([1]ACTUALIZACIÓN!$C$1="enero",[1]ACTUALIZACIÓN!$C$2-2,[1]ACTUALIZACIÓN!$C$2-1)),0)+IFERROR(GETPIVOTDATA("Suma de dias x plazas",'[1]TTDD DATOS'!$B$49,"País","Total","categoría","5*","tipología","hotelera","zona","Tenerife","Fecha","mayo","municipio","total municipios","Años",IF([1]ACTUALIZACIÓN!$C$1="enero",[1]ACTUALIZACIÓN!$C$2-2,[1]ACTUALIZACIÓN!$C$2-1)),0)+IFERROR(GETPIVOTDATA("Suma de dias x plazas",'[1]TTDD DATOS'!$B$49,"País","Total","categoría","5*","tipología","hotelera","zona","Tenerife","Fecha","junio","municipio","total municipios","Años",IF([1]ACTUALIZACIÓN!$C$1="enero",[1]ACTUALIZACIÓN!$C$2-2,[1]ACTUALIZACIÓN!$C$2-1)),0)+IFERROR(GETPIVOTDATA("Suma de dias x plazas",'[1]TTDD DATOS'!$B$49,"País","Total","categoría","5*","tipología","hotelera","zona","Tenerife","Fecha","julio","municipio","total municipios","Años",IF([1]ACTUALIZACIÓN!$C$1="enero",[1]ACTUALIZACIÓN!$C$2-2,[1]ACTUALIZACIÓN!$C$2-1)),0)+IFERROR(GETPIVOTDATA("Suma de dias x plazas",'[1]TTDD DATOS'!$B$49,"País","Total","categoría","5*","tipología","hotelera","zona","Tenerife","Fecha","agosto","municipio","total municipios","Años",IF([1]ACTUALIZACIÓN!$C$1="enero",[1]ACTUALIZACIÓN!$C$2-2,[1]ACTUALIZACIÓN!$C$2-1)),0)+IFERROR(GETPIVOTDATA("Suma de dias x plazas",'[1]TTDD DATOS'!$B$49,"País","Total","categoría","5*","tipología","hotelera","zona","Tenerife","Fecha","septiembre","municipio","total municipios","Años",IF([1]ACTUALIZACIÓN!$C$1="enero",[1]ACTUALIZACIÓN!$C$2-2,[1]ACTUALIZACIÓN!$C$2-1)),0)+IFERROR(GETPIVOTDATA("Suma de dias x plazas",'[1]TTDD DATOS'!$B$49,"País","Total","categoría","5*","tipología","hotelera","zona","Tenerife","Fecha","octubre","municipio","total municipios","Años",IF([1]ACTUALIZACIÓN!$C$1="enero",[1]ACTUALIZACIÓN!$C$2-2,[1]ACTUALIZACIÓN!$C$2-1)),0)+IFERROR(GETPIVOTDATA("Suma de dias x plazas",'[1]TTDD DATOS'!$B$49,"País","Total","categoría","5*","tipología","hotelera","zona","Tenerife","Fecha","noviembre","municipio","total municipios","Años",IF([1]ACTUALIZACIÓN!$C$1="enero",[1]ACTUALIZACIÓN!$C$2-2,[1]ACTUALIZACIÓN!$C$2-1)),0)+IFERROR(GETPIVOTDATA("Suma de dias x plazas",'[1]TTDD DATOS'!$B$49,"País","Total","categoría","5*","tipología","hotelera","zona","Tenerife","Fecha","diciembre","municipio","total municipios","Años",IF([1]ACTUALIZACIÓN!$C$1="enero",[1]ACTUALIZACIÓN!$C$2-2,[1]ACTUALIZACIÓN!$C$2-1)),0)))-1</f>
        <v>1.2403328444575599</v>
      </c>
      <c r="M110" s="39" t="s">
        <v>9</v>
      </c>
    </row>
    <row r="111" spans="3:15" ht="33.75" customHeight="1" x14ac:dyDescent="0.2">
      <c r="C111" s="60"/>
      <c r="D111" s="61"/>
      <c r="E111" s="78" t="s">
        <v>21</v>
      </c>
      <c r="F111" s="145">
        <f>GETPIVOTDATA("Suma de pernoctaciones",'[1]TTDD DATOS'!$B$6,"País","Total","categoría","4*","tipología","hotelera","zona","tenerife","municipio","total municipios","Años",[1]ACTUALIZACIÓN!$C$2)/GETPIVOTDATA("Suma de dias x plazas",'[1]TTDD DATOS'!$B$6,"País","Total","categoría","4*","tipología","hotelera","zona","tenerife","municipio","total municipios","Años",[1]ACTUALIZACIÓN!$C$2)</f>
        <v>0.73659415605404355</v>
      </c>
      <c r="G111" s="42">
        <f>(GETPIVOTDATA("Suma de pernoctaciones",'[1]TTDD DATOS'!$B$6,"País","Total","categoría","4*","tipología","hotelera","zona","tenerife","municipio","total municipios","Años",[1]ACTUALIZACIÓN!$C$2)/GETPIVOTDATA("Suma de dias x plazas",'[1]TTDD DATOS'!$B$6,"País","Total","categoría","4*","tipología","hotelera","zona","tenerife","municipio","total municipios","Años",[1]ACTUALIZACIÓN!$C$2))/(GETPIVOTDATA("Suma de pernoctaciones",'[1]TTDD DATOS'!$B$6,"País","Total","categoría","4*","tipología","hotelera","zona","tenerife","municipio","total municipios","Años",[1]ACTUALIZACIÓN!$C$2-1)/GETPIVOTDATA("Suma de dias x plazas",'[1]TTDD DATOS'!$B$6,"País","Total","categoría","4*","tipología","hotelera","zona","tenerife","municipio","total municipios","Años",[1]ACTUALIZACIÓN!$C$2-1))-1</f>
        <v>1.6256769600021994</v>
      </c>
      <c r="H111" s="58"/>
      <c r="I111" s="64"/>
      <c r="J111" s="78" t="s">
        <v>21</v>
      </c>
      <c r="K111" s="145">
        <f>GETPIVOTDATA("Suma de pernoctaciones",'[1]TTDD DATOS'!$B$49,"País","Total","categoría","4*","tipología","hotelera","zona","Tenerife","municipio","total municipios","Años",IF([1]ACTUALIZACIÓN!$C$1="enero",[1]ACTUALIZACIÓN!$C$2-1,[1]ACTUALIZACIÓN!$C$2))/(IFERROR(GETPIVOTDATA("Suma de dias x plazas",'[1]TTDD DATOS'!$B$49,"País","Total","categoría","4*","tipología","hotelera","zona","Tenerife","Fecha","enero","municipio","total municipios","Años",IF([1]ACTUALIZACIÓN!$C$1="enero",[1]ACTUALIZACIÓN!$C$2-1,[1]ACTUALIZACIÓN!$C$2)),0)+IFERROR(GETPIVOTDATA("Suma de dias x plazas",'[1]TTDD DATOS'!$B$49,"País","Total","categoría","4*","tipología","hotelera","zona","Tenerife","Fecha","febrero","municipio","total municipios","Años",IF([1]ACTUALIZACIÓN!$C$1="enero",[1]ACTUALIZACIÓN!$C$2-1,[1]ACTUALIZACIÓN!$C$2)),0)+IFERROR(GETPIVOTDATA("Suma de dias x plazas",'[1]TTDD DATOS'!$B$49,"País","Total","categoría","4*","tipología","hotelera","zona","Tenerife","Fecha","marzo","municipio","total municipios","Años",IF([1]ACTUALIZACIÓN!$C$1="enero",[1]ACTUALIZACIÓN!$C$2-1,[1]ACTUALIZACIÓN!$C$2)),0)+IFERROR(GETPIVOTDATA("Suma de dias x plazas",'[1]TTDD DATOS'!$B$49,"País","Total","categoría","4*","tipología","hotelera","zona","Tenerife","Fecha","abril","municipio","total municipios","Años",IF([1]ACTUALIZACIÓN!$C$1="enero",[1]ACTUALIZACIÓN!$C$2-1,[1]ACTUALIZACIÓN!$C$2)),0)+IFERROR(GETPIVOTDATA("Suma de dias x plazas",'[1]TTDD DATOS'!$B$49,"País","Total","categoría","4*","tipología","hotelera","zona","Tenerife","Fecha","mayo","municipio","total municipios","Años",IF([1]ACTUALIZACIÓN!$C$1="enero",[1]ACTUALIZACIÓN!$C$2-1,[1]ACTUALIZACIÓN!$C$2)),0)+IFERROR(GETPIVOTDATA("Suma de dias x plazas",'[1]TTDD DATOS'!$B$49,"País","Total","categoría","4*","tipología","hotelera","zona","Tenerife","Fecha","junio","municipio","total municipios","Años",IF([1]ACTUALIZACIÓN!$C$1="enero",[1]ACTUALIZACIÓN!$C$2-1,[1]ACTUALIZACIÓN!$C$2)),0)+IFERROR(GETPIVOTDATA("Suma de dias x plazas",'[1]TTDD DATOS'!$B$49,"País","Total","categoría","4*","tipología","hotelera","zona","Tenerife","Fecha","julio","municipio","total municipios","Años",IF([1]ACTUALIZACIÓN!$C$1="enero",[1]ACTUALIZACIÓN!$C$2-1,[1]ACTUALIZACIÓN!$C$2)),0)+IFERROR(GETPIVOTDATA("Suma de dias x plazas",'[1]TTDD DATOS'!$B$49,"País","Total","categoría","4*","tipología","hotelera","zona","Tenerife","Fecha","agosto","municipio","total municipios","Años",IF([1]ACTUALIZACIÓN!$C$1="enero",[1]ACTUALIZACIÓN!$C$2-1,[1]ACTUALIZACIÓN!$C$2)),0)+IFERROR(GETPIVOTDATA("Suma de dias x plazas",'[1]TTDD DATOS'!$B$49,"País","Total","categoría","4*","tipología","hotelera","zona","Tenerife","Fecha","septiembre","municipio","total municipios","Años",IF([1]ACTUALIZACIÓN!$C$1="enero",[1]ACTUALIZACIÓN!$C$2-1,[1]ACTUALIZACIÓN!$C$2)),0)+IFERROR(GETPIVOTDATA("Suma de dias x plazas",'[1]TTDD DATOS'!$B$49,"País","Total","categoría","4*","tipología","hotelera","zona","Tenerife","Fecha","octubre","municipio","total municipios","Años",IF([1]ACTUALIZACIÓN!$C$1="enero",[1]ACTUALIZACIÓN!$C$2-1,[1]ACTUALIZACIÓN!$C$2)),0)+IFERROR(GETPIVOTDATA("Suma de dias x plazas",'[1]TTDD DATOS'!$B$49,"País","Total","categoría","4*","tipología","hotelera","zona","Tenerife","Fecha","noviembre","municipio","total municipios","Años",IF([1]ACTUALIZACIÓN!$C$1="enero",[1]ACTUALIZACIÓN!$C$2-1,[1]ACTUALIZACIÓN!$C$2)),0)+IFERROR(GETPIVOTDATA("Suma de dias x plazas",'[1]TTDD DATOS'!$B$49,"País","Total","categoría","4*","tipología","hotelera","zona","Tenerife","Fecha","diciembre","municipio","total municipios","Años",IF([1]ACTUALIZACIÓN!$C$1="enero",[1]ACTUALIZACIÓN!$C$2-1,[1]ACTUALIZACIÓN!$C$2)),0))</f>
        <v>0.65511256299435505</v>
      </c>
      <c r="L111" s="45">
        <f>(GETPIVOTDATA("Suma de pernoctaciones",'[1]TTDD DATOS'!$B$49,"País","Total","categoría","4*","tipología","hotelera","zona","Tenerife","municipio","total municipios","Años",IF([1]ACTUALIZACIÓN!$C$1="enero",[1]ACTUALIZACIÓN!$C$2-1,[1]ACTUALIZACIÓN!$C$2))/(IFERROR(GETPIVOTDATA("Suma de dias x plazas",'[1]TTDD DATOS'!$B$49,"País","Total","categoría","4*","tipología","hotelera","zona","Tenerife","Fecha","enero","municipio","total municipios","Años",IF([1]ACTUALIZACIÓN!$C$1="enero",[1]ACTUALIZACIÓN!$C$2-1,[1]ACTUALIZACIÓN!$C$2)),0)+IFERROR(GETPIVOTDATA("Suma de dias x plazas",'[1]TTDD DATOS'!$B$49,"País","Total","categoría","4*","tipología","hotelera","zona","Tenerife","Fecha","febrero","municipio","total municipios","Años",IF([1]ACTUALIZACIÓN!$C$1="enero",[1]ACTUALIZACIÓN!$C$2-1,[1]ACTUALIZACIÓN!$C$2)),0)+IFERROR(GETPIVOTDATA("Suma de dias x plazas",'[1]TTDD DATOS'!$B$49,"País","Total","categoría","4*","tipología","hotelera","zona","Tenerife","Fecha","marzo","municipio","total municipios","Años",IF([1]ACTUALIZACIÓN!$C$1="enero",[1]ACTUALIZACIÓN!$C$2-1,[1]ACTUALIZACIÓN!$C$2)),0)+IFERROR(GETPIVOTDATA("Suma de dias x plazas",'[1]TTDD DATOS'!$B$49,"País","Total","categoría","4*","tipología","hotelera","zona","Tenerife","Fecha","abril","municipio","total municipios","Años",IF([1]ACTUALIZACIÓN!$C$1="enero",[1]ACTUALIZACIÓN!$C$2-1,[1]ACTUALIZACIÓN!$C$2)),0)+IFERROR(GETPIVOTDATA("Suma de dias x plazas",'[1]TTDD DATOS'!$B$49,"País","Total","categoría","4*","tipología","hotelera","zona","Tenerife","Fecha","mayo","municipio","total municipios","Años",IF([1]ACTUALIZACIÓN!$C$1="enero",[1]ACTUALIZACIÓN!$C$2-1,[1]ACTUALIZACIÓN!$C$2)),0)+IFERROR(GETPIVOTDATA("Suma de dias x plazas",'[1]TTDD DATOS'!$B$49,"País","Total","categoría","4*","tipología","hotelera","zona","Tenerife","Fecha","junio","municipio","total municipios","Años",IF([1]ACTUALIZACIÓN!$C$1="enero",[1]ACTUALIZACIÓN!$C$2-1,[1]ACTUALIZACIÓN!$C$2)),0)+IFERROR(GETPIVOTDATA("Suma de dias x plazas",'[1]TTDD DATOS'!$B$49,"País","Total","categoría","4*","tipología","hotelera","zona","Tenerife","Fecha","julio","municipio","total municipios","Años",IF([1]ACTUALIZACIÓN!$C$1="enero",[1]ACTUALIZACIÓN!$C$2-1,[1]ACTUALIZACIÓN!$C$2)),0)+IFERROR(GETPIVOTDATA("Suma de dias x plazas",'[1]TTDD DATOS'!$B$49,"País","Total","categoría","4*","tipología","hotelera","zona","Tenerife","Fecha","agosto","municipio","total municipios","Años",IF([1]ACTUALIZACIÓN!$C$1="enero",[1]ACTUALIZACIÓN!$C$2-1,[1]ACTUALIZACIÓN!$C$2)),0)+IFERROR(GETPIVOTDATA("Suma de dias x plazas",'[1]TTDD DATOS'!$B$49,"País","Total","categoría","4*","tipología","hotelera","zona","Tenerife","Fecha","septiembre","municipio","total municipios","Años",IF([1]ACTUALIZACIÓN!$C$1="enero",[1]ACTUALIZACIÓN!$C$2-1,[1]ACTUALIZACIÓN!$C$2)),0)+IFERROR(GETPIVOTDATA("Suma de dias x plazas",'[1]TTDD DATOS'!$B$49,"País","Total","categoría","4*","tipología","hotelera","zona","Tenerife","Fecha","octubre","municipio","total municipios","Años",IF([1]ACTUALIZACIÓN!$C$1="enero",[1]ACTUALIZACIÓN!$C$2-1,[1]ACTUALIZACIÓN!$C$2)),0)+IFERROR(GETPIVOTDATA("Suma de dias x plazas",'[1]TTDD DATOS'!$B$49,"País","Total","categoría","4*","tipología","hotelera","zona","Tenerife","Fecha","noviembre","municipio","total municipios","Años",IF([1]ACTUALIZACIÓN!$C$1="enero",[1]ACTUALIZACIÓN!$C$2-1,[1]ACTUALIZACIÓN!$C$2)),0)+IFERROR(GETPIVOTDATA("Suma de dias x plazas",'[1]TTDD DATOS'!$B$49,"País","Total","categoría","4*","tipología","hotelera","zona","Tenerife","Fecha","diciembre","municipio","total municipios","Años",IF([1]ACTUALIZACIÓN!$C$1="enero",[1]ACTUALIZACIÓN!$C$2-1,[1]ACTUALIZACIÓN!$C$2)),0)))/(GETPIVOTDATA("Suma de pernoctaciones",'[1]TTDD DATOS'!$B$49,"País","Total","categoría","4*","tipología","hotelera","zona","Tenerife","municipio","total municipios","Años",IF([1]ACTUALIZACIÓN!$C$1="enero",[1]ACTUALIZACIÓN!$C$2-2,[1]ACTUALIZACIÓN!$C$2-1))/(IFERROR(GETPIVOTDATA("Suma de dias x plazas",'[1]TTDD DATOS'!$B$49,"País","Total","categoría","4*","tipología","hotelera","zona","Tenerife","Fecha","enero","municipio","total municipios","Años",IF([1]ACTUALIZACIÓN!$C$1="enero",[1]ACTUALIZACIÓN!$C$2-2,[1]ACTUALIZACIÓN!$C$2-1)),0)+IFERROR(GETPIVOTDATA("Suma de dias x plazas",'[1]TTDD DATOS'!$B$49,"País","Total","categoría","4*","tipología","hotelera","zona","Tenerife","Fecha","febrero","municipio","total municipios","Años",IF([1]ACTUALIZACIÓN!$C$1="enero",[1]ACTUALIZACIÓN!$C$2-2,[1]ACTUALIZACIÓN!$C$2-1)),0)+IFERROR(GETPIVOTDATA("Suma de dias x plazas",'[1]TTDD DATOS'!$B$49,"País","Total","categoría","4*","tipología","hotelera","zona","Tenerife","Fecha","marzo","municipio","total municipios","Años",IF([1]ACTUALIZACIÓN!$C$1="enero",[1]ACTUALIZACIÓN!$C$2-2,[1]ACTUALIZACIÓN!$C$2-1)),0)+IFERROR(GETPIVOTDATA("Suma de dias x plazas",'[1]TTDD DATOS'!$B$49,"País","Total","categoría","4*","tipología","hotelera","zona","Tenerife","Fecha","abril","municipio","total municipios","Años",IF([1]ACTUALIZACIÓN!$C$1="enero",[1]ACTUALIZACIÓN!$C$2-2,[1]ACTUALIZACIÓN!$C$2-1)),0)+IFERROR(GETPIVOTDATA("Suma de dias x plazas",'[1]TTDD DATOS'!$B$49,"País","Total","categoría","4*","tipología","hotelera","zona","Tenerife","Fecha","mayo","municipio","total municipios","Años",IF([1]ACTUALIZACIÓN!$C$1="enero",[1]ACTUALIZACIÓN!$C$2-2,[1]ACTUALIZACIÓN!$C$2-1)),0)+IFERROR(GETPIVOTDATA("Suma de dias x plazas",'[1]TTDD DATOS'!$B$49,"País","Total","categoría","4*","tipología","hotelera","zona","Tenerife","Fecha","junio","municipio","total municipios","Años",IF([1]ACTUALIZACIÓN!$C$1="enero",[1]ACTUALIZACIÓN!$C$2-2,[1]ACTUALIZACIÓN!$C$2-1)),0)+IFERROR(GETPIVOTDATA("Suma de dias x plazas",'[1]TTDD DATOS'!$B$49,"País","Total","categoría","4*","tipología","hotelera","zona","Tenerife","Fecha","julio","municipio","total municipios","Años",IF([1]ACTUALIZACIÓN!$C$1="enero",[1]ACTUALIZACIÓN!$C$2-2,[1]ACTUALIZACIÓN!$C$2-1)),0)+IFERROR(GETPIVOTDATA("Suma de dias x plazas",'[1]TTDD DATOS'!$B$49,"País","Total","categoría","4*","tipología","hotelera","zona","Tenerife","Fecha","agosto","municipio","total municipios","Años",IF([1]ACTUALIZACIÓN!$C$1="enero",[1]ACTUALIZACIÓN!$C$2-2,[1]ACTUALIZACIÓN!$C$2-1)),0)+IFERROR(GETPIVOTDATA("Suma de dias x plazas",'[1]TTDD DATOS'!$B$49,"País","Total","categoría","4*","tipología","hotelera","zona","Tenerife","Fecha","septiembre","municipio","total municipios","Años",IF([1]ACTUALIZACIÓN!$C$1="enero",[1]ACTUALIZACIÓN!$C$2-2,[1]ACTUALIZACIÓN!$C$2-1)),0)+IFERROR(GETPIVOTDATA("Suma de dias x plazas",'[1]TTDD DATOS'!$B$49,"País","Total","categoría","4*","tipología","hotelera","zona","Tenerife","Fecha","octubre","municipio","total municipios","Años",IF([1]ACTUALIZACIÓN!$C$1="enero",[1]ACTUALIZACIÓN!$C$2-2,[1]ACTUALIZACIÓN!$C$2-1)),0)+IFERROR(GETPIVOTDATA("Suma de dias x plazas",'[1]TTDD DATOS'!$B$49,"País","Total","categoría","4*","tipología","hotelera","zona","Tenerife","Fecha","noviembre","municipio","total municipios","Años",IF([1]ACTUALIZACIÓN!$C$1="enero",[1]ACTUALIZACIÓN!$C$2-2,[1]ACTUALIZACIÓN!$C$2-1)),0)+IFERROR(GETPIVOTDATA("Suma de dias x plazas",'[1]TTDD DATOS'!$B$49,"País","Total","categoría","4*","tipología","hotelera","zona","Tenerife","Fecha","diciembre","municipio","total municipios","Años",IF([1]ACTUALIZACIÓN!$C$1="enero",[1]ACTUALIZACIÓN!$C$2-2,[1]ACTUALIZACIÓN!$C$2-1)),0)))-1</f>
        <v>2.1407937909753496</v>
      </c>
      <c r="M111" s="39"/>
    </row>
    <row r="112" spans="3:15" ht="33.75" customHeight="1" x14ac:dyDescent="0.2">
      <c r="C112" s="60"/>
      <c r="D112" s="61"/>
      <c r="E112" s="62" t="s">
        <v>22</v>
      </c>
      <c r="F112" s="142">
        <f>GETPIVOTDATA("Suma de pernoctaciones",'[1]TTDD DATOS'!$B$6,"País","Total","categoría","3*","tipología","hotelera","zona","tenerife","municipio","total municipios","Años",[1]ACTUALIZACIÓN!$C$2)/GETPIVOTDATA("Suma de dias x plazas",'[1]TTDD DATOS'!$B$6,"País","Total","categoría","3*","tipología","hotelera","zona","tenerife","municipio","total municipios","Años",[1]ACTUALIZACIÓN!$C$2)</f>
        <v>0.71384049312082121</v>
      </c>
      <c r="G112" s="42">
        <f>(GETPIVOTDATA("Suma de pernoctaciones",'[1]TTDD DATOS'!$B$6,"País","Total","categoría","3*","tipología","hotelera","zona","tenerife","municipio","total municipios","Años",[1]ACTUALIZACIÓN!$C$2)/GETPIVOTDATA("Suma de dias x plazas",'[1]TTDD DATOS'!$B$6,"País","Total","categoría","3*","tipología","hotelera","zona","tenerife","municipio","total municipios","Años",[1]ACTUALIZACIÓN!$C$2))/(GETPIVOTDATA("Suma de pernoctaciones",'[1]TTDD DATOS'!$B$6,"País","Total","categoría","3*","tipología","hotelera","zona","tenerife","municipio","total municipios","Años",[1]ACTUALIZACIÓN!$C$2-1)/GETPIVOTDATA("Suma de dias x plazas",'[1]TTDD DATOS'!$B$6,"País","Total","categoría","3*","tipología","hotelera","zona","tenerife","municipio","total municipios","Años",[1]ACTUALIZACIÓN!$C$2-1))-1</f>
        <v>2.0771370285509025</v>
      </c>
      <c r="H112" s="58"/>
      <c r="I112" s="64"/>
      <c r="J112" s="62" t="s">
        <v>22</v>
      </c>
      <c r="K112" s="142">
        <f>GETPIVOTDATA("Suma de pernoctaciones",'[1]TTDD DATOS'!$B$49,"País","Total","categoría","3*","tipología","hotelera","zona","Tenerife","municipio","total municipios","Años",IF([1]ACTUALIZACIÓN!$C$1="enero",[1]ACTUALIZACIÓN!$C$2-1,[1]ACTUALIZACIÓN!$C$2))/(IFERROR(GETPIVOTDATA("Suma de dias x plazas",'[1]TTDD DATOS'!$B$49,"País","Total","categoría","3*","tipología","hotelera","zona","Tenerife","Fecha","enero","municipio","total municipios","Años",IF([1]ACTUALIZACIÓN!$C$1="enero",[1]ACTUALIZACIÓN!$C$2-1,[1]ACTUALIZACIÓN!$C$2)),0)+IFERROR(GETPIVOTDATA("Suma de dias x plazas",'[1]TTDD DATOS'!$B$49,"País","Total","categoría","3*","tipología","hotelera","zona","Tenerife","Fecha","febrero","municipio","total municipios","Años",IF([1]ACTUALIZACIÓN!$C$1="enero",[1]ACTUALIZACIÓN!$C$2-1,[1]ACTUALIZACIÓN!$C$2)),0)+IFERROR(GETPIVOTDATA("Suma de dias x plazas",'[1]TTDD DATOS'!$B$49,"País","Total","categoría","3*","tipología","hotelera","zona","Tenerife","Fecha","marzo","municipio","total municipios","Años",IF([1]ACTUALIZACIÓN!$C$1="enero",[1]ACTUALIZACIÓN!$C$2-1,[1]ACTUALIZACIÓN!$C$2)),0)+IFERROR(GETPIVOTDATA("Suma de dias x plazas",'[1]TTDD DATOS'!$B$49,"País","Total","categoría","3*","tipología","hotelera","zona","Tenerife","Fecha","abril","municipio","total municipios","Años",IF([1]ACTUALIZACIÓN!$C$1="enero",[1]ACTUALIZACIÓN!$C$2-1,[1]ACTUALIZACIÓN!$C$2)),0)+IFERROR(GETPIVOTDATA("Suma de dias x plazas",'[1]TTDD DATOS'!$B$49,"País","Total","categoría","3*","tipología","hotelera","zona","Tenerife","Fecha","mayo","municipio","total municipios","Años",IF([1]ACTUALIZACIÓN!$C$1="enero",[1]ACTUALIZACIÓN!$C$2-1,[1]ACTUALIZACIÓN!$C$2)),0)+IFERROR(GETPIVOTDATA("Suma de dias x plazas",'[1]TTDD DATOS'!$B$49,"País","Total","categoría","3*","tipología","hotelera","zona","Tenerife","Fecha","junio","municipio","total municipios","Años",IF([1]ACTUALIZACIÓN!$C$1="enero",[1]ACTUALIZACIÓN!$C$2-1,[1]ACTUALIZACIÓN!$C$2)),0)+IFERROR(GETPIVOTDATA("Suma de dias x plazas",'[1]TTDD DATOS'!$B$49,"País","Total","categoría","3*","tipología","hotelera","zona","Tenerife","Fecha","julio","municipio","total municipios","Años",IF([1]ACTUALIZACIÓN!$C$1="enero",[1]ACTUALIZACIÓN!$C$2-1,[1]ACTUALIZACIÓN!$C$2)),0)+IFERROR(GETPIVOTDATA("Suma de dias x plazas",'[1]TTDD DATOS'!$B$49,"País","Total","categoría","3*","tipología","hotelera","zona","Tenerife","Fecha","agosto","municipio","total municipios","Años",IF([1]ACTUALIZACIÓN!$C$1="enero",[1]ACTUALIZACIÓN!$C$2-1,[1]ACTUALIZACIÓN!$C$2)),0)+IFERROR(GETPIVOTDATA("Suma de dias x plazas",'[1]TTDD DATOS'!$B$49,"País","Total","categoría","3*","tipología","hotelera","zona","Tenerife","Fecha","septiembre","municipio","total municipios","Años",IF([1]ACTUALIZACIÓN!$C$1="enero",[1]ACTUALIZACIÓN!$C$2-1,[1]ACTUALIZACIÓN!$C$2)),0)+IFERROR(GETPIVOTDATA("Suma de dias x plazas",'[1]TTDD DATOS'!$B$49,"País","Total","categoría","3*","tipología","hotelera","zona","Tenerife","Fecha","octubre","municipio","total municipios","Años",IF([1]ACTUALIZACIÓN!$C$1="enero",[1]ACTUALIZACIÓN!$C$2-1,[1]ACTUALIZACIÓN!$C$2)),0)+IFERROR(GETPIVOTDATA("Suma de dias x plazas",'[1]TTDD DATOS'!$B$49,"País","Total","categoría","3*","tipología","hotelera","zona","Tenerife","Fecha","noviembre","municipio","total municipios","Años",IF([1]ACTUALIZACIÓN!$C$1="enero",[1]ACTUALIZACIÓN!$C$2-1,[1]ACTUALIZACIÓN!$C$2)),0)+IFERROR(GETPIVOTDATA("Suma de dias x plazas",'[1]TTDD DATOS'!$B$49,"País","Total","categoría","3*","tipología","hotelera","zona","Tenerife","Fecha","diciembre","municipio","total municipios","Años",IF([1]ACTUALIZACIÓN!$C$1="enero",[1]ACTUALIZACIÓN!$C$2-1,[1]ACTUALIZACIÓN!$C$2)),0))</f>
        <v>0.63073953623648238</v>
      </c>
      <c r="L112" s="45">
        <f>(GETPIVOTDATA("Suma de pernoctaciones",'[1]TTDD DATOS'!$B$49,"País","Total","categoría","3*","tipología","hotelera","zona","Tenerife","municipio","total municipios","Años",IF([1]ACTUALIZACIÓN!$C$1="enero",[1]ACTUALIZACIÓN!$C$2-1,[1]ACTUALIZACIÓN!$C$2))/(IFERROR(GETPIVOTDATA("Suma de dias x plazas",'[1]TTDD DATOS'!$B$49,"País","Total","categoría","3*","tipología","hotelera","zona","Tenerife","Fecha","enero","municipio","total municipios","Años",IF([1]ACTUALIZACIÓN!$C$1="enero",[1]ACTUALIZACIÓN!$C$2-1,[1]ACTUALIZACIÓN!$C$2)),0)+IFERROR(GETPIVOTDATA("Suma de dias x plazas",'[1]TTDD DATOS'!$B$49,"País","Total","categoría","3*","tipología","hotelera","zona","Tenerife","Fecha","febrero","municipio","total municipios","Años",IF([1]ACTUALIZACIÓN!$C$1="enero",[1]ACTUALIZACIÓN!$C$2-1,[1]ACTUALIZACIÓN!$C$2)),0)+IFERROR(GETPIVOTDATA("Suma de dias x plazas",'[1]TTDD DATOS'!$B$49,"País","Total","categoría","3*","tipología","hotelera","zona","Tenerife","Fecha","marzo","municipio","total municipios","Años",IF([1]ACTUALIZACIÓN!$C$1="enero",[1]ACTUALIZACIÓN!$C$2-1,[1]ACTUALIZACIÓN!$C$2)),0)+IFERROR(GETPIVOTDATA("Suma de dias x plazas",'[1]TTDD DATOS'!$B$49,"País","Total","categoría","3*","tipología","hotelera","zona","Tenerife","Fecha","abril","municipio","total municipios","Años",IF([1]ACTUALIZACIÓN!$C$1="enero",[1]ACTUALIZACIÓN!$C$2-1,[1]ACTUALIZACIÓN!$C$2)),0)+IFERROR(GETPIVOTDATA("Suma de dias x plazas",'[1]TTDD DATOS'!$B$49,"País","Total","categoría","3*","tipología","hotelera","zona","Tenerife","Fecha","mayo","municipio","total municipios","Años",IF([1]ACTUALIZACIÓN!$C$1="enero",[1]ACTUALIZACIÓN!$C$2-1,[1]ACTUALIZACIÓN!$C$2)),0)+IFERROR(GETPIVOTDATA("Suma de dias x plazas",'[1]TTDD DATOS'!$B$49,"País","Total","categoría","3*","tipología","hotelera","zona","Tenerife","Fecha","junio","municipio","total municipios","Años",IF([1]ACTUALIZACIÓN!$C$1="enero",[1]ACTUALIZACIÓN!$C$2-1,[1]ACTUALIZACIÓN!$C$2)),0)+IFERROR(GETPIVOTDATA("Suma de dias x plazas",'[1]TTDD DATOS'!$B$49,"País","Total","categoría","3*","tipología","hotelera","zona","Tenerife","Fecha","julio","municipio","total municipios","Años",IF([1]ACTUALIZACIÓN!$C$1="enero",[1]ACTUALIZACIÓN!$C$2-1,[1]ACTUALIZACIÓN!$C$2)),0)+IFERROR(GETPIVOTDATA("Suma de dias x plazas",'[1]TTDD DATOS'!$B$49,"País","Total","categoría","3*","tipología","hotelera","zona","Tenerife","Fecha","agosto","municipio","total municipios","Años",IF([1]ACTUALIZACIÓN!$C$1="enero",[1]ACTUALIZACIÓN!$C$2-1,[1]ACTUALIZACIÓN!$C$2)),0)+IFERROR(GETPIVOTDATA("Suma de dias x plazas",'[1]TTDD DATOS'!$B$49,"País","Total","categoría","3*","tipología","hotelera","zona","Tenerife","Fecha","septiembre","municipio","total municipios","Años",IF([1]ACTUALIZACIÓN!$C$1="enero",[1]ACTUALIZACIÓN!$C$2-1,[1]ACTUALIZACIÓN!$C$2)),0)+IFERROR(GETPIVOTDATA("Suma de dias x plazas",'[1]TTDD DATOS'!$B$49,"País","Total","categoría","3*","tipología","hotelera","zona","Tenerife","Fecha","octubre","municipio","total municipios","Años",IF([1]ACTUALIZACIÓN!$C$1="enero",[1]ACTUALIZACIÓN!$C$2-1,[1]ACTUALIZACIÓN!$C$2)),0)+IFERROR(GETPIVOTDATA("Suma de dias x plazas",'[1]TTDD DATOS'!$B$49,"País","Total","categoría","3*","tipología","hotelera","zona","Tenerife","Fecha","noviembre","municipio","total municipios","Años",IF([1]ACTUALIZACIÓN!$C$1="enero",[1]ACTUALIZACIÓN!$C$2-1,[1]ACTUALIZACIÓN!$C$2)),0)+IFERROR(GETPIVOTDATA("Suma de dias x plazas",'[1]TTDD DATOS'!$B$49,"País","Total","categoría","3*","tipología","hotelera","zona","Tenerife","Fecha","diciembre","municipio","total municipios","Años",IF([1]ACTUALIZACIÓN!$C$1="enero",[1]ACTUALIZACIÓN!$C$2-1,[1]ACTUALIZACIÓN!$C$2)),0)))/(GETPIVOTDATA("Suma de pernoctaciones",'[1]TTDD DATOS'!$B$49,"País","Total","categoría","3*","tipología","hotelera","zona","Tenerife","municipio","total municipios","Años",IF([1]ACTUALIZACIÓN!$C$1="enero",[1]ACTUALIZACIÓN!$C$2-2,[1]ACTUALIZACIÓN!$C$2-1))/(IFERROR(GETPIVOTDATA("Suma de dias x plazas",'[1]TTDD DATOS'!$B$49,"País","Total","categoría","3*","tipología","hotelera","zona","Tenerife","Fecha","enero","municipio","total municipios","Años",IF([1]ACTUALIZACIÓN!$C$1="enero",[1]ACTUALIZACIÓN!$C$2-2,[1]ACTUALIZACIÓN!$C$2-1)),0)+IFERROR(GETPIVOTDATA("Suma de dias x plazas",'[1]TTDD DATOS'!$B$49,"País","Total","categoría","3*","tipología","hotelera","zona","Tenerife","Fecha","febrero","municipio","total municipios","Años",IF([1]ACTUALIZACIÓN!$C$1="enero",[1]ACTUALIZACIÓN!$C$2-2,[1]ACTUALIZACIÓN!$C$2-1)),0)+IFERROR(GETPIVOTDATA("Suma de dias x plazas",'[1]TTDD DATOS'!$B$49,"País","Total","categoría","3*","tipología","hotelera","zona","Tenerife","Fecha","marzo","municipio","total municipios","Años",IF([1]ACTUALIZACIÓN!$C$1="enero",[1]ACTUALIZACIÓN!$C$2-2,[1]ACTUALIZACIÓN!$C$2-1)),0)+IFERROR(GETPIVOTDATA("Suma de dias x plazas",'[1]TTDD DATOS'!$B$49,"País","Total","categoría","3*","tipología","hotelera","zona","Tenerife","Fecha","abril","municipio","total municipios","Años",IF([1]ACTUALIZACIÓN!$C$1="enero",[1]ACTUALIZACIÓN!$C$2-2,[1]ACTUALIZACIÓN!$C$2-1)),0)+IFERROR(GETPIVOTDATA("Suma de dias x plazas",'[1]TTDD DATOS'!$B$49,"País","Total","categoría","3*","tipología","hotelera","zona","Tenerife","Fecha","mayo","municipio","total municipios","Años",IF([1]ACTUALIZACIÓN!$C$1="enero",[1]ACTUALIZACIÓN!$C$2-2,[1]ACTUALIZACIÓN!$C$2-1)),0)+IFERROR(GETPIVOTDATA("Suma de dias x plazas",'[1]TTDD DATOS'!$B$49,"País","Total","categoría","3*","tipología","hotelera","zona","Tenerife","Fecha","junio","municipio","total municipios","Años",IF([1]ACTUALIZACIÓN!$C$1="enero",[1]ACTUALIZACIÓN!$C$2-2,[1]ACTUALIZACIÓN!$C$2-1)),0)+IFERROR(GETPIVOTDATA("Suma de dias x plazas",'[1]TTDD DATOS'!$B$49,"País","Total","categoría","3*","tipología","hotelera","zona","Tenerife","Fecha","julio","municipio","total municipios","Años",IF([1]ACTUALIZACIÓN!$C$1="enero",[1]ACTUALIZACIÓN!$C$2-2,[1]ACTUALIZACIÓN!$C$2-1)),0)+IFERROR(GETPIVOTDATA("Suma de dias x plazas",'[1]TTDD DATOS'!$B$49,"País","Total","categoría","3*","tipología","hotelera","zona","Tenerife","Fecha","agosto","municipio","total municipios","Años",IF([1]ACTUALIZACIÓN!$C$1="enero",[1]ACTUALIZACIÓN!$C$2-2,[1]ACTUALIZACIÓN!$C$2-1)),0)+IFERROR(GETPIVOTDATA("Suma de dias x plazas",'[1]TTDD DATOS'!$B$49,"País","Total","categoría","3*","tipología","hotelera","zona","Tenerife","Fecha","septiembre","municipio","total municipios","Años",IF([1]ACTUALIZACIÓN!$C$1="enero",[1]ACTUALIZACIÓN!$C$2-2,[1]ACTUALIZACIÓN!$C$2-1)),0)+IFERROR(GETPIVOTDATA("Suma de dias x plazas",'[1]TTDD DATOS'!$B$49,"País","Total","categoría","3*","tipología","hotelera","zona","Tenerife","Fecha","octubre","municipio","total municipios","Años",IF([1]ACTUALIZACIÓN!$C$1="enero",[1]ACTUALIZACIÓN!$C$2-2,[1]ACTUALIZACIÓN!$C$2-1)),0)+IFERROR(GETPIVOTDATA("Suma de dias x plazas",'[1]TTDD DATOS'!$B$49,"País","Total","categoría","3*","tipología","hotelera","zona","Tenerife","Fecha","noviembre","municipio","total municipios","Años",IF([1]ACTUALIZACIÓN!$C$1="enero",[1]ACTUALIZACIÓN!$C$2-2,[1]ACTUALIZACIÓN!$C$2-1)),0)+IFERROR(GETPIVOTDATA("Suma de dias x plazas",'[1]TTDD DATOS'!$B$49,"País","Total","categoría","3*","tipología","hotelera","zona","Tenerife","Fecha","diciembre","municipio","total municipios","Años",IF([1]ACTUALIZACIÓN!$C$1="enero",[1]ACTUALIZACIÓN!$C$2-2,[1]ACTUALIZACIÓN!$C$2-1)),0)))-1</f>
        <v>2.4738415496464206</v>
      </c>
      <c r="M112" s="39"/>
    </row>
    <row r="113" spans="3:13" ht="33.75" customHeight="1" x14ac:dyDescent="0.2">
      <c r="C113" s="60"/>
      <c r="D113" s="61"/>
      <c r="E113" s="78" t="s">
        <v>23</v>
      </c>
      <c r="F113" s="145">
        <f>GETPIVOTDATA("Suma de pernoctaciones",'[1]TTDD DATOS'!$B$6,"País","Total","categoría","2*","tipología","hotelera","zona","tenerife","municipio","total municipios","Años",[1]ACTUALIZACIÓN!$C$2)/GETPIVOTDATA("Suma de dias x plazas",'[1]TTDD DATOS'!$B$6,"País","Total","categoría","2*","tipología","hotelera","zona","tenerife","municipio","total municipios","Años",[1]ACTUALIZACIÓN!$C$2)</f>
        <v>0.58852473118279569</v>
      </c>
      <c r="G113" s="42">
        <f>(GETPIVOTDATA("Suma de pernoctaciones",'[1]TTDD DATOS'!$B$6,"País","Total","categoría","2*","tipología","hotelera","zona","tenerife","municipio","total municipios","Años",[1]ACTUALIZACIÓN!$C$2)/GETPIVOTDATA("Suma de dias x plazas",'[1]TTDD DATOS'!$B$6,"País","Total","categoría","2*","tipología","hotelera","zona","tenerife","municipio","total municipios","Años",[1]ACTUALIZACIÓN!$C$2))/(GETPIVOTDATA("Suma de pernoctaciones",'[1]TTDD DATOS'!$B$6,"País","Total","categoría","2*","tipología","hotelera","zona","tenerife","municipio","total municipios","Años",[1]ACTUALIZACIÓN!$C$2-1)/GETPIVOTDATA("Suma de dias x plazas",'[1]TTDD DATOS'!$B$6,"País","Total","categoría","2*","tipología","hotelera","zona","tenerife","municipio","total municipios","Años",[1]ACTUALIZACIÓN!$C$2-1))-1</f>
        <v>1.2851834158656184</v>
      </c>
      <c r="H113" s="58"/>
      <c r="I113" s="64"/>
      <c r="J113" s="78" t="s">
        <v>23</v>
      </c>
      <c r="K113" s="145">
        <f>GETPIVOTDATA("Suma de pernoctaciones",'[1]TTDD DATOS'!$B$49,"País","Total","categoría","2*","tipología","hotelera","zona","Tenerife","municipio","total municipios","Años",IF([1]ACTUALIZACIÓN!$C$1="enero",[1]ACTUALIZACIÓN!$C$2-1,[1]ACTUALIZACIÓN!$C$2))/(IFERROR(GETPIVOTDATA("Suma de dias x plazas",'[1]TTDD DATOS'!$B$49,"País","Total","categoría","2*","tipología","hotelera","zona","Tenerife","Fecha","enero","municipio","total municipios","Años",IF([1]ACTUALIZACIÓN!$C$1="enero",[1]ACTUALIZACIÓN!$C$2-1,[1]ACTUALIZACIÓN!$C$2)),0)+IFERROR(GETPIVOTDATA("Suma de dias x plazas",'[1]TTDD DATOS'!$B$49,"País","Total","categoría","2*","tipología","hotelera","zona","Tenerife","Fecha","febrero","municipio","total municipios","Años",IF([1]ACTUALIZACIÓN!$C$1="enero",[1]ACTUALIZACIÓN!$C$2-1,[1]ACTUALIZACIÓN!$C$2)),0)+IFERROR(GETPIVOTDATA("Suma de dias x plazas",'[1]TTDD DATOS'!$B$49,"País","Total","categoría","2*","tipología","hotelera","zona","Tenerife","Fecha","marzo","municipio","total municipios","Años",IF([1]ACTUALIZACIÓN!$C$1="enero",[1]ACTUALIZACIÓN!$C$2-1,[1]ACTUALIZACIÓN!$C$2)),0)+IFERROR(GETPIVOTDATA("Suma de dias x plazas",'[1]TTDD DATOS'!$B$49,"País","Total","categoría","2*","tipología","hotelera","zona","Tenerife","Fecha","abril","municipio","total municipios","Años",IF([1]ACTUALIZACIÓN!$C$1="enero",[1]ACTUALIZACIÓN!$C$2-1,[1]ACTUALIZACIÓN!$C$2)),0)+IFERROR(GETPIVOTDATA("Suma de dias x plazas",'[1]TTDD DATOS'!$B$49,"País","Total","categoría","2*","tipología","hotelera","zona","Tenerife","Fecha","mayo","municipio","total municipios","Años",IF([1]ACTUALIZACIÓN!$C$1="enero",[1]ACTUALIZACIÓN!$C$2-1,[1]ACTUALIZACIÓN!$C$2)),0)+IFERROR(GETPIVOTDATA("Suma de dias x plazas",'[1]TTDD DATOS'!$B$49,"País","Total","categoría","2*","tipología","hotelera","zona","Tenerife","Fecha","junio","municipio","total municipios","Años",IF([1]ACTUALIZACIÓN!$C$1="enero",[1]ACTUALIZACIÓN!$C$2-1,[1]ACTUALIZACIÓN!$C$2)),0)+IFERROR(GETPIVOTDATA("Suma de dias x plazas",'[1]TTDD DATOS'!$B$49,"País","Total","categoría","2*","tipología","hotelera","zona","Tenerife","Fecha","julio","municipio","total municipios","Años",IF([1]ACTUALIZACIÓN!$C$1="enero",[1]ACTUALIZACIÓN!$C$2-1,[1]ACTUALIZACIÓN!$C$2)),0)+IFERROR(GETPIVOTDATA("Suma de dias x plazas",'[1]TTDD DATOS'!$B$49,"País","Total","categoría","2*","tipología","hotelera","zona","Tenerife","Fecha","agosto","municipio","total municipios","Años",IF([1]ACTUALIZACIÓN!$C$1="enero",[1]ACTUALIZACIÓN!$C$2-1,[1]ACTUALIZACIÓN!$C$2)),0)+IFERROR(GETPIVOTDATA("Suma de dias x plazas",'[1]TTDD DATOS'!$B$49,"País","Total","categoría","2*","tipología","hotelera","zona","Tenerife","Fecha","septiembre","municipio","total municipios","Años",IF([1]ACTUALIZACIÓN!$C$1="enero",[1]ACTUALIZACIÓN!$C$2-1,[1]ACTUALIZACIÓN!$C$2)),0)+IFERROR(GETPIVOTDATA("Suma de dias x plazas",'[1]TTDD DATOS'!$B$49,"País","Total","categoría","2*","tipología","hotelera","zona","Tenerife","Fecha","octubre","municipio","total municipios","Años",IF([1]ACTUALIZACIÓN!$C$1="enero",[1]ACTUALIZACIÓN!$C$2-1,[1]ACTUALIZACIÓN!$C$2)),0)+IFERROR(GETPIVOTDATA("Suma de dias x plazas",'[1]TTDD DATOS'!$B$49,"País","Total","categoría","2*","tipología","hotelera","zona","Tenerife","Fecha","noviembre","municipio","total municipios","Años",IF([1]ACTUALIZACIÓN!$C$1="enero",[1]ACTUALIZACIÓN!$C$2-1,[1]ACTUALIZACIÓN!$C$2)),0)+IFERROR(GETPIVOTDATA("Suma de dias x plazas",'[1]TTDD DATOS'!$B$49,"País","Total","categoría","2*","tipología","hotelera","zona","Tenerife","Fecha","diciembre","municipio","total municipios","Años",IF([1]ACTUALIZACIÓN!$C$1="enero",[1]ACTUALIZACIÓN!$C$2-1,[1]ACTUALIZACIÓN!$C$2)),0))</f>
        <v>0.58107424791343198</v>
      </c>
      <c r="L113" s="45">
        <f>(GETPIVOTDATA("Suma de pernoctaciones",'[1]TTDD DATOS'!$B$49,"País","Total","categoría","2*","tipología","hotelera","zona","Tenerife","municipio","total municipios","Años",IF([1]ACTUALIZACIÓN!$C$1="enero",[1]ACTUALIZACIÓN!$C$2-1,[1]ACTUALIZACIÓN!$C$2))/(IFERROR(GETPIVOTDATA("Suma de dias x plazas",'[1]TTDD DATOS'!$B$49,"País","Total","categoría","2*","tipología","hotelera","zona","Tenerife","Fecha","enero","municipio","total municipios","Años",IF([1]ACTUALIZACIÓN!$C$1="enero",[1]ACTUALIZACIÓN!$C$2-1,[1]ACTUALIZACIÓN!$C$2)),0)+IFERROR(GETPIVOTDATA("Suma de dias x plazas",'[1]TTDD DATOS'!$B$49,"País","Total","categoría","2*","tipología","hotelera","zona","Tenerife","Fecha","febrero","municipio","total municipios","Años",IF([1]ACTUALIZACIÓN!$C$1="enero",[1]ACTUALIZACIÓN!$C$2-1,[1]ACTUALIZACIÓN!$C$2)),0)+IFERROR(GETPIVOTDATA("Suma de dias x plazas",'[1]TTDD DATOS'!$B$49,"País","Total","categoría","2*","tipología","hotelera","zona","Tenerife","Fecha","marzo","municipio","total municipios","Años",IF([1]ACTUALIZACIÓN!$C$1="enero",[1]ACTUALIZACIÓN!$C$2-1,[1]ACTUALIZACIÓN!$C$2)),0)+IFERROR(GETPIVOTDATA("Suma de dias x plazas",'[1]TTDD DATOS'!$B$49,"País","Total","categoría","2*","tipología","hotelera","zona","Tenerife","Fecha","abril","municipio","total municipios","Años",IF([1]ACTUALIZACIÓN!$C$1="enero",[1]ACTUALIZACIÓN!$C$2-1,[1]ACTUALIZACIÓN!$C$2)),0)+IFERROR(GETPIVOTDATA("Suma de dias x plazas",'[1]TTDD DATOS'!$B$49,"País","Total","categoría","2*","tipología","hotelera","zona","Tenerife","Fecha","mayo","municipio","total municipios","Años",IF([1]ACTUALIZACIÓN!$C$1="enero",[1]ACTUALIZACIÓN!$C$2-1,[1]ACTUALIZACIÓN!$C$2)),0)+IFERROR(GETPIVOTDATA("Suma de dias x plazas",'[1]TTDD DATOS'!$B$49,"País","Total","categoría","2*","tipología","hotelera","zona","Tenerife","Fecha","junio","municipio","total municipios","Años",IF([1]ACTUALIZACIÓN!$C$1="enero",[1]ACTUALIZACIÓN!$C$2-1,[1]ACTUALIZACIÓN!$C$2)),0)+IFERROR(GETPIVOTDATA("Suma de dias x plazas",'[1]TTDD DATOS'!$B$49,"País","Total","categoría","2*","tipología","hotelera","zona","Tenerife","Fecha","julio","municipio","total municipios","Años",IF([1]ACTUALIZACIÓN!$C$1="enero",[1]ACTUALIZACIÓN!$C$2-1,[1]ACTUALIZACIÓN!$C$2)),0)+IFERROR(GETPIVOTDATA("Suma de dias x plazas",'[1]TTDD DATOS'!$B$49,"País","Total","categoría","2*","tipología","hotelera","zona","Tenerife","Fecha","agosto","municipio","total municipios","Años",IF([1]ACTUALIZACIÓN!$C$1="enero",[1]ACTUALIZACIÓN!$C$2-1,[1]ACTUALIZACIÓN!$C$2)),0)+IFERROR(GETPIVOTDATA("Suma de dias x plazas",'[1]TTDD DATOS'!$B$49,"País","Total","categoría","2*","tipología","hotelera","zona","Tenerife","Fecha","septiembre","municipio","total municipios","Años",IF([1]ACTUALIZACIÓN!$C$1="enero",[1]ACTUALIZACIÓN!$C$2-1,[1]ACTUALIZACIÓN!$C$2)),0)+IFERROR(GETPIVOTDATA("Suma de dias x plazas",'[1]TTDD DATOS'!$B$49,"País","Total","categoría","2*","tipología","hotelera","zona","Tenerife","Fecha","octubre","municipio","total municipios","Años",IF([1]ACTUALIZACIÓN!$C$1="enero",[1]ACTUALIZACIÓN!$C$2-1,[1]ACTUALIZACIÓN!$C$2)),0)+IFERROR(GETPIVOTDATA("Suma de dias x plazas",'[1]TTDD DATOS'!$B$49,"País","Total","categoría","2*","tipología","hotelera","zona","Tenerife","Fecha","noviembre","municipio","total municipios","Años",IF([1]ACTUALIZACIÓN!$C$1="enero",[1]ACTUALIZACIÓN!$C$2-1,[1]ACTUALIZACIÓN!$C$2)),0)+IFERROR(GETPIVOTDATA("Suma de dias x plazas",'[1]TTDD DATOS'!$B$49,"País","Total","categoría","2*","tipología","hotelera","zona","Tenerife","Fecha","diciembre","municipio","total municipios","Años",IF([1]ACTUALIZACIÓN!$C$1="enero",[1]ACTUALIZACIÓN!$C$2-1,[1]ACTUALIZACIÓN!$C$2)),0)))/(GETPIVOTDATA("Suma de pernoctaciones",'[1]TTDD DATOS'!$B$49,"País","Total","categoría","2*","tipología","hotelera","zona","Tenerife","municipio","total municipios","Años",IF([1]ACTUALIZACIÓN!$C$1="enero",[1]ACTUALIZACIÓN!$C$2-2,[1]ACTUALIZACIÓN!$C$2-1))/(IFERROR(GETPIVOTDATA("Suma de dias x plazas",'[1]TTDD DATOS'!$B$49,"País","Total","categoría","2*","tipología","hotelera","zona","Tenerife","Fecha","enero","municipio","total municipios","Años",IF([1]ACTUALIZACIÓN!$C$1="enero",[1]ACTUALIZACIÓN!$C$2-2,[1]ACTUALIZACIÓN!$C$2-1)),0)+IFERROR(GETPIVOTDATA("Suma de dias x plazas",'[1]TTDD DATOS'!$B$49,"País","Total","categoría","2*","tipología","hotelera","zona","Tenerife","Fecha","febrero","municipio","total municipios","Años",IF([1]ACTUALIZACIÓN!$C$1="enero",[1]ACTUALIZACIÓN!$C$2-2,[1]ACTUALIZACIÓN!$C$2-1)),0)+IFERROR(GETPIVOTDATA("Suma de dias x plazas",'[1]TTDD DATOS'!$B$49,"País","Total","categoría","2*","tipología","hotelera","zona","Tenerife","Fecha","marzo","municipio","total municipios","Años",IF([1]ACTUALIZACIÓN!$C$1="enero",[1]ACTUALIZACIÓN!$C$2-2,[1]ACTUALIZACIÓN!$C$2-1)),0)+IFERROR(GETPIVOTDATA("Suma de dias x plazas",'[1]TTDD DATOS'!$B$49,"País","Total","categoría","2*","tipología","hotelera","zona","Tenerife","Fecha","abril","municipio","total municipios","Años",IF([1]ACTUALIZACIÓN!$C$1="enero",[1]ACTUALIZACIÓN!$C$2-2,[1]ACTUALIZACIÓN!$C$2-1)),0)+IFERROR(GETPIVOTDATA("Suma de dias x plazas",'[1]TTDD DATOS'!$B$49,"País","Total","categoría","2*","tipología","hotelera","zona","Tenerife","Fecha","mayo","municipio","total municipios","Años",IF([1]ACTUALIZACIÓN!$C$1="enero",[1]ACTUALIZACIÓN!$C$2-2,[1]ACTUALIZACIÓN!$C$2-1)),0)+IFERROR(GETPIVOTDATA("Suma de dias x plazas",'[1]TTDD DATOS'!$B$49,"País","Total","categoría","2*","tipología","hotelera","zona","Tenerife","Fecha","junio","municipio","total municipios","Años",IF([1]ACTUALIZACIÓN!$C$1="enero",[1]ACTUALIZACIÓN!$C$2-2,[1]ACTUALIZACIÓN!$C$2-1)),0)+IFERROR(GETPIVOTDATA("Suma de dias x plazas",'[1]TTDD DATOS'!$B$49,"País","Total","categoría","2*","tipología","hotelera","zona","Tenerife","Fecha","julio","municipio","total municipios","Años",IF([1]ACTUALIZACIÓN!$C$1="enero",[1]ACTUALIZACIÓN!$C$2-2,[1]ACTUALIZACIÓN!$C$2-1)),0)+IFERROR(GETPIVOTDATA("Suma de dias x plazas",'[1]TTDD DATOS'!$B$49,"País","Total","categoría","2*","tipología","hotelera","zona","Tenerife","Fecha","agosto","municipio","total municipios","Años",IF([1]ACTUALIZACIÓN!$C$1="enero",[1]ACTUALIZACIÓN!$C$2-2,[1]ACTUALIZACIÓN!$C$2-1)),0)+IFERROR(GETPIVOTDATA("Suma de dias x plazas",'[1]TTDD DATOS'!$B$49,"País","Total","categoría","2*","tipología","hotelera","zona","Tenerife","Fecha","septiembre","municipio","total municipios","Años",IF([1]ACTUALIZACIÓN!$C$1="enero",[1]ACTUALIZACIÓN!$C$2-2,[1]ACTUALIZACIÓN!$C$2-1)),0)+IFERROR(GETPIVOTDATA("Suma de dias x plazas",'[1]TTDD DATOS'!$B$49,"País","Total","categoría","2*","tipología","hotelera","zona","Tenerife","Fecha","octubre","municipio","total municipios","Años",IF([1]ACTUALIZACIÓN!$C$1="enero",[1]ACTUALIZACIÓN!$C$2-2,[1]ACTUALIZACIÓN!$C$2-1)),0)+IFERROR(GETPIVOTDATA("Suma de dias x plazas",'[1]TTDD DATOS'!$B$49,"País","Total","categoría","2*","tipología","hotelera","zona","Tenerife","Fecha","noviembre","municipio","total municipios","Años",IF([1]ACTUALIZACIÓN!$C$1="enero",[1]ACTUALIZACIÓN!$C$2-2,[1]ACTUALIZACIÓN!$C$2-1)),0)+IFERROR(GETPIVOTDATA("Suma de dias x plazas",'[1]TTDD DATOS'!$B$49,"País","Total","categoría","2*","tipología","hotelera","zona","Tenerife","Fecha","diciembre","municipio","total municipios","Años",IF([1]ACTUALIZACIÓN!$C$1="enero",[1]ACTUALIZACIÓN!$C$2-2,[1]ACTUALIZACIÓN!$C$2-1)),0)))-1</f>
        <v>1.2402908486264232</v>
      </c>
      <c r="M113" s="39"/>
    </row>
    <row r="114" spans="3:13" ht="33.75" customHeight="1" thickBot="1" x14ac:dyDescent="0.25">
      <c r="C114" s="65"/>
      <c r="D114" s="66"/>
      <c r="E114" s="67" t="s">
        <v>24</v>
      </c>
      <c r="F114" s="143">
        <f>GETPIVOTDATA("Suma de pernoctaciones",'[1]TTDD DATOS'!$B$6,"País","Total","categoría","1*","tipología","hotelera","zona","tenerife","municipio","total municipios","Años",[1]ACTUALIZACIÓN!$C$2)/GETPIVOTDATA("Suma de dias x plazas",'[1]TTDD DATOS'!$B$6,"País","Total","categoría","1*","tipología","hotelera","zona","tenerife","municipio","total municipios","Años",[1]ACTUALIZACIÓN!$C$2)</f>
        <v>0.62545433893684688</v>
      </c>
      <c r="G114" s="69">
        <f>(GETPIVOTDATA("Suma de pernoctaciones",'[1]TTDD DATOS'!$B$6,"País","Total","categoría","1*","tipología","hotelera","zona","tenerife","municipio","total municipios","Años",[1]ACTUALIZACIÓN!$C$2)/GETPIVOTDATA("Suma de dias x plazas",'[1]TTDD DATOS'!$B$6,"País","Total","categoría","1*","tipología","hotelera","zona","tenerife","municipio","total municipios","Años",[1]ACTUALIZACIÓN!$C$2))/(GETPIVOTDATA("Suma de pernoctaciones",'[1]TTDD DATOS'!$B$6,"País","Total","categoría","1*","tipología","hotelera","zona","tenerife","municipio","total municipios","Años",[1]ACTUALIZACIÓN!$C$2-1)/GETPIVOTDATA("Suma de dias x plazas",'[1]TTDD DATOS'!$B$6,"País","Total","categoría","1*","tipología","hotelera","zona","tenerife","municipio","total municipios","Años",[1]ACTUALIZACIÓN!$C$2-1))-1</f>
        <v>0.20149565407778858</v>
      </c>
      <c r="H114" s="152"/>
      <c r="I114" s="70"/>
      <c r="J114" s="67" t="s">
        <v>24</v>
      </c>
      <c r="K114" s="143">
        <f>GETPIVOTDATA("Suma de pernoctaciones",'[1]TTDD DATOS'!$B$49,"País","Total","categoría","1*","tipología","hotelera","zona","Tenerife","municipio","total municipios","Años",IF([1]ACTUALIZACIÓN!$C$1="enero",[1]ACTUALIZACIÓN!$C$2-1,[1]ACTUALIZACIÓN!$C$2))/(IFERROR(GETPIVOTDATA("Suma de dias x plazas",'[1]TTDD DATOS'!$B$49,"País","Total","categoría","1*","tipología","hotelera","zona","Tenerife","Fecha","enero","municipio","total municipios","Años",IF([1]ACTUALIZACIÓN!$C$1="enero",[1]ACTUALIZACIÓN!$C$2-1,[1]ACTUALIZACIÓN!$C$2)),0)+IFERROR(GETPIVOTDATA("Suma de dias x plazas",'[1]TTDD DATOS'!$B$49,"País","Total","categoría","1*","tipología","hotelera","zona","Tenerife","Fecha","febrero","municipio","total municipios","Años",IF([1]ACTUALIZACIÓN!$C$1="enero",[1]ACTUALIZACIÓN!$C$2-1,[1]ACTUALIZACIÓN!$C$2)),0)+IFERROR(GETPIVOTDATA("Suma de dias x plazas",'[1]TTDD DATOS'!$B$49,"País","Total","categoría","1*","tipología","hotelera","zona","Tenerife","Fecha","marzo","municipio","total municipios","Años",IF([1]ACTUALIZACIÓN!$C$1="enero",[1]ACTUALIZACIÓN!$C$2-1,[1]ACTUALIZACIÓN!$C$2)),0)+IFERROR(GETPIVOTDATA("Suma de dias x plazas",'[1]TTDD DATOS'!$B$49,"País","Total","categoría","1*","tipología","hotelera","zona","Tenerife","Fecha","abril","municipio","total municipios","Años",IF([1]ACTUALIZACIÓN!$C$1="enero",[1]ACTUALIZACIÓN!$C$2-1,[1]ACTUALIZACIÓN!$C$2)),0)+IFERROR(GETPIVOTDATA("Suma de dias x plazas",'[1]TTDD DATOS'!$B$49,"País","Total","categoría","1*","tipología","hotelera","zona","Tenerife","Fecha","mayo","municipio","total municipios","Años",IF([1]ACTUALIZACIÓN!$C$1="enero",[1]ACTUALIZACIÓN!$C$2-1,[1]ACTUALIZACIÓN!$C$2)),0)+IFERROR(GETPIVOTDATA("Suma de dias x plazas",'[1]TTDD DATOS'!$B$49,"País","Total","categoría","1*","tipología","hotelera","zona","Tenerife","Fecha","junio","municipio","total municipios","Años",IF([1]ACTUALIZACIÓN!$C$1="enero",[1]ACTUALIZACIÓN!$C$2-1,[1]ACTUALIZACIÓN!$C$2)),0)+IFERROR(GETPIVOTDATA("Suma de dias x plazas",'[1]TTDD DATOS'!$B$49,"País","Total","categoría","1*","tipología","hotelera","zona","Tenerife","Fecha","julio","municipio","total municipios","Años",IF([1]ACTUALIZACIÓN!$C$1="enero",[1]ACTUALIZACIÓN!$C$2-1,[1]ACTUALIZACIÓN!$C$2)),0)+IFERROR(GETPIVOTDATA("Suma de dias x plazas",'[1]TTDD DATOS'!$B$49,"País","Total","categoría","1*","tipología","hotelera","zona","Tenerife","Fecha","agosto","municipio","total municipios","Años",IF([1]ACTUALIZACIÓN!$C$1="enero",[1]ACTUALIZACIÓN!$C$2-1,[1]ACTUALIZACIÓN!$C$2)),0)+IFERROR(GETPIVOTDATA("Suma de dias x plazas",'[1]TTDD DATOS'!$B$49,"País","Total","categoría","1*","tipología","hotelera","zona","Tenerife","Fecha","septiembre","municipio","total municipios","Años",IF([1]ACTUALIZACIÓN!$C$1="enero",[1]ACTUALIZACIÓN!$C$2-1,[1]ACTUALIZACIÓN!$C$2)),0)+IFERROR(GETPIVOTDATA("Suma de dias x plazas",'[1]TTDD DATOS'!$B$49,"País","Total","categoría","1*","tipología","hotelera","zona","Tenerife","Fecha","octubre","municipio","total municipios","Años",IF([1]ACTUALIZACIÓN!$C$1="enero",[1]ACTUALIZACIÓN!$C$2-1,[1]ACTUALIZACIÓN!$C$2)),0)+IFERROR(GETPIVOTDATA("Suma de dias x plazas",'[1]TTDD DATOS'!$B$49,"País","Total","categoría","1*","tipología","hotelera","zona","Tenerife","Fecha","noviembre","municipio","total municipios","Años",IF([1]ACTUALIZACIÓN!$C$1="enero",[1]ACTUALIZACIÓN!$C$2-1,[1]ACTUALIZACIÓN!$C$2)),0)+IFERROR(GETPIVOTDATA("Suma de dias x plazas",'[1]TTDD DATOS'!$B$49,"País","Total","categoría","1*","tipología","hotelera","zona","Tenerife","Fecha","diciembre","municipio","total municipios","Años",IF([1]ACTUALIZACIÓN!$C$1="enero",[1]ACTUALIZACIÓN!$C$2-1,[1]ACTUALIZACIÓN!$C$2)),0))</f>
        <v>0.60200484963627732</v>
      </c>
      <c r="L114" s="52">
        <f>(GETPIVOTDATA("Suma de pernoctaciones",'[1]TTDD DATOS'!$B$49,"País","Total","categoría","1*","tipología","hotelera","zona","Tenerife","municipio","total municipios","Años",IF([1]ACTUALIZACIÓN!$C$1="enero",[1]ACTUALIZACIÓN!$C$2-1,[1]ACTUALIZACIÓN!$C$2))/(IFERROR(GETPIVOTDATA("Suma de dias x plazas",'[1]TTDD DATOS'!$B$49,"País","Total","categoría","1*","tipología","hotelera","zona","Tenerife","Fecha","enero","municipio","total municipios","Años",IF([1]ACTUALIZACIÓN!$C$1="enero",[1]ACTUALIZACIÓN!$C$2-1,[1]ACTUALIZACIÓN!$C$2)),0)+IFERROR(GETPIVOTDATA("Suma de dias x plazas",'[1]TTDD DATOS'!$B$49,"País","Total","categoría","1*","tipología","hotelera","zona","Tenerife","Fecha","febrero","municipio","total municipios","Años",IF([1]ACTUALIZACIÓN!$C$1="enero",[1]ACTUALIZACIÓN!$C$2-1,[1]ACTUALIZACIÓN!$C$2)),0)+IFERROR(GETPIVOTDATA("Suma de dias x plazas",'[1]TTDD DATOS'!$B$49,"País","Total","categoría","1*","tipología","hotelera","zona","Tenerife","Fecha","marzo","municipio","total municipios","Años",IF([1]ACTUALIZACIÓN!$C$1="enero",[1]ACTUALIZACIÓN!$C$2-1,[1]ACTUALIZACIÓN!$C$2)),0)+IFERROR(GETPIVOTDATA("Suma de dias x plazas",'[1]TTDD DATOS'!$B$49,"País","Total","categoría","1*","tipología","hotelera","zona","Tenerife","Fecha","abril","municipio","total municipios","Años",IF([1]ACTUALIZACIÓN!$C$1="enero",[1]ACTUALIZACIÓN!$C$2-1,[1]ACTUALIZACIÓN!$C$2)),0)+IFERROR(GETPIVOTDATA("Suma de dias x plazas",'[1]TTDD DATOS'!$B$49,"País","Total","categoría","1*","tipología","hotelera","zona","Tenerife","Fecha","mayo","municipio","total municipios","Años",IF([1]ACTUALIZACIÓN!$C$1="enero",[1]ACTUALIZACIÓN!$C$2-1,[1]ACTUALIZACIÓN!$C$2)),0)+IFERROR(GETPIVOTDATA("Suma de dias x plazas",'[1]TTDD DATOS'!$B$49,"País","Total","categoría","1*","tipología","hotelera","zona","Tenerife","Fecha","junio","municipio","total municipios","Años",IF([1]ACTUALIZACIÓN!$C$1="enero",[1]ACTUALIZACIÓN!$C$2-1,[1]ACTUALIZACIÓN!$C$2)),0)+IFERROR(GETPIVOTDATA("Suma de dias x plazas",'[1]TTDD DATOS'!$B$49,"País","Total","categoría","1*","tipología","hotelera","zona","Tenerife","Fecha","julio","municipio","total municipios","Años",IF([1]ACTUALIZACIÓN!$C$1="enero",[1]ACTUALIZACIÓN!$C$2-1,[1]ACTUALIZACIÓN!$C$2)),0)+IFERROR(GETPIVOTDATA("Suma de dias x plazas",'[1]TTDD DATOS'!$B$49,"País","Total","categoría","1*","tipología","hotelera","zona","Tenerife","Fecha","agosto","municipio","total municipios","Años",IF([1]ACTUALIZACIÓN!$C$1="enero",[1]ACTUALIZACIÓN!$C$2-1,[1]ACTUALIZACIÓN!$C$2)),0)+IFERROR(GETPIVOTDATA("Suma de dias x plazas",'[1]TTDD DATOS'!$B$49,"País","Total","categoría","1*","tipología","hotelera","zona","Tenerife","Fecha","septiembre","municipio","total municipios","Años",IF([1]ACTUALIZACIÓN!$C$1="enero",[1]ACTUALIZACIÓN!$C$2-1,[1]ACTUALIZACIÓN!$C$2)),0)+IFERROR(GETPIVOTDATA("Suma de dias x plazas",'[1]TTDD DATOS'!$B$49,"País","Total","categoría","1*","tipología","hotelera","zona","Tenerife","Fecha","octubre","municipio","total municipios","Años",IF([1]ACTUALIZACIÓN!$C$1="enero",[1]ACTUALIZACIÓN!$C$2-1,[1]ACTUALIZACIÓN!$C$2)),0)+IFERROR(GETPIVOTDATA("Suma de dias x plazas",'[1]TTDD DATOS'!$B$49,"País","Total","categoría","1*","tipología","hotelera","zona","Tenerife","Fecha","noviembre","municipio","total municipios","Años",IF([1]ACTUALIZACIÓN!$C$1="enero",[1]ACTUALIZACIÓN!$C$2-1,[1]ACTUALIZACIÓN!$C$2)),0)+IFERROR(GETPIVOTDATA("Suma de dias x plazas",'[1]TTDD DATOS'!$B$49,"País","Total","categoría","1*","tipología","hotelera","zona","Tenerife","Fecha","diciembre","municipio","total municipios","Años",IF([1]ACTUALIZACIÓN!$C$1="enero",[1]ACTUALIZACIÓN!$C$2-1,[1]ACTUALIZACIÓN!$C$2)),0)))/(GETPIVOTDATA("Suma de pernoctaciones",'[1]TTDD DATOS'!$B$49,"País","Total","categoría","1*","tipología","hotelera","zona","Tenerife","municipio","total municipios","Años",IF([1]ACTUALIZACIÓN!$C$1="enero",[1]ACTUALIZACIÓN!$C$2-2,[1]ACTUALIZACIÓN!$C$2-1))/(IFERROR(GETPIVOTDATA("Suma de dias x plazas",'[1]TTDD DATOS'!$B$49,"País","Total","categoría","1*","tipología","hotelera","zona","Tenerife","Fecha","enero","municipio","total municipios","Años",IF([1]ACTUALIZACIÓN!$C$1="enero",[1]ACTUALIZACIÓN!$C$2-2,[1]ACTUALIZACIÓN!$C$2-1)),0)+IFERROR(GETPIVOTDATA("Suma de dias x plazas",'[1]TTDD DATOS'!$B$49,"País","Total","categoría","1*","tipología","hotelera","zona","Tenerife","Fecha","febrero","municipio","total municipios","Años",IF([1]ACTUALIZACIÓN!$C$1="enero",[1]ACTUALIZACIÓN!$C$2-2,[1]ACTUALIZACIÓN!$C$2-1)),0)+IFERROR(GETPIVOTDATA("Suma de dias x plazas",'[1]TTDD DATOS'!$B$49,"País","Total","categoría","1*","tipología","hotelera","zona","Tenerife","Fecha","marzo","municipio","total municipios","Años",IF([1]ACTUALIZACIÓN!$C$1="enero",[1]ACTUALIZACIÓN!$C$2-2,[1]ACTUALIZACIÓN!$C$2-1)),0)+IFERROR(GETPIVOTDATA("Suma de dias x plazas",'[1]TTDD DATOS'!$B$49,"País","Total","categoría","1*","tipología","hotelera","zona","Tenerife","Fecha","abril","municipio","total municipios","Años",IF([1]ACTUALIZACIÓN!$C$1="enero",[1]ACTUALIZACIÓN!$C$2-2,[1]ACTUALIZACIÓN!$C$2-1)),0)+IFERROR(GETPIVOTDATA("Suma de dias x plazas",'[1]TTDD DATOS'!$B$49,"País","Total","categoría","1*","tipología","hotelera","zona","Tenerife","Fecha","mayo","municipio","total municipios","Años",IF([1]ACTUALIZACIÓN!$C$1="enero",[1]ACTUALIZACIÓN!$C$2-2,[1]ACTUALIZACIÓN!$C$2-1)),0)+IFERROR(GETPIVOTDATA("Suma de dias x plazas",'[1]TTDD DATOS'!$B$49,"País","Total","categoría","1*","tipología","hotelera","zona","Tenerife","Fecha","junio","municipio","total municipios","Años",IF([1]ACTUALIZACIÓN!$C$1="enero",[1]ACTUALIZACIÓN!$C$2-2,[1]ACTUALIZACIÓN!$C$2-1)),0)+IFERROR(GETPIVOTDATA("Suma de dias x plazas",'[1]TTDD DATOS'!$B$49,"País","Total","categoría","1*","tipología","hotelera","zona","Tenerife","Fecha","julio","municipio","total municipios","Años",IF([1]ACTUALIZACIÓN!$C$1="enero",[1]ACTUALIZACIÓN!$C$2-2,[1]ACTUALIZACIÓN!$C$2-1)),0)+IFERROR(GETPIVOTDATA("Suma de dias x plazas",'[1]TTDD DATOS'!$B$49,"País","Total","categoría","1*","tipología","hotelera","zona","Tenerife","Fecha","agosto","municipio","total municipios","Años",IF([1]ACTUALIZACIÓN!$C$1="enero",[1]ACTUALIZACIÓN!$C$2-2,[1]ACTUALIZACIÓN!$C$2-1)),0)+IFERROR(GETPIVOTDATA("Suma de dias x plazas",'[1]TTDD DATOS'!$B$49,"País","Total","categoría","1*","tipología","hotelera","zona","Tenerife","Fecha","septiembre","municipio","total municipios","Años",IF([1]ACTUALIZACIÓN!$C$1="enero",[1]ACTUALIZACIÓN!$C$2-2,[1]ACTUALIZACIÓN!$C$2-1)),0)+IFERROR(GETPIVOTDATA("Suma de dias x plazas",'[1]TTDD DATOS'!$B$49,"País","Total","categoría","1*","tipología","hotelera","zona","Tenerife","Fecha","octubre","municipio","total municipios","Años",IF([1]ACTUALIZACIÓN!$C$1="enero",[1]ACTUALIZACIÓN!$C$2-2,[1]ACTUALIZACIÓN!$C$2-1)),0)+IFERROR(GETPIVOTDATA("Suma de dias x plazas",'[1]TTDD DATOS'!$B$49,"País","Total","categoría","1*","tipología","hotelera","zona","Tenerife","Fecha","noviembre","municipio","total municipios","Años",IF([1]ACTUALIZACIÓN!$C$1="enero",[1]ACTUALIZACIÓN!$C$2-2,[1]ACTUALIZACIÓN!$C$2-1)),0)+IFERROR(GETPIVOTDATA("Suma de dias x plazas",'[1]TTDD DATOS'!$B$49,"País","Total","categoría","1*","tipología","hotelera","zona","Tenerife","Fecha","diciembre","municipio","total municipios","Años",IF([1]ACTUALIZACIÓN!$C$1="enero",[1]ACTUALIZACIÓN!$C$2-2,[1]ACTUALIZACIÓN!$C$2-1)),0)))-1</f>
        <v>0.17705208042257525</v>
      </c>
      <c r="M114" s="39"/>
    </row>
    <row r="115" spans="3:13" ht="5.25" customHeight="1" thickBot="1" x14ac:dyDescent="0.25">
      <c r="C115" s="160"/>
      <c r="D115" s="160"/>
      <c r="E115" s="161"/>
      <c r="F115" s="101"/>
      <c r="G115" s="101"/>
      <c r="H115" s="162"/>
      <c r="I115" s="101"/>
      <c r="J115" s="163"/>
      <c r="K115" s="161"/>
      <c r="L115" s="160"/>
      <c r="M115" s="164"/>
    </row>
    <row r="116" spans="3:13" ht="17.25" customHeight="1" thickBot="1" x14ac:dyDescent="0.25">
      <c r="C116" s="165"/>
      <c r="D116" s="166"/>
      <c r="E116" s="166"/>
      <c r="F116" s="166"/>
      <c r="G116" s="166"/>
      <c r="H116" s="166"/>
      <c r="I116" s="166"/>
      <c r="J116" s="166"/>
      <c r="K116" s="166"/>
      <c r="L116" s="166"/>
      <c r="M116" s="167"/>
    </row>
    <row r="117" spans="3:13" ht="50.25" customHeight="1" thickBot="1" x14ac:dyDescent="0.25">
      <c r="C117" s="1"/>
      <c r="D117" s="1"/>
      <c r="E117" s="2" t="str">
        <f>$E$1</f>
        <v>INDICADORES TURÍSTICOS DE TENERIFE definitivo</v>
      </c>
      <c r="F117" s="2"/>
      <c r="G117" s="2"/>
      <c r="H117" s="2"/>
      <c r="I117" s="2"/>
      <c r="J117" s="2"/>
      <c r="K117" s="2"/>
      <c r="L117" s="1"/>
      <c r="M117" s="1"/>
    </row>
    <row r="118" spans="3:13" ht="9" customHeight="1" thickBot="1" x14ac:dyDescent="0.25">
      <c r="C118" s="168"/>
      <c r="D118" s="169"/>
      <c r="E118" s="170"/>
      <c r="F118" s="170"/>
      <c r="G118" s="170"/>
      <c r="H118" s="170"/>
      <c r="I118" s="170"/>
      <c r="J118" s="170"/>
      <c r="K118" s="170"/>
      <c r="L118" s="169"/>
      <c r="M118" s="171"/>
    </row>
    <row r="119" spans="3:13" ht="33" customHeight="1" thickBot="1" x14ac:dyDescent="0.25">
      <c r="C119" s="172" t="s">
        <v>28</v>
      </c>
      <c r="D119" s="173"/>
      <c r="E119" s="173"/>
      <c r="F119" s="173"/>
      <c r="G119" s="173"/>
      <c r="H119" s="173"/>
      <c r="I119" s="173"/>
      <c r="J119" s="173"/>
      <c r="K119" s="173"/>
      <c r="L119" s="173"/>
      <c r="M119" s="174"/>
    </row>
    <row r="120" spans="3:13" ht="20.100000000000001" customHeight="1" x14ac:dyDescent="0.2">
      <c r="C120" s="175"/>
      <c r="D120" s="176"/>
      <c r="E120" s="176"/>
      <c r="F120" s="176"/>
      <c r="G120" s="176"/>
      <c r="H120" s="177"/>
      <c r="I120" s="177"/>
      <c r="J120" s="176"/>
      <c r="K120" s="176"/>
      <c r="L120" s="176"/>
      <c r="M120" s="178"/>
    </row>
    <row r="121" spans="3:13" ht="5.25" customHeight="1" thickBot="1" x14ac:dyDescent="0.25">
      <c r="C121" s="179"/>
      <c r="D121" s="176"/>
      <c r="E121" s="176"/>
      <c r="F121" s="176"/>
      <c r="G121" s="176"/>
      <c r="H121" s="180"/>
      <c r="I121" s="180"/>
      <c r="J121" s="176"/>
      <c r="K121" s="176"/>
      <c r="L121" s="176"/>
      <c r="M121" s="181"/>
    </row>
    <row r="122" spans="3:13" ht="33" customHeight="1" thickTop="1" thickBot="1" x14ac:dyDescent="0.25">
      <c r="C122" s="182"/>
      <c r="D122" s="183" t="s">
        <v>7</v>
      </c>
      <c r="E122" s="184"/>
      <c r="F122" s="183" t="s">
        <v>29</v>
      </c>
      <c r="G122" s="184"/>
      <c r="H122" s="183" t="s">
        <v>30</v>
      </c>
      <c r="I122" s="184"/>
      <c r="J122" s="183" t="s">
        <v>31</v>
      </c>
      <c r="K122" s="184"/>
      <c r="L122" s="183" t="s">
        <v>32</v>
      </c>
      <c r="M122" s="184"/>
    </row>
    <row r="123" spans="3:13" ht="31.5" customHeight="1" thickBot="1" x14ac:dyDescent="0.25">
      <c r="C123" s="185"/>
      <c r="D123" s="186" t="s">
        <v>33</v>
      </c>
      <c r="E123" s="187" t="s">
        <v>34</v>
      </c>
      <c r="F123" s="188" t="s">
        <v>33</v>
      </c>
      <c r="G123" s="187" t="s">
        <v>34</v>
      </c>
      <c r="H123" s="186" t="s">
        <v>33</v>
      </c>
      <c r="I123" s="187" t="s">
        <v>34</v>
      </c>
      <c r="J123" s="186" t="s">
        <v>33</v>
      </c>
      <c r="K123" s="187" t="s">
        <v>34</v>
      </c>
      <c r="L123" s="189" t="s">
        <v>33</v>
      </c>
      <c r="M123" s="187" t="s">
        <v>34</v>
      </c>
    </row>
    <row r="124" spans="3:13" ht="24" customHeight="1" thickBot="1" x14ac:dyDescent="0.25">
      <c r="C124" s="190" t="s">
        <v>35</v>
      </c>
      <c r="D124" s="191">
        <f>GETPIVOTDATA("Suma de turistas",'[1]TTDD DATOS'!$B$6,"País",$C124,"categoría","Total","tipología","Total","zona","tenerife","municipio","total municipios","Años",[1]ACTUALIZACIÓN!$C$2)</f>
        <v>60747</v>
      </c>
      <c r="E124" s="192">
        <f>GETPIVOTDATA("Suma de turistas",'[1]TTDD DATOS'!$B$6,"País",$C124,"categoría","Total","tipología","Total","zona","tenerife","municipio","total municipios","Años",[1]ACTUALIZACIÓN!$C$2)/GETPIVOTDATA("Suma de turistas",'[1]TTDD DATOS'!$B$6,"País",$C124,"categoría","Total","tipología","Total","zona","tenerife","municipio","total municipios","Años",[1]ACTUALIZACIÓN!$C$2-1)-1</f>
        <v>0.29444479959087122</v>
      </c>
      <c r="F124" s="193">
        <f>GETPIVOTDATA("Suma de turistas",'[1]TTDD DATOS'!$B$6,"País",$C124,"categoría","Total","tipología","Total","zona","santa cruz","municipio","total municipios","Años",[1]ACTUALIZACIÓN!$C$2)</f>
        <v>12066</v>
      </c>
      <c r="G124" s="192">
        <f>GETPIVOTDATA("Suma de turistas",'[1]TTDD DATOS'!$B$6,"País",$C124,"categoría","Total","tipología","Total","zona","santa cruz","municipio","total municipios","Años",[1]ACTUALIZACIÓN!$C$2)/GETPIVOTDATA("Suma de turistas",'[1]TTDD DATOS'!$B$6,"País",$C124,"categoría","Total","tipología","Total","zona","santa cruz","municipio","total municipios","Años",[1]ACTUALIZACIÓN!$C$2-3)-1</f>
        <v>-0.22360208480792743</v>
      </c>
      <c r="H124" s="193">
        <f>GETPIVOTDATA("Suma de turistas",'[1]TTDD DATOS'!$B$6,"País",$C124,"categoría","Total","tipología","Total","zona","la laguna-bajamar-la punta","municipio","total municipios","Años",[1]ACTUALIZACIÓN!$C$2)</f>
        <v>2471</v>
      </c>
      <c r="I124" s="192">
        <f>GETPIVOTDATA("Suma de turistas",'[1]TTDD DATOS'!$B$6,"País",$C124,"categoría","Total","tipología","Total","zona","la laguna-bajamar-la punta","municipio","total municipios","Años",[1]ACTUALIZACIÓN!$C$2)/GETPIVOTDATA("Suma de turistas",'[1]TTDD DATOS'!$B$6,"País",$C124,"categoría","Total","tipología","Total","zona","la laguna-bajamar-la punta","municipio","total municipios","Años",[1]ACTUALIZACIÓN!$C$2-1)-1</f>
        <v>1.1925465838509317</v>
      </c>
      <c r="J124" s="193">
        <f>GETPIVOTDATA("Suma de turistas",'[1]TTDD DATOS'!$B$6,"País",$C124,"categoría","Total","tipología","Total","zona","norte","municipio","total municipios","Años",[1]ACTUALIZACIÓN!$C$2)</f>
        <v>22278</v>
      </c>
      <c r="K124" s="192">
        <f>GETPIVOTDATA("Suma de turistas",'[1]TTDD DATOS'!$B$6,"País",$C124,"categoría","Total","tipología","Total","zona","norte","municipio","total municipios","Años",[1]ACTUALIZACIÓN!$C$2)/GETPIVOTDATA("Suma de turistas",'[1]TTDD DATOS'!$B$6,"País",$C124,"categoría","Total","tipología","Total","zona","norte","municipio","total municipios","Años",[1]ACTUALIZACIÓN!$C$2-1)-1</f>
        <v>1.5775772301284277</v>
      </c>
      <c r="L124" s="193">
        <f>GETPIVOTDATA("Suma de turistas",'[1]TTDD DATOS'!$B$6,"País",$C124,"categoría","Total","tipología","Total","zona","sur","municipio","total municipios","Años",[1]ACTUALIZACIÓN!$C$2)</f>
        <v>23932</v>
      </c>
      <c r="M124" s="192">
        <f>GETPIVOTDATA("Suma de turistas",'[1]TTDD DATOS'!$B$6,"País",$C124,"categoría","Total","tipología","Total","zona","sur","municipio","total municipios","Años",[1]ACTUALIZACIÓN!$C$2)/GETPIVOTDATA("Suma de turistas",'[1]TTDD DATOS'!$B$6,"País",$C124,"categoría","Total","tipología","Total","zona","sur","municipio","total municipios","Años",[1]ACTUALIZACIÓN!$C$2-1)-1</f>
        <v>-0.19790863692730498</v>
      </c>
    </row>
    <row r="125" spans="3:13" ht="27" customHeight="1" thickBot="1" x14ac:dyDescent="0.25">
      <c r="C125" s="194" t="s">
        <v>36</v>
      </c>
      <c r="D125" s="195">
        <f>GETPIVOTDATA("Suma de turistas",'[1]TTDD DATOS'!$B$6,"País","tenerife","categoría","Total","tipología","Total","zona","tenerife","municipio","total municipios","Años",[1]ACTUALIZACIÓN!$C$2)</f>
        <v>16055.88388169594</v>
      </c>
      <c r="E125" s="196">
        <f>GETPIVOTDATA("Suma de turistas",'[1]TTDD DATOS'!$B$6,"País","tenerife","categoría","Total","tipología","Total","zona","tenerife","municipio","total municipios","Años",[1]ACTUALIZACIÓN!$C$2)/GETPIVOTDATA("Suma de turistas",'[1]TTDD DATOS'!$B$6,"País","tenerife","categoría","Total","tipología","Total","zona","tenerife","municipio","total municipios","Años",[1]ACTUALIZACIÓN!$C$2-1)-1</f>
        <v>-0.26995480918037829</v>
      </c>
      <c r="F125" s="197" t="s">
        <v>37</v>
      </c>
      <c r="G125" s="196" t="s">
        <v>37</v>
      </c>
      <c r="H125" s="198" t="s">
        <v>37</v>
      </c>
      <c r="I125" s="196" t="s">
        <v>37</v>
      </c>
      <c r="J125" s="198" t="s">
        <v>37</v>
      </c>
      <c r="K125" s="196" t="s">
        <v>37</v>
      </c>
      <c r="L125" s="197" t="s">
        <v>37</v>
      </c>
      <c r="M125" s="196" t="s">
        <v>37</v>
      </c>
    </row>
    <row r="126" spans="3:13" ht="28.5" customHeight="1" thickBot="1" x14ac:dyDescent="0.25">
      <c r="C126" s="199" t="s">
        <v>38</v>
      </c>
      <c r="D126" s="200">
        <f>GETPIVOTDATA("Suma de turistas",'[1]TTDD DATOS'!$B$6,"País","resto canarias","categoría","Total","tipología","Total","zona","tenerife","municipio","total municipios","Años",[1]ACTUALIZACIÓN!$C$2)</f>
        <v>7412.1304948814459</v>
      </c>
      <c r="E126" s="201">
        <f>GETPIVOTDATA("Suma de turistas",'[1]TTDD DATOS'!$B$6,"País","resto canarias","categoría","Total","tipología","Total","zona","tenerife","municipio","total municipios","Años",[1]ACTUALIZACIÓN!$C$2)/GETPIVOTDATA("Suma de turistas",'[1]TTDD DATOS'!$B$6,"País","resto canarias","categoría","Total","tipología","Total","zona","tenerife","municipio","total municipios","Años",[1]ACTUALIZACIÓN!$C$2-1)-1</f>
        <v>-8.683867255372113E-2</v>
      </c>
      <c r="F126" s="202" t="s">
        <v>37</v>
      </c>
      <c r="G126" s="201" t="s">
        <v>37</v>
      </c>
      <c r="H126" s="202" t="s">
        <v>37</v>
      </c>
      <c r="I126" s="201" t="s">
        <v>37</v>
      </c>
      <c r="J126" s="202" t="s">
        <v>37</v>
      </c>
      <c r="K126" s="201" t="s">
        <v>37</v>
      </c>
      <c r="L126" s="202" t="s">
        <v>37</v>
      </c>
      <c r="M126" s="201" t="s">
        <v>37</v>
      </c>
    </row>
    <row r="127" spans="3:13" ht="27.75" customHeight="1" thickBot="1" x14ac:dyDescent="0.25">
      <c r="C127" s="199" t="s">
        <v>39</v>
      </c>
      <c r="D127" s="200">
        <f>GETPIVOTDATA("Suma de turistas",'[1]TTDD DATOS'!$B$6,"País","resto españa","categoría","Total","tipología","Total","zona","tenerife","municipio","total municipios","Años",[1]ACTUALIZACIÓN!$C$2)</f>
        <v>37278.98562342261</v>
      </c>
      <c r="E127" s="201">
        <f>GETPIVOTDATA("Suma de turistas",'[1]TTDD DATOS'!$B$6,"País","resto españa","categoría","Total","tipología","Total","zona","tenerife","municipio","total municipios","Años",[1]ACTUALIZACIÓN!$C$2)/GETPIVOTDATA("Suma de turistas",'[1]TTDD DATOS'!$B$6,"País","resto españa","categoría","Total","tipología","Total","zona","tenerife","municipio","total municipios","Años",[1]ACTUALIZACIÓN!$C$2-1)-1</f>
        <v>1.216480505584316</v>
      </c>
      <c r="F127" s="202" t="s">
        <v>37</v>
      </c>
      <c r="G127" s="201" t="s">
        <v>37</v>
      </c>
      <c r="H127" s="202" t="s">
        <v>37</v>
      </c>
      <c r="I127" s="201" t="s">
        <v>37</v>
      </c>
      <c r="J127" s="202" t="s">
        <v>37</v>
      </c>
      <c r="K127" s="201" t="s">
        <v>37</v>
      </c>
      <c r="L127" s="202" t="s">
        <v>37</v>
      </c>
      <c r="M127" s="201" t="s">
        <v>37</v>
      </c>
    </row>
    <row r="128" spans="3:13" ht="24" customHeight="1" thickBot="1" x14ac:dyDescent="0.25">
      <c r="C128" s="203" t="s">
        <v>40</v>
      </c>
      <c r="D128" s="204">
        <f>GETPIVOTDATA("Suma de turistas",'[1]TTDD DATOS'!$B$6,"País",$C128,"categoría","Total","tipología","Total","zona","tenerife","municipio","total municipios","Años",[1]ACTUALIZACIÓN!$C$2)</f>
        <v>13073</v>
      </c>
      <c r="E128" s="201">
        <f>GETPIVOTDATA("Suma de turistas",'[1]TTDD DATOS'!$B$6,"País",$C128,"categoría","Total","tipología","Total","zona","tenerife","municipio","total municipios","Años",[1]ACTUALIZACIÓN!$C$2)/GETPIVOTDATA("Suma de turistas",'[1]TTDD DATOS'!$B$6,"País",$C128,"categoría","Total","tipología","Total","zona","tenerife","municipio","total municipios","Años",[1]ACTUALIZACIÓN!$C$2-1)-1</f>
        <v>8.2782114975159686</v>
      </c>
      <c r="F128" s="205">
        <f>GETPIVOTDATA("Suma de turistas",'[1]TTDD DATOS'!$B$6,"País",$C128,"categoría","Total","tipología","Total","zona","santa cruz","municipio","total municipios","Años",[1]ACTUALIZACIÓN!$C$2)</f>
        <v>202</v>
      </c>
      <c r="G128" s="201">
        <f>GETPIVOTDATA("Suma de turistas",'[1]TTDD DATOS'!$B$6,"País",$C128,"categoría","Total","tipología","Total","zona","santa cruz","municipio","total municipios","Años",[1]ACTUALIZACIÓN!$C$2)/GETPIVOTDATA("Suma de turistas",'[1]TTDD DATOS'!$B$6,"País",$C128,"categoría","Total","tipología","Total","zona","santa cruz","municipio","total municipios","Años",[1]ACTUALIZACIÓN!$C$2-3)-1</f>
        <v>7.4468085106383031E-2</v>
      </c>
      <c r="H128" s="205">
        <f>GETPIVOTDATA("Suma de turistas",'[1]TTDD DATOS'!$B$6,"País",$C128,"categoría","Total","tipología","Total","zona","la laguna-bajamar-la punta","municipio","total municipios","Años",[1]ACTUALIZACIÓN!$C$2)</f>
        <v>168</v>
      </c>
      <c r="I128" s="201">
        <f>GETPIVOTDATA("Suma de turistas",'[1]TTDD DATOS'!$B$6,"País",$C128,"categoría","Total","tipología","Total","zona","la laguna-bajamar-la punta","municipio","total municipios","Años",[1]ACTUALIZACIÓN!$C$2)/GETPIVOTDATA("Suma de turistas",'[1]TTDD DATOS'!$B$6,"País",$C128,"categoría","Total","tipología","Total","zona","la laguna-bajamar-la punta","municipio","total municipios","Años",[1]ACTUALIZACIÓN!$C$2-1)-1</f>
        <v>6.6363636363636367</v>
      </c>
      <c r="J128" s="205">
        <f>GETPIVOTDATA("Suma de turistas",'[1]TTDD DATOS'!$B$6,"País",$C128,"categoría","Total","tipología","Total","zona","norte","municipio","total municipios","Años",[1]ACTUALIZACIÓN!$C$2)</f>
        <v>761</v>
      </c>
      <c r="K128" s="201">
        <f>GETPIVOTDATA("Suma de turistas",'[1]TTDD DATOS'!$B$6,"País",$C128,"categoría","Total","tipología","Total","zona","norte","municipio","total municipios","Años",[1]ACTUALIZACIÓN!$C$2)/GETPIVOTDATA("Suma de turistas",'[1]TTDD DATOS'!$B$6,"País",$C128,"categoría","Total","tipología","Total","zona","norte","municipio","total municipios","Años",[1]ACTUALIZACIÓN!$C$2-1)-1</f>
        <v>11.475409836065573</v>
      </c>
      <c r="L128" s="205">
        <f>GETPIVOTDATA("Suma de turistas",'[1]TTDD DATOS'!$B$6,"País",$C128,"categoría","Total","tipología","Total","zona","sur","municipio","total municipios","Años",[1]ACTUALIZACIÓN!$C$2)</f>
        <v>11942</v>
      </c>
      <c r="M128" s="201">
        <f>GETPIVOTDATA("Suma de turistas",'[1]TTDD DATOS'!$B$6,"País",$C128,"categoría","Total","tipología","Total","zona","sur","municipio","total municipios","Años",[1]ACTUALIZACIÓN!$C$2)/GETPIVOTDATA("Suma de turistas",'[1]TTDD DATOS'!$B$6,"País",$C128,"categoría","Total","tipología","Total","zona","sur","municipio","total municipios","Años",[1]ACTUALIZACIÓN!$C$2-1)-1</f>
        <v>8.7645134914145544</v>
      </c>
    </row>
    <row r="129" spans="3:13" ht="24" customHeight="1" thickBot="1" x14ac:dyDescent="0.25">
      <c r="C129" s="206" t="s">
        <v>41</v>
      </c>
      <c r="D129" s="200">
        <f>GETPIVOTDATA("Suma de turistas",'[1]TTDD DATOS'!$B$6,"País",$C129,"categoría","Total","tipología","Total","zona","tenerife","municipio","total municipios","Años",[1]ACTUALIZACIÓN!$C$2)</f>
        <v>11989</v>
      </c>
      <c r="E129" s="201">
        <f>GETPIVOTDATA("Suma de turistas",'[1]TTDD DATOS'!$B$6,"País",$C129,"categoría","Total","tipología","Total","zona","tenerife","municipio","total municipios","Años",[1]ACTUALIZACIÓN!$C$2)/GETPIVOTDATA("Suma de turistas",'[1]TTDD DATOS'!$B$6,"País",$C129,"categoría","Total","tipología","Total","zona","tenerife","municipio","total municipios","Años",[1]ACTUALIZACIÓN!$C$2-1)-1</f>
        <v>19.048494983277592</v>
      </c>
      <c r="F129" s="202">
        <f>GETPIVOTDATA("Suma de turistas",'[1]TTDD DATOS'!$B$6,"País",$C129,"categoría","Total","tipología","Total","zona","santa cruz","municipio","total municipios","Años",[1]ACTUALIZACIÓN!$C$2)</f>
        <v>191</v>
      </c>
      <c r="G129" s="201">
        <f>GETPIVOTDATA("Suma de turistas",'[1]TTDD DATOS'!$B$6,"País",$C129,"categoría","Total","tipología","Total","zona","santa cruz","municipio","total municipios","Años",[1]ACTUALIZACIÓN!$C$2)/GETPIVOTDATA("Suma de turistas",'[1]TTDD DATOS'!$B$6,"País",$C129,"categoría","Total","tipología","Total","zona","santa cruz","municipio","total municipios","Años",[1]ACTUALIZACIÓN!$C$2-3)-1</f>
        <v>0.44696969696969702</v>
      </c>
      <c r="H129" s="202">
        <f>GETPIVOTDATA("Suma de turistas",'[1]TTDD DATOS'!$B$6,"País",$C129,"categoría","Total","tipología","Total","zona","la laguna-bajamar-la punta","municipio","total municipios","Años",[1]ACTUALIZACIÓN!$C$2)</f>
        <v>84</v>
      </c>
      <c r="I129" s="201">
        <f>GETPIVOTDATA("Suma de turistas",'[1]TTDD DATOS'!$B$6,"País",$C129,"categoría","Total","tipología","Total","zona","la laguna-bajamar-la punta","municipio","total municipios","Años",[1]ACTUALIZACIÓN!$C$2)/GETPIVOTDATA("Suma de turistas",'[1]TTDD DATOS'!$B$6,"País",$C129,"categoría","Total","tipología","Total","zona","la laguna-bajamar-la punta","municipio","total municipios","Años",[1]ACTUALIZACIÓN!$C$2-1)-1</f>
        <v>6</v>
      </c>
      <c r="J129" s="202">
        <f>GETPIVOTDATA("Suma de turistas",'[1]TTDD DATOS'!$B$6,"País",$C129,"categoría","Total","tipología","Total","zona","norte","municipio","total municipios","Años",[1]ACTUALIZACIÓN!$C$2)</f>
        <v>595</v>
      </c>
      <c r="K129" s="201">
        <f>GETPIVOTDATA("Suma de turistas",'[1]TTDD DATOS'!$B$6,"País",$C129,"categoría","Total","tipología","Total","zona","norte","municipio","total municipios","Años",[1]ACTUALIZACIÓN!$C$2)/GETPIVOTDATA("Suma de turistas",'[1]TTDD DATOS'!$B$6,"País",$C129,"categoría","Total","tipología","Total","zona","norte","municipio","total municipios","Años",[1]ACTUALIZACIÓN!$C$2-1)-1</f>
        <v>9.0847457627118651</v>
      </c>
      <c r="L129" s="202">
        <f>GETPIVOTDATA("Suma de turistas",'[1]TTDD DATOS'!$B$6,"País",$C129,"categoría","Total","tipología","Total","zona","sur","municipio","total municipios","Años",[1]ACTUALIZACIÓN!$C$2)</f>
        <v>11119</v>
      </c>
      <c r="M129" s="201">
        <f>GETPIVOTDATA("Suma de turistas",'[1]TTDD DATOS'!$B$6,"País",$C129,"categoría","Total","tipología","Total","zona","sur","municipio","total municipios","Años",[1]ACTUALIZACIÓN!$C$2)/GETPIVOTDATA("Suma de turistas",'[1]TTDD DATOS'!$B$6,"País",$C129,"categoría","Total","tipología","Total","zona","sur","municipio","total municipios","Años",[1]ACTUALIZACIÓN!$C$2-1)-1</f>
        <v>21.691836734693876</v>
      </c>
    </row>
    <row r="130" spans="3:13" ht="24" customHeight="1" thickBot="1" x14ac:dyDescent="0.25">
      <c r="C130" s="203" t="s">
        <v>42</v>
      </c>
      <c r="D130" s="204">
        <f>GETPIVOTDATA("Suma de turistas",'[1]TTDD DATOS'!$B$6,"País",$C130,"categoría","Total","tipología","Total","zona","tenerife","municipio","total municipios","Años",[1]ACTUALIZACIÓN!$C$2)</f>
        <v>34790</v>
      </c>
      <c r="E130" s="201">
        <f>GETPIVOTDATA("Suma de turistas",'[1]TTDD DATOS'!$B$6,"País",$C130,"categoría","Total","tipología","Total","zona","tenerife","municipio","total municipios","Años",[1]ACTUALIZACIÓN!$C$2)/GETPIVOTDATA("Suma de turistas",'[1]TTDD DATOS'!$B$6,"País",$C130,"categoría","Total","tipología","Total","zona","tenerife","municipio","total municipios","Años",[1]ACTUALIZACIÓN!$C$2-1)-1</f>
        <v>4.3457283343577133</v>
      </c>
      <c r="F130" s="205">
        <f>GETPIVOTDATA("Suma de turistas",'[1]TTDD DATOS'!$B$6,"País",$C130,"categoría","Total","tipología","Total","zona","santa cruz","municipio","total municipios","Años",[1]ACTUALIZACIÓN!$C$2)</f>
        <v>1056</v>
      </c>
      <c r="G130" s="201">
        <f>GETPIVOTDATA("Suma de turistas",'[1]TTDD DATOS'!$B$6,"País",$C130,"categoría","Total","tipología","Total","zona","santa cruz","municipio","total municipios","Años",[1]ACTUALIZACIÓN!$C$2)/GETPIVOTDATA("Suma de turistas",'[1]TTDD DATOS'!$B$6,"País",$C130,"categoría","Total","tipología","Total","zona","santa cruz","municipio","total municipios","Años",[1]ACTUALIZACIÓN!$C$2-3)-1</f>
        <v>-9.3562231759656611E-2</v>
      </c>
      <c r="H130" s="205">
        <f>GETPIVOTDATA("Suma de turistas",'[1]TTDD DATOS'!$B$6,"País",$C130,"categoría","Total","tipología","Total","zona","la laguna-bajamar-la punta","municipio","total municipios","Años",[1]ACTUALIZACIÓN!$C$2)</f>
        <v>531</v>
      </c>
      <c r="I130" s="201">
        <f>GETPIVOTDATA("Suma de turistas",'[1]TTDD DATOS'!$B$6,"País",$C130,"categoría","Total","tipología","Total","zona","la laguna-bajamar-la punta","municipio","total municipios","Años",[1]ACTUALIZACIÓN!$C$2)/GETPIVOTDATA("Suma de turistas",'[1]TTDD DATOS'!$B$6,"País",$C130,"categoría","Total","tipología","Total","zona","la laguna-bajamar-la punta","municipio","total municipios","Años",[1]ACTUALIZACIÓN!$C$2-1)-1</f>
        <v>2.1987951807228914</v>
      </c>
      <c r="J130" s="205">
        <f>GETPIVOTDATA("Suma de turistas",'[1]TTDD DATOS'!$B$6,"País",$C130,"categoría","Total","tipología","Total","zona","norte","municipio","total municipios","Años",[1]ACTUALIZACIÓN!$C$2)</f>
        <v>11706</v>
      </c>
      <c r="K130" s="201">
        <f>GETPIVOTDATA("Suma de turistas",'[1]TTDD DATOS'!$B$6,"País",$C130,"categoría","Total","tipología","Total","zona","norte","municipio","total municipios","Años",[1]ACTUALIZACIÓN!$C$2)/GETPIVOTDATA("Suma de turistas",'[1]TTDD DATOS'!$B$6,"País",$C130,"categoría","Total","tipología","Total","zona","norte","municipio","total municipios","Años",[1]ACTUALIZACIÓN!$C$2-1)-1</f>
        <v>10.836198179979778</v>
      </c>
      <c r="L130" s="205">
        <f>GETPIVOTDATA("Suma de turistas",'[1]TTDD DATOS'!$B$6,"País",$C130,"categoría","Total","tipología","Total","zona","sur","municipio","total municipios","Años",[1]ACTUALIZACIÓN!$C$2)</f>
        <v>21497</v>
      </c>
      <c r="M130" s="201">
        <f>GETPIVOTDATA("Suma de turistas",'[1]TTDD DATOS'!$B$6,"País",$C130,"categoría","Total","tipología","Total","zona","sur","municipio","total municipios","Años",[1]ACTUALIZACIÓN!$C$2)/GETPIVOTDATA("Suma de turistas",'[1]TTDD DATOS'!$B$6,"País",$C130,"categoría","Total","tipología","Total","zona","sur","municipio","total municipios","Años",[1]ACTUALIZACIÓN!$C$2-1)-1</f>
        <v>3.4935200668896318</v>
      </c>
    </row>
    <row r="131" spans="3:13" ht="24" customHeight="1" thickBot="1" x14ac:dyDescent="0.25">
      <c r="C131" s="206" t="s">
        <v>43</v>
      </c>
      <c r="D131" s="200">
        <f>GETPIVOTDATA("Suma de turistas",'[1]TTDD DATOS'!$B$6,"País",$C131,"categoría","Total","tipología","Total","zona","tenerife","municipio","total municipios","Años",[1]ACTUALIZACIÓN!$C$2)</f>
        <v>14472</v>
      </c>
      <c r="E131" s="201">
        <f>GETPIVOTDATA("Suma de turistas",'[1]TTDD DATOS'!$B$6,"País",$C131,"categoría","Total","tipología","Total","zona","tenerife","municipio","total municipios","Años",[1]ACTUALIZACIÓN!$C$2)/GETPIVOTDATA("Suma de turistas",'[1]TTDD DATOS'!$B$6,"País",$C131,"categoría","Total","tipología","Total","zona","tenerife","municipio","total municipios","Años",[1]ACTUALIZACIÓN!$C$2-1)-1</f>
        <v>1.1148619026742659</v>
      </c>
      <c r="F131" s="202">
        <f>GETPIVOTDATA("Suma de turistas",'[1]TTDD DATOS'!$B$6,"País",$C131,"categoría","Total","tipología","Total","zona","santa cruz","municipio","total municipios","Años",[1]ACTUALIZACIÓN!$C$2)</f>
        <v>873</v>
      </c>
      <c r="G131" s="201">
        <f>GETPIVOTDATA("Suma de turistas",'[1]TTDD DATOS'!$B$6,"País",$C131,"categoría","Total","tipología","Total","zona","santa cruz","municipio","total municipios","Años",[1]ACTUALIZACIÓN!$C$2)/GETPIVOTDATA("Suma de turistas",'[1]TTDD DATOS'!$B$6,"País",$C131,"categoría","Total","tipología","Total","zona","santa cruz","municipio","total municipios","Años",[1]ACTUALIZACIÓN!$C$2-3)-1</f>
        <v>0.56171735241502674</v>
      </c>
      <c r="H131" s="202">
        <f>GETPIVOTDATA("Suma de turistas",'[1]TTDD DATOS'!$B$6,"País",$C131,"categoría","Total","tipología","Total","zona","la laguna-bajamar-la punta","municipio","total municipios","Años",[1]ACTUALIZACIÓN!$C$2)</f>
        <v>452</v>
      </c>
      <c r="I131" s="201">
        <f>GETPIVOTDATA("Suma de turistas",'[1]TTDD DATOS'!$B$6,"País",$C131,"categoría","Total","tipología","Total","zona","la laguna-bajamar-la punta","municipio","total municipios","Años",[1]ACTUALIZACIÓN!$C$2)/GETPIVOTDATA("Suma de turistas",'[1]TTDD DATOS'!$B$6,"País",$C131,"categoría","Total","tipología","Total","zona","la laguna-bajamar-la punta","municipio","total municipios","Años",[1]ACTUALIZACIÓN!$C$2-1)-1</f>
        <v>-7.3770491803278659E-2</v>
      </c>
      <c r="J131" s="202">
        <f>GETPIVOTDATA("Suma de turistas",'[1]TTDD DATOS'!$B$6,"País",$C131,"categoría","Total","tipología","Total","zona","norte","municipio","total municipios","Años",[1]ACTUALIZACIÓN!$C$2)</f>
        <v>3464</v>
      </c>
      <c r="K131" s="201">
        <f>GETPIVOTDATA("Suma de turistas",'[1]TTDD DATOS'!$B$6,"País",$C131,"categoría","Total","tipología","Total","zona","norte","municipio","total municipios","Años",[1]ACTUALIZACIÓN!$C$2)/GETPIVOTDATA("Suma de turistas",'[1]TTDD DATOS'!$B$6,"País",$C131,"categoría","Total","tipología","Total","zona","norte","municipio","total municipios","Años",[1]ACTUALIZACIÓN!$C$2-1)-1</f>
        <v>1.8818635607321132</v>
      </c>
      <c r="L131" s="202">
        <f>GETPIVOTDATA("Suma de turistas",'[1]TTDD DATOS'!$B$6,"País",$C131,"categoría","Total","tipología","Total","zona","sur","municipio","total municipios","Años",[1]ACTUALIZACIÓN!$C$2)</f>
        <v>9683</v>
      </c>
      <c r="M131" s="201">
        <f>GETPIVOTDATA("Suma de turistas",'[1]TTDD DATOS'!$B$6,"País",$C131,"categoría","Total","tipología","Total","zona","sur","municipio","total municipios","Años",[1]ACTUALIZACIÓN!$C$2)/GETPIVOTDATA("Suma de turistas",'[1]TTDD DATOS'!$B$6,"País",$C131,"categoría","Total","tipología","Total","zona","sur","municipio","total municipios","Años",[1]ACTUALIZACIÓN!$C$2-1)-1</f>
        <v>1.1828223624887286</v>
      </c>
    </row>
    <row r="132" spans="3:13" ht="24" customHeight="1" thickBot="1" x14ac:dyDescent="0.25">
      <c r="C132" s="203" t="s">
        <v>44</v>
      </c>
      <c r="D132" s="204">
        <f>GETPIVOTDATA("Suma de turistas",'[1]TTDD DATOS'!$B$6,"País",$C132,"categoría","Total","tipología","Total","zona","tenerife","municipio","total municipios","Años",[1]ACTUALIZACIÓN!$C$2)</f>
        <v>131393</v>
      </c>
      <c r="E132" s="201">
        <f>GETPIVOTDATA("Suma de turistas",'[1]TTDD DATOS'!$B$6,"País",$C132,"categoría","Total","tipología","Total","zona","tenerife","municipio","total municipios","Años",[1]ACTUALIZACIÓN!$C$2)/GETPIVOTDATA("Suma de turistas",'[1]TTDD DATOS'!$B$6,"País",$C132,"categoría","Total","tipología","Total","zona","tenerife","municipio","total municipios","Años",[1]ACTUALIZACIÓN!$C$2-1)-1</f>
        <v>106.876026272578</v>
      </c>
      <c r="F132" s="205">
        <f>GETPIVOTDATA("Suma de turistas",'[1]TTDD DATOS'!$B$6,"País",$C132,"categoría","Total","tipología","Total","zona","santa cruz","municipio","total municipios","Años",[1]ACTUALIZACIÓN!$C$2)</f>
        <v>751</v>
      </c>
      <c r="G132" s="201">
        <f>GETPIVOTDATA("Suma de turistas",'[1]TTDD DATOS'!$B$6,"País",$C132,"categoría","Total","tipología","Total","zona","santa cruz","municipio","total municipios","Años",[1]ACTUALIZACIÓN!$C$2)/GETPIVOTDATA("Suma de turistas",'[1]TTDD DATOS'!$B$6,"País",$C132,"categoría","Total","tipología","Total","zona","santa cruz","municipio","total municipios","Años",[1]ACTUALIZACIÓN!$C$2-3)-1</f>
        <v>-0.28271251193887292</v>
      </c>
      <c r="H132" s="205">
        <f>GETPIVOTDATA("Suma de turistas",'[1]TTDD DATOS'!$B$6,"País",$C132,"categoría","Total","tipología","Total","zona","la laguna-bajamar-la punta","municipio","total municipios","Años",[1]ACTUALIZACIÓN!$C$2)</f>
        <v>342</v>
      </c>
      <c r="I132" s="201">
        <f>GETPIVOTDATA("Suma de turistas",'[1]TTDD DATOS'!$B$6,"País",$C132,"categoría","Total","tipología","Total","zona","la laguna-bajamar-la punta","municipio","total municipios","Años",[1]ACTUALIZACIÓN!$C$2)/GETPIVOTDATA("Suma de turistas",'[1]TTDD DATOS'!$B$6,"País",$C132,"categoría","Total","tipología","Total","zona","la laguna-bajamar-la punta","municipio","total municipios","Años",[1]ACTUALIZACIÓN!$C$2-1)-1</f>
        <v>8.7714285714285722</v>
      </c>
      <c r="J132" s="205">
        <f>GETPIVOTDATA("Suma de turistas",'[1]TTDD DATOS'!$B$6,"País",$C132,"categoría","Total","tipología","Total","zona","norte","municipio","total municipios","Años",[1]ACTUALIZACIÓN!$C$2)</f>
        <v>6277</v>
      </c>
      <c r="K132" s="201">
        <f>GETPIVOTDATA("Suma de turistas",'[1]TTDD DATOS'!$B$6,"País",$C132,"categoría","Total","tipología","Total","zona","norte","municipio","total municipios","Años",[1]ACTUALIZACIÓN!$C$2)/GETPIVOTDATA("Suma de turistas",'[1]TTDD DATOS'!$B$6,"País",$C132,"categoría","Total","tipología","Total","zona","norte","municipio","total municipios","Años",[1]ACTUALIZACIÓN!$C$2-1)-1</f>
        <v>25.045643153526971</v>
      </c>
      <c r="L132" s="205">
        <f>GETPIVOTDATA("Suma de turistas",'[1]TTDD DATOS'!$B$6,"País",$C132,"categoría","Total","tipología","Total","zona","sur","municipio","total municipios","Años",[1]ACTUALIZACIÓN!$C$2)</f>
        <v>124023</v>
      </c>
      <c r="M132" s="201">
        <f>GETPIVOTDATA("Suma de turistas",'[1]TTDD DATOS'!$B$6,"País",$C132,"categoría","Total","tipología","Total","zona","sur","municipio","total municipios","Años",[1]ACTUALIZACIÓN!$C$2)/GETPIVOTDATA("Suma de turistas",'[1]TTDD DATOS'!$B$6,"País",$C132,"categoría","Total","tipología","Total","zona","sur","municipio","total municipios","Años",[1]ACTUALIZACIÓN!$C$2-1)-1</f>
        <v>155.20025188916875</v>
      </c>
    </row>
    <row r="133" spans="3:13" ht="24" customHeight="1" thickBot="1" x14ac:dyDescent="0.25">
      <c r="C133" s="206" t="s">
        <v>45</v>
      </c>
      <c r="D133" s="200">
        <f>GETPIVOTDATA("Suma de turistas",'[1]TTDD DATOS'!$B$6,"País",$C133,"categoría","Total","tipología","Total","zona","tenerife","municipio","total municipios","Años",[1]ACTUALIZACIÓN!$C$2)</f>
        <v>11441</v>
      </c>
      <c r="E133" s="201">
        <f>GETPIVOTDATA("Suma de turistas",'[1]TTDD DATOS'!$B$6,"País",$C133,"categoría","Total","tipología","Total","zona","tenerife","municipio","total municipios","Años",[1]ACTUALIZACIÓN!$C$2)/GETPIVOTDATA("Suma de turistas",'[1]TTDD DATOS'!$B$6,"País",$C133,"categoría","Total","tipología","Total","zona","tenerife","municipio","total municipios","Años",[1]ACTUALIZACIÓN!$C$2-1)-1</f>
        <v>20.750950570342205</v>
      </c>
      <c r="F133" s="202">
        <f>GETPIVOTDATA("Suma de turistas",'[1]TTDD DATOS'!$B$6,"País",$C133,"categoría","Total","tipología","Total","zona","santa cruz","municipio","total municipios","Años",[1]ACTUALIZACIÓN!$C$2)</f>
        <v>91</v>
      </c>
      <c r="G133" s="201">
        <f>GETPIVOTDATA("Suma de turistas",'[1]TTDD DATOS'!$B$6,"País",$C133,"categoría","Total","tipología","Total","zona","santa cruz","municipio","total municipios","Años",[1]ACTUALIZACIÓN!$C$2)/GETPIVOTDATA("Suma de turistas",'[1]TTDD DATOS'!$B$6,"País",$C133,"categoría","Total","tipología","Total","zona","santa cruz","municipio","total municipios","Años",[1]ACTUALIZACIÓN!$C$2-3)-1</f>
        <v>-0.14953271028037385</v>
      </c>
      <c r="H133" s="202">
        <f>GETPIVOTDATA("Suma de turistas",'[1]TTDD DATOS'!$B$6,"País",$C133,"categoría","Total","tipología","Total","zona","la laguna-bajamar-la punta","municipio","total municipios","Años",[1]ACTUALIZACIÓN!$C$2)</f>
        <v>29</v>
      </c>
      <c r="I133" s="201">
        <f>GETPIVOTDATA("Suma de turistas",'[1]TTDD DATOS'!$B$6,"País",$C133,"categoría","Total","tipología","Total","zona","la laguna-bajamar-la punta","municipio","total municipios","Años",[1]ACTUALIZACIÓN!$C$2)/GETPIVOTDATA("Suma de turistas",'[1]TTDD DATOS'!$B$6,"País",$C133,"categoría","Total","tipología","Total","zona","la laguna-bajamar-la punta","municipio","total municipios","Años",[1]ACTUALIZACIÓN!$C$2-1)-1</f>
        <v>2.625</v>
      </c>
      <c r="J133" s="202">
        <f>GETPIVOTDATA("Suma de turistas",'[1]TTDD DATOS'!$B$6,"País",$C133,"categoría","Total","tipología","Total","zona","norte","municipio","total municipios","Años",[1]ACTUALIZACIÓN!$C$2)</f>
        <v>458</v>
      </c>
      <c r="K133" s="201">
        <f>GETPIVOTDATA("Suma de turistas",'[1]TTDD DATOS'!$B$6,"País",$C133,"categoría","Total","tipología","Total","zona","norte","municipio","total municipios","Años",[1]ACTUALIZACIÓN!$C$2)/GETPIVOTDATA("Suma de turistas",'[1]TTDD DATOS'!$B$6,"País",$C133,"categoría","Total","tipología","Total","zona","norte","municipio","total municipios","Años",[1]ACTUALIZACIÓN!$C$2-1)-1</f>
        <v>14.793103448275861</v>
      </c>
      <c r="L133" s="202">
        <f>GETPIVOTDATA("Suma de turistas",'[1]TTDD DATOS'!$B$6,"País",$C133,"categoría","Total","tipología","Total","zona","sur","municipio","total municipios","Años",[1]ACTUALIZACIÓN!$C$2)</f>
        <v>10863</v>
      </c>
      <c r="M133" s="201">
        <f>GETPIVOTDATA("Suma de turistas",'[1]TTDD DATOS'!$B$6,"País",$C133,"categoría","Total","tipología","Total","zona","sur","municipio","total municipios","Años",[1]ACTUALIZACIÓN!$C$2)/GETPIVOTDATA("Suma de turistas",'[1]TTDD DATOS'!$B$6,"País",$C133,"categoría","Total","tipología","Total","zona","sur","municipio","total municipios","Años",[1]ACTUALIZACIÓN!$C$2-1)-1</f>
        <v>37.385159010600709</v>
      </c>
    </row>
    <row r="134" spans="3:13" ht="24" customHeight="1" thickBot="1" x14ac:dyDescent="0.25">
      <c r="C134" s="203" t="s">
        <v>46</v>
      </c>
      <c r="D134" s="204">
        <f>GETPIVOTDATA("Suma de turistas",'[1]TTDD DATOS'!$B$6,"País",$C134,"categoría","Total","tipología","Total","zona","tenerife","municipio","total municipios","Años",[1]ACTUALIZACIÓN!$C$2)</f>
        <v>12093</v>
      </c>
      <c r="E134" s="201">
        <f>GETPIVOTDATA("Suma de turistas",'[1]TTDD DATOS'!$B$6,"País",$C134,"categoría","Total","tipología","Total","zona","tenerife","municipio","total municipios","Años",[1]ACTUALIZACIÓN!$C$2)/GETPIVOTDATA("Suma de turistas",'[1]TTDD DATOS'!$B$6,"País",$C134,"categoría","Total","tipología","Total","zona","tenerife","municipio","total municipios","Años",[1]ACTUALIZACIÓN!$C$2-1)-1</f>
        <v>5.2723029045643157</v>
      </c>
      <c r="F134" s="205">
        <f>GETPIVOTDATA("Suma de turistas",'[1]TTDD DATOS'!$B$6,"País",$C134,"categoría","Total","tipología","Total","zona","santa cruz","municipio","total municipios","Años",[1]ACTUALIZACIÓN!$C$2)</f>
        <v>564</v>
      </c>
      <c r="G134" s="201">
        <f>GETPIVOTDATA("Suma de turistas",'[1]TTDD DATOS'!$B$6,"País",$C134,"categoría","Total","tipología","Total","zona","santa cruz","municipio","total municipios","Años",[1]ACTUALIZACIÓN!$C$2)/GETPIVOTDATA("Suma de turistas",'[1]TTDD DATOS'!$B$6,"País",$C134,"categoría","Total","tipología","Total","zona","santa cruz","municipio","total municipios","Años",[1]ACTUALIZACIÓN!$C$2-3)-1</f>
        <v>-0.16320474777448069</v>
      </c>
      <c r="H134" s="205">
        <f>GETPIVOTDATA("Suma de turistas",'[1]TTDD DATOS'!$B$6,"País",$C134,"categoría","Total","tipología","Total","zona","la laguna-bajamar-la punta","municipio","total municipios","Años",[1]ACTUALIZACIÓN!$C$2)</f>
        <v>191</v>
      </c>
      <c r="I134" s="201">
        <f>GETPIVOTDATA("Suma de turistas",'[1]TTDD DATOS'!$B$6,"País",$C134,"categoría","Total","tipología","Total","zona","la laguna-bajamar-la punta","municipio","total municipios","Años",[1]ACTUALIZACIÓN!$C$2)/GETPIVOTDATA("Suma de turistas",'[1]TTDD DATOS'!$B$6,"País",$C134,"categoría","Total","tipología","Total","zona","la laguna-bajamar-la punta","municipio","total municipios","Años",[1]ACTUALIZACIÓN!$C$2-1)-1</f>
        <v>2.4727272727272727</v>
      </c>
      <c r="J134" s="205">
        <f>GETPIVOTDATA("Suma de turistas",'[1]TTDD DATOS'!$B$6,"País",$C134,"categoría","Total","tipología","Total","zona","norte","municipio","total municipios","Años",[1]ACTUALIZACIÓN!$C$2)</f>
        <v>1339</v>
      </c>
      <c r="K134" s="201">
        <f>GETPIVOTDATA("Suma de turistas",'[1]TTDD DATOS'!$B$6,"País",$C134,"categoría","Total","tipología","Total","zona","norte","municipio","total municipios","Años",[1]ACTUALIZACIÓN!$C$2)/GETPIVOTDATA("Suma de turistas",'[1]TTDD DATOS'!$B$6,"País",$C134,"categoría","Total","tipología","Total","zona","norte","municipio","total municipios","Años",[1]ACTUALIZACIÓN!$C$2-1)-1</f>
        <v>4.9247787610619467</v>
      </c>
      <c r="L134" s="205">
        <f>GETPIVOTDATA("Suma de turistas",'[1]TTDD DATOS'!$B$6,"País",$C134,"categoría","Total","tipología","Total","zona","sur","municipio","total municipios","Años",[1]ACTUALIZACIÓN!$C$2)</f>
        <v>9999</v>
      </c>
      <c r="M134" s="201">
        <f>GETPIVOTDATA("Suma de turistas",'[1]TTDD DATOS'!$B$6,"País",$C134,"categoría","Total","tipología","Total","zona","sur","municipio","total municipios","Años",[1]ACTUALIZACIÓN!$C$2)/GETPIVOTDATA("Suma de turistas",'[1]TTDD DATOS'!$B$6,"País",$C134,"categoría","Total","tipología","Total","zona","sur","municipio","total municipios","Años",[1]ACTUALIZACIÓN!$C$2-1)-1</f>
        <v>6.3468038207200586</v>
      </c>
    </row>
    <row r="135" spans="3:13" ht="24" customHeight="1" thickBot="1" x14ac:dyDescent="0.25">
      <c r="C135" s="206" t="s">
        <v>47</v>
      </c>
      <c r="D135" s="200">
        <f>GETPIVOTDATA("Suma de turistas",'[1]TTDD DATOS'!$B$6,"País","suecia","categoría","Total","tipología","Total","zona","tenerife","municipio","total municipios","Años",[1]ACTUALIZACIÓN!$C$2)+GETPIVOTDATA("Suma de turistas",'[1]TTDD DATOS'!$B$6,"País","noruega","categoría","Total","tipología","Total","zona","tenerife","municipio","total municipios","Años",[1]ACTUALIZACIÓN!$C$2)+GETPIVOTDATA("Suma de turistas",'[1]TTDD DATOS'!$B$6,"País","dinamarca","categoría","Total","tipología","Total","zona","tenerife","municipio","total municipios","Años",[1]ACTUALIZACIÓN!$C$2)+GETPIVOTDATA("Suma de turistas",'[1]TTDD DATOS'!$B$6,"País","finlandia","categoría","Total","tipología","Total","zona","tenerife","municipio","total municipios","Años",[1]ACTUALIZACIÓN!$C$2)</f>
        <v>21306</v>
      </c>
      <c r="E135" s="201">
        <f>(GETPIVOTDATA("Suma de turistas",'[1]TTDD DATOS'!$B$6,"País","suecia","categoría","Total","tipología","Total","zona","tenerife","municipio","total municipios","Años",[1]ACTUALIZACIÓN!$C$2)+GETPIVOTDATA("Suma de turistas",'[1]TTDD DATOS'!$B$6,"País","noruega","categoría","Total","tipología","Total","zona","tenerife","municipio","total municipios","Años",[1]ACTUALIZACIÓN!$C$2)+GETPIVOTDATA("Suma de turistas",'[1]TTDD DATOS'!$B$6,"País","dinamarca","categoría","Total","tipología","Total","zona","tenerife","municipio","total municipios","Años",[1]ACTUALIZACIÓN!$C$2)+GETPIVOTDATA("Suma de turistas",'[1]TTDD DATOS'!$B$6,"País","finlandia","categoría","Total","tipología","Total","zona","tenerife","municipio","total municipios","Años",[1]ACTUALIZACIÓN!$C$2))/(GETPIVOTDATA("Suma de turistas",'[1]TTDD DATOS'!$B$6,"País","suecia","categoría","Total","tipología","Total","zona","tenerife","municipio","total municipios","Años",[1]ACTUALIZACIÓN!$C$2-1)+GETPIVOTDATA("Suma de turistas",'[1]TTDD DATOS'!$B$6,"País","noruega","categoría","Total","tipología","Total","zona","tenerife","municipio","total municipios","Años",[1]ACTUALIZACIÓN!$C$2-1)+GETPIVOTDATA("Suma de turistas",'[1]TTDD DATOS'!$B$6,"País","dinamarca","categoría","Total","tipología","Total","zona","tenerife","municipio","total municipios","Años",[1]ACTUALIZACIÓN!$C$2-1)+GETPIVOTDATA("Suma de turistas",'[1]TTDD DATOS'!$B$6,"País","finlandia","categoría","Total","tipología","Total","zona","tenerife","municipio","total municipios","Años",[1]ACTUALIZACIÓN!$C$2-1))-1</f>
        <v>26.960629921259841</v>
      </c>
      <c r="F135" s="202">
        <f>GETPIVOTDATA("Suma de turistas",'[1]TTDD DATOS'!$B$6,"País","suecia","categoría","Total","tipología","Total","zona","santa cruz","municipio","total municipios","Años",[1]ACTUALIZACIÓN!$C$2)+GETPIVOTDATA("Suma de turistas",'[1]TTDD DATOS'!$B$6,"País","noruega","categoría","Total","tipología","Total","zona","santa cruz","municipio","total municipios","Años",[1]ACTUALIZACIÓN!$C$2)+GETPIVOTDATA("Suma de turistas",'[1]TTDD DATOS'!$B$6,"País","dinamarca","categoría","Total","tipología","Total","zona","santa cruz","municipio","total municipios","Años",[1]ACTUALIZACIÓN!$C$2)+GETPIVOTDATA("Suma de turistas",'[1]TTDD DATOS'!$B$6,"País","finlandia","categoría","Total","tipología","Total","zona","santa cruz","municipio","total municipios","Años",[1]ACTUALIZACIÓN!$C$2)</f>
        <v>531</v>
      </c>
      <c r="G135" s="201">
        <f>(GETPIVOTDATA("Suma de turistas",'[1]TTDD DATOS'!$B$6,"País","suecia","categoría","Total","tipología","Total","zona","santa cruz","municipio","total municipios","Años",[1]ACTUALIZACIÓN!$C$2)+GETPIVOTDATA("Suma de turistas",'[1]TTDD DATOS'!$B$6,"País","noruega","categoría","Total","tipología","Total","zona","santa cruz","municipio","total municipios","Años",[1]ACTUALIZACIÓN!$C$2)+GETPIVOTDATA("Suma de turistas",'[1]TTDD DATOS'!$B$6,"País","dinamarca","categoría","Total","tipología","Total","zona","santa cruz","municipio","total municipios","Años",[1]ACTUALIZACIÓN!$C$2)+GETPIVOTDATA("Suma de turistas",'[1]TTDD DATOS'!$B$6,"País","finlandia","categoría","Total","tipología","Total","zona","santa cruz","municipio","total municipios","Años",[1]ACTUALIZACIÓN!$C$2))/(GETPIVOTDATA("Suma de turistas",'[1]TTDD DATOS'!$B$6,"País","suecia","categoría","Total","tipología","Total","zona","santa cruz","municipio","total municipios","Años",[1]ACTUALIZACIÓN!$C$2-3)+GETPIVOTDATA("Suma de turistas",'[1]TTDD DATOS'!$B$6,"País","noruega","categoría","Total","tipología","Total","zona","santa cruz","municipio","total municipios","Años",[1]ACTUALIZACIÓN!$C$2-3)+GETPIVOTDATA("Suma de turistas",'[1]TTDD DATOS'!$B$6,"País","dinamarca","categoría","Total","tipología","Total","zona","santa cruz","municipio","total municipios","Años",[1]ACTUALIZACIÓN!$C$2-3)+GETPIVOTDATA("Suma de turistas",'[1]TTDD DATOS'!$B$6,"País","finlandia","categoría","Total","tipología","Total","zona","santa cruz","municipio","total municipios","Años",[1]ACTUALIZACIÓN!$C$2-3))-1</f>
        <v>-0.54923599320882854</v>
      </c>
      <c r="H135" s="202">
        <f>GETPIVOTDATA("Suma de turistas",'[1]TTDD DATOS'!$B$6,"País","suecia","categoría","Total","tipología","Total","zona","la laguna-bajamar-la punta","municipio","total municipios","Años",[1]ACTUALIZACIÓN!$C$2)+GETPIVOTDATA("Suma de turistas",'[1]TTDD DATOS'!$B$6,"País","noruega","categoría","Total","tipología","Total","zona","la laguna-bajamar-la punta","municipio","total municipios","Años",[1]ACTUALIZACIÓN!$C$2)+GETPIVOTDATA("Suma de turistas",'[1]TTDD DATOS'!$B$6,"País","dinamarca","categoría","Total","tipología","Total","zona","la laguna-bajamar-la punta","municipio","total municipios","Años",[1]ACTUALIZACIÓN!$C$2)+GETPIVOTDATA("Suma de turistas",'[1]TTDD DATOS'!$B$6,"País","finlandia","categoría","Total","tipología","Total","zona","la laguna-bajamar-la punta","municipio","total municipios","Años",[1]ACTUALIZACIÓN!$C$2)</f>
        <v>91</v>
      </c>
      <c r="I135" s="201">
        <f>(GETPIVOTDATA("Suma de turistas",'[1]TTDD DATOS'!$B$6,"País","suecia","categoría","Total","tipología","Total","zona","la laguna-bajamar-la punta","municipio","total municipios","Años",[1]ACTUALIZACIÓN!$C$2)+GETPIVOTDATA("Suma de turistas",'[1]TTDD DATOS'!$B$6,"País","noruega","categoría","Total","tipología","Total","zona","la laguna-bajamar-la punta","municipio","total municipios","Años",[1]ACTUALIZACIÓN!$C$2)+GETPIVOTDATA("Suma de turistas",'[1]TTDD DATOS'!$B$6,"País","dinamarca","categoría","Total","tipología","Total","zona","la laguna-bajamar-la punta","municipio","total municipios","Años",[1]ACTUALIZACIÓN!$C$2)+GETPIVOTDATA("Suma de turistas",'[1]TTDD DATOS'!$B$6,"País","finlandia","categoría","Total","tipología","Total","zona","la laguna-bajamar-la punta","municipio","total municipios","Años",[1]ACTUALIZACIÓN!$C$2))/(GETPIVOTDATA("Suma de turistas",'[1]TTDD DATOS'!$B$6,"País","suecia","categoría","Total","tipología","Total","zona","la laguna-bajamar-la punta","municipio","total municipios","Años",[1]ACTUALIZACIÓN!$C$2-1)+GETPIVOTDATA("Suma de turistas",'[1]TTDD DATOS'!$B$6,"País","noruega","categoría","Total","tipología","Total","zona","la laguna-bajamar-la punta","municipio","total municipios","Años",[1]ACTUALIZACIÓN!$C$2-1)+GETPIVOTDATA("Suma de turistas",'[1]TTDD DATOS'!$B$6,"País","dinamarca","categoría","Total","tipología","Total","zona","la laguna-bajamar-la punta","municipio","total municipios","Años",[1]ACTUALIZACIÓN!$C$2-1)+GETPIVOTDATA("Suma de turistas",'[1]TTDD DATOS'!$B$6,"País","finlandia","categoría","Total","tipología","Total","zona","la laguna-bajamar-la punta","municipio","total municipios","Años",[1]ACTUALIZACIÓN!$C$2-1))-1</f>
        <v>6</v>
      </c>
      <c r="J135" s="202">
        <f>GETPIVOTDATA("Suma de turistas",'[1]TTDD DATOS'!$B$6,"País","suecia","categoría","Total","tipología","Total","zona","norte","municipio","total municipios","Años",[1]ACTUALIZACIÓN!$C$2)+GETPIVOTDATA("Suma de turistas",'[1]TTDD DATOS'!$B$6,"País","noruega","categoría","Total","tipología","Total","zona","norte","municipio","total municipios","Años",[1]ACTUALIZACIÓN!$C$2)+GETPIVOTDATA("Suma de turistas",'[1]TTDD DATOS'!$B$6,"País","dinamarca","categoría","Total","tipología","Total","zona","norte","municipio","total municipios","Años",[1]ACTUALIZACIÓN!$C$2)+GETPIVOTDATA("Suma de turistas",'[1]TTDD DATOS'!$B$6,"País","finlandia","categoría","Total","tipología","Total","zona","norte","municipio","total municipios","Años",[1]ACTUALIZACIÓN!$C$2)</f>
        <v>3523</v>
      </c>
      <c r="K135" s="201">
        <f>(GETPIVOTDATA("Suma de turistas",'[1]TTDD DATOS'!$B$6,"País","suecia","categoría","Total","tipología","Total","zona","norte","municipio","total municipios","Años",[1]ACTUALIZACIÓN!$C$2)+GETPIVOTDATA("Suma de turistas",'[1]TTDD DATOS'!$B$6,"País","noruega","categoría","Total","tipología","Total","zona","norte","municipio","total municipios","Años",[1]ACTUALIZACIÓN!$C$2)+GETPIVOTDATA("Suma de turistas",'[1]TTDD DATOS'!$B$6,"País","dinamarca","categoría","Total","tipología","Total","zona","norte","municipio","total municipios","Años",[1]ACTUALIZACIÓN!$C$2)+GETPIVOTDATA("Suma de turistas",'[1]TTDD DATOS'!$B$6,"País","finlandia","categoría","Total","tipología","Total","zona","norte","municipio","total municipios","Años",[1]ACTUALIZACIÓN!$C$2))/(GETPIVOTDATA("Suma de turistas",'[1]TTDD DATOS'!$B$6,"País","suecia","categoría","Total","tipología","Total","zona","norte","municipio","total municipios","Años",[1]ACTUALIZACIÓN!$C$2-1)+GETPIVOTDATA("Suma de turistas",'[1]TTDD DATOS'!$B$6,"País","noruega","categoría","Total","tipología","Total","zona","norte","municipio","total municipios","Años",[1]ACTUALIZACIÓN!$C$2-1)+GETPIVOTDATA("Suma de turistas",'[1]TTDD DATOS'!$B$6,"País","dinamarca","categoría","Total","tipología","Total","zona","norte","municipio","total municipios","Años",[1]ACTUALIZACIÓN!$C$2-1)+GETPIVOTDATA("Suma de turistas",'[1]TTDD DATOS'!$B$6,"País","finlandia","categoría","Total","tipología","Total","zona","norte","municipio","total municipios","Años",[1]ACTUALIZACIÓN!$C$2-1))-1</f>
        <v>30.176991150442479</v>
      </c>
      <c r="L135" s="202">
        <f>GETPIVOTDATA("Suma de turistas",'[1]TTDD DATOS'!$B$6,"País","suecia","categoría","Total","tipología","Total","zona","sur","municipio","total municipios","Años",[1]ACTUALIZACIÓN!$C$2)+GETPIVOTDATA("Suma de turistas",'[1]TTDD DATOS'!$B$6,"País","noruega","categoría","Total","tipología","Total","zona","sur","municipio","total municipios","Años",[1]ACTUALIZACIÓN!$C$2)+GETPIVOTDATA("Suma de turistas",'[1]TTDD DATOS'!$B$6,"País","dinamarca","categoría","Total","tipología","Total","zona","sur","municipio","total municipios","Años",[1]ACTUALIZACIÓN!$C$2)+GETPIVOTDATA("Suma de turistas",'[1]TTDD DATOS'!$B$6,"País","finlandia","categoría","Total","tipología","Total","zona","sur","municipio","total municipios","Años",[1]ACTUALIZACIÓN!$C$2)</f>
        <v>17161</v>
      </c>
      <c r="M135" s="201">
        <f>(GETPIVOTDATA("Suma de turistas",'[1]TTDD DATOS'!$B$6,"País","suecia","categoría","Total","tipología","Total","zona","sur","municipio","total municipios","Años",[1]ACTUALIZACIÓN!$C$2)+GETPIVOTDATA("Suma de turistas",'[1]TTDD DATOS'!$B$6,"País","noruega","categoría","Total","tipología","Total","zona","sur","municipio","total municipios","Años",[1]ACTUALIZACIÓN!$C$2)+GETPIVOTDATA("Suma de turistas",'[1]TTDD DATOS'!$B$6,"País","dinamarca","categoría","Total","tipología","Total","zona","sur","municipio","total municipios","Años",[1]ACTUALIZACIÓN!$C$2)+GETPIVOTDATA("Suma de turistas",'[1]TTDD DATOS'!$B$6,"País","finlandia","categoría","Total","tipología","Total","zona","sur","municipio","total municipios","Años",[1]ACTUALIZACIÓN!$C$2))/(GETPIVOTDATA("Suma de turistas",'[1]TTDD DATOS'!$B$6,"País","suecia","categoría","Total","tipología","Total","zona","sur","municipio","total municipios","Años",[1]ACTUALIZACIÓN!$C$2-1)+GETPIVOTDATA("Suma de turistas",'[1]TTDD DATOS'!$B$6,"País","noruega","categoría","Total","tipología","Total","zona","sur","municipio","total municipios","Años",[1]ACTUALIZACIÓN!$C$2-1)+GETPIVOTDATA("Suma de turistas",'[1]TTDD DATOS'!$B$6,"País","dinamarca","categoría","Total","tipología","Total","zona","sur","municipio","total municipios","Años",[1]ACTUALIZACIÓN!$C$2-1)+GETPIVOTDATA("Suma de turistas",'[1]TTDD DATOS'!$B$6,"País","finlandia","categoría","Total","tipología","Total","zona","sur","municipio","total municipios","Años",[1]ACTUALIZACIÓN!$C$2-1))-1</f>
        <v>28.486254295532646</v>
      </c>
    </row>
    <row r="136" spans="3:13" ht="24" customHeight="1" thickBot="1" x14ac:dyDescent="0.25">
      <c r="C136" s="207" t="s">
        <v>48</v>
      </c>
      <c r="D136" s="204">
        <f>GETPIVOTDATA("Suma de turistas",'[1]TTDD DATOS'!$B$6,"País",$C136,"categoría","Total","tipología","Total","zona","tenerife","municipio","total municipios","Años",[1]ACTUALIZACIÓN!$C$2)</f>
        <v>5293</v>
      </c>
      <c r="E136" s="201">
        <f>GETPIVOTDATA("Suma de turistas",'[1]TTDD DATOS'!$B$6,"País",$C136,"categoría","Total","tipología","Total","zona","tenerife","municipio","total municipios","Años",[1]ACTUALIZACIÓN!$C$2)/GETPIVOTDATA("Suma de turistas",'[1]TTDD DATOS'!$B$6,"País",$C136,"categoría","Total","tipología","Total","zona","tenerife","municipio","total municipios","Años",[1]ACTUALIZACIÓN!$C$2-1)-1</f>
        <v>9.1398467432950188</v>
      </c>
      <c r="F136" s="205">
        <f>GETPIVOTDATA("Suma de turistas",'[1]TTDD DATOS'!$B$6,"País",$C136,"categoría","Total","tipología","Total","zona","santa cruz","municipio","total municipios","Años",[1]ACTUALIZACIÓN!$C$2)</f>
        <v>173</v>
      </c>
      <c r="G136" s="201">
        <f>GETPIVOTDATA("Suma de turistas",'[1]TTDD DATOS'!$B$6,"País",$C136,"categoría","Total","tipología","Total","zona","santa cruz","municipio","total municipios","Años",[1]ACTUALIZACIÓN!$C$2)/GETPIVOTDATA("Suma de turistas",'[1]TTDD DATOS'!$B$6,"País",$C136,"categoría","Total","tipología","Total","zona","santa cruz","municipio","total municipios","Años",[1]ACTUALIZACIÓN!$C$2-3)-1</f>
        <v>-0.60948081264108356</v>
      </c>
      <c r="H136" s="205">
        <f>GETPIVOTDATA("Suma de turistas",'[1]TTDD DATOS'!$B$6,"País",$C136,"categoría","Total","tipología","Total","zona","la laguna-bajamar-la punta","municipio","total municipios","Años",[1]ACTUALIZACIÓN!$C$2)</f>
        <v>23</v>
      </c>
      <c r="I136" s="201">
        <f>IFERROR(GETPIVOTDATA("Suma de turistas",'[1]TTDD DATOS'!$B$6,"País",$C136,"categoría","Total","tipología","Total","zona","la laguna-bajamar-la punta","municipio","total municipios","Años",[1]ACTUALIZACIÓN!$C$2)/GETPIVOTDATA("Suma de turistas",'[1]TTDD DATOS'!$B$6,"País",$C136,"categoría","Total","tipología","Total","zona","la laguna-bajamar-la punta","municipio","total municipios","Años",[1]ACTUALIZACIÓN!$C$2-1)-1,"-")</f>
        <v>1.875</v>
      </c>
      <c r="J136" s="205">
        <f>GETPIVOTDATA("Suma de turistas",'[1]TTDD DATOS'!$B$6,"País",$C136,"categoría","Total","tipología","Total","zona","norte","municipio","total municipios","Años",[1]ACTUALIZACIÓN!$C$2)</f>
        <v>956</v>
      </c>
      <c r="K136" s="201">
        <f>GETPIVOTDATA("Suma de turistas",'[1]TTDD DATOS'!$B$6,"País",$C136,"categoría","Total","tipología","Total","zona","norte","municipio","total municipios","Años",[1]ACTUALIZACIÓN!$C$2)/GETPIVOTDATA("Suma de turistas",'[1]TTDD DATOS'!$B$6,"País",$C136,"categoría","Total","tipología","Total","zona","norte","municipio","total municipios","Años",[1]ACTUALIZACIÓN!$C$2-1)-1</f>
        <v>14.174603174603174</v>
      </c>
      <c r="L136" s="205">
        <f>GETPIVOTDATA("Suma de turistas",'[1]TTDD DATOS'!$B$6,"País",$C136,"categoría","Total","tipología","Total","zona","sur","municipio","total municipios","Años",[1]ACTUALIZACIÓN!$C$2)</f>
        <v>4141</v>
      </c>
      <c r="M136" s="201">
        <f>GETPIVOTDATA("Suma de turistas",'[1]TTDD DATOS'!$B$6,"País",$C136,"categoría","Total","tipología","Total","zona","sur","municipio","total municipios","Años",[1]ACTUALIZACIÓN!$C$2)/GETPIVOTDATA("Suma de turistas",'[1]TTDD DATOS'!$B$6,"País",$C136,"categoría","Total","tipología","Total","zona","sur","municipio","total municipios","Años",[1]ACTUALIZACIÓN!$C$2-1)-1</f>
        <v>8.8127962085308056</v>
      </c>
    </row>
    <row r="137" spans="3:13" ht="24" customHeight="1" thickBot="1" x14ac:dyDescent="0.25">
      <c r="C137" s="199" t="s">
        <v>49</v>
      </c>
      <c r="D137" s="200">
        <f>GETPIVOTDATA("Suma de turistas",'[1]TTDD DATOS'!$B$6,"País",$C137,"categoría","Total","tipología","Total","zona","tenerife","municipio","total municipios","Años",[1]ACTUALIZACIÓN!$C$2)</f>
        <v>3333</v>
      </c>
      <c r="E137" s="201">
        <f>GETPIVOTDATA("Suma de turistas",'[1]TTDD DATOS'!$B$6,"País",$C137,"categoría","Total","tipología","Total","zona","tenerife","municipio","total municipios","Años",[1]ACTUALIZACIÓN!$C$2)/GETPIVOTDATA("Suma de turistas",'[1]TTDD DATOS'!$B$6,"País",$C137,"categoría","Total","tipología","Total","zona","tenerife","municipio","total municipios","Años",[1]ACTUALIZACIÓN!$C$2-1)-1</f>
        <v>82.325000000000003</v>
      </c>
      <c r="F137" s="202">
        <f>GETPIVOTDATA("Suma de turistas",'[1]TTDD DATOS'!$B$6,"País",$C137,"categoría","Total","tipología","Total","zona","santa cruz","municipio","total municipios","Años",[1]ACTUALIZACIÓN!$C$2)</f>
        <v>142</v>
      </c>
      <c r="G137" s="201">
        <f>GETPIVOTDATA("Suma de turistas",'[1]TTDD DATOS'!$B$6,"País",$C137,"categoría","Total","tipología","Total","zona","santa cruz","municipio","total municipios","Años",[1]ACTUALIZACIÓN!$C$2)/GETPIVOTDATA("Suma de turistas",'[1]TTDD DATOS'!$B$6,"País",$C137,"categoría","Total","tipología","Total","zona","santa cruz","municipio","total municipios","Años",[1]ACTUALIZACIÓN!$C$2-3)-1</f>
        <v>-0.41078838174273857</v>
      </c>
      <c r="H137" s="202">
        <f>GETPIVOTDATA("Suma de turistas",'[1]TTDD DATOS'!$B$6,"País",$C137,"categoría","Total","tipología","Total","zona","la laguna-bajamar-la punta","municipio","total municipios","Años",[1]ACTUALIZACIÓN!$C$2)</f>
        <v>8</v>
      </c>
      <c r="I137" s="201">
        <f>IFERROR(GETPIVOTDATA("Suma de turistas",'[1]TTDD DATOS'!$B$6,"País",$C137,"categoría","Total","tipología","Total","zona","la laguna-bajamar-la punta","municipio","total municipios","Años",[1]ACTUALIZACIÓN!$C$2)/GETPIVOTDATA("Suma de turistas",'[1]TTDD DATOS'!$B$6,"País",$C137,"categoría","Total","tipología","Total","zona","la laguna-bajamar-la punta","municipio","total municipios","Años",[1]ACTUALIZACIÓN!$C$2-1)-1,"-")</f>
        <v>1.6666666666666665</v>
      </c>
      <c r="J137" s="202">
        <f>GETPIVOTDATA("Suma de turistas",'[1]TTDD DATOS'!$B$6,"País",$C137,"categoría","Total","tipología","Total","zona","norte","municipio","total municipios","Años",[1]ACTUALIZACIÓN!$C$2)</f>
        <v>379</v>
      </c>
      <c r="K137" s="201">
        <f>GETPIVOTDATA("Suma de turistas",'[1]TTDD DATOS'!$B$6,"País",$C137,"categoría","Total","tipología","Total","zona","norte","municipio","total municipios","Años",[1]ACTUALIZACIÓN!$C$2)/GETPIVOTDATA("Suma de turistas",'[1]TTDD DATOS'!$B$6,"País",$C137,"categoría","Total","tipología","Total","zona","norte","municipio","total municipios","Años",[1]ACTUALIZACIÓN!$C$2-1)-1</f>
        <v>74.8</v>
      </c>
      <c r="L137" s="202">
        <f>GETPIVOTDATA("Suma de turistas",'[1]TTDD DATOS'!$B$6,"País",$C137,"categoría","Total","tipología","Total","zona","sur","municipio","total municipios","Años",[1]ACTUALIZACIÓN!$C$2)</f>
        <v>2804</v>
      </c>
      <c r="M137" s="201">
        <f>GETPIVOTDATA("Suma de turistas",'[1]TTDD DATOS'!$B$6,"País",$C137,"categoría","Total","tipología","Total","zona","sur","municipio","total municipios","Años",[1]ACTUALIZACIÓN!$C$2)/GETPIVOTDATA("Suma de turistas",'[1]TTDD DATOS'!$B$6,"País",$C137,"categoría","Total","tipología","Total","zona","sur","municipio","total municipios","Años",[1]ACTUALIZACIÓN!$C$2-1)-1</f>
        <v>115.83333333333333</v>
      </c>
    </row>
    <row r="138" spans="3:13" ht="24" customHeight="1" thickBot="1" x14ac:dyDescent="0.25">
      <c r="C138" s="207" t="s">
        <v>50</v>
      </c>
      <c r="D138" s="204">
        <f>GETPIVOTDATA("Suma de turistas",'[1]TTDD DATOS'!$B$6,"País",$C138,"categoría","Total","tipología","Total","zona","tenerife","municipio","total municipios","Años",[1]ACTUALIZACIÓN!$C$2)</f>
        <v>6530</v>
      </c>
      <c r="E138" s="201">
        <f>GETPIVOTDATA("Suma de turistas",'[1]TTDD DATOS'!$B$6,"País",$C138,"categoría","Total","tipología","Total","zona","tenerife","municipio","total municipios","Años",[1]ACTUALIZACIÓN!$C$2)/GETPIVOTDATA("Suma de turistas",'[1]TTDD DATOS'!$B$6,"País",$C138,"categoría","Total","tipología","Total","zona","tenerife","municipio","total municipios","Años",[1]ACTUALIZACIÓN!$C$2-1)-1</f>
        <v>52.966942148760332</v>
      </c>
      <c r="F138" s="205">
        <f>GETPIVOTDATA("Suma de turistas",'[1]TTDD DATOS'!$B$6,"País",$C138,"categoría","Total","tipología","Total","zona","santa cruz","municipio","total municipios","Años",[1]ACTUALIZACIÓN!$C$2)</f>
        <v>109</v>
      </c>
      <c r="G138" s="201">
        <f>GETPIVOTDATA("Suma de turistas",'[1]TTDD DATOS'!$B$6,"País",$C138,"categoría","Total","tipología","Total","zona","santa cruz","municipio","total municipios","Años",[1]ACTUALIZACIÓN!$C$2)/GETPIVOTDATA("Suma de turistas",'[1]TTDD DATOS'!$B$6,"País",$C138,"categoría","Total","tipología","Total","zona","santa cruz","municipio","total municipios","Años",[1]ACTUALIZACIÓN!$C$2-3)-1</f>
        <v>-0.59328358208955223</v>
      </c>
      <c r="H138" s="205">
        <f>GETPIVOTDATA("Suma de turistas",'[1]TTDD DATOS'!$B$6,"País",$C138,"categoría","Total","tipología","Total","zona","la laguna-bajamar-la punta","municipio","total municipios","Años",[1]ACTUALIZACIÓN!$C$2)</f>
        <v>44</v>
      </c>
      <c r="I138" s="201">
        <f>GETPIVOTDATA("Suma de turistas",'[1]TTDD DATOS'!$B$6,"País",$C138,"categoría","Total","tipología","Total","zona","la laguna-bajamar-la punta","municipio","total municipios","Años",[1]ACTUALIZACIÓN!$C$2)/GETPIVOTDATA("Suma de turistas",'[1]TTDD DATOS'!$B$6,"País",$C138,"categoría","Total","tipología","Total","zona","la laguna-bajamar-la punta","municipio","total municipios","Años",[1]ACTUALIZACIÓN!$C$2-1)-1</f>
        <v>43</v>
      </c>
      <c r="J138" s="205">
        <f>GETPIVOTDATA("Suma de turistas",'[1]TTDD DATOS'!$B$6,"País",$C138,"categoría","Total","tipología","Total","zona","norte","municipio","total municipios","Años",[1]ACTUALIZACIÓN!$C$2)</f>
        <v>957</v>
      </c>
      <c r="K138" s="201">
        <f>GETPIVOTDATA("Suma de turistas",'[1]TTDD DATOS'!$B$6,"País",$C138,"categoría","Total","tipología","Total","zona","norte","municipio","total municipios","Años",[1]ACTUALIZACIÓN!$C$2)/GETPIVOTDATA("Suma de turistas",'[1]TTDD DATOS'!$B$6,"País",$C138,"categoría","Total","tipología","Total","zona","norte","municipio","total municipios","Años",[1]ACTUALIZACIÓN!$C$2-1)-1</f>
        <v>38.875</v>
      </c>
      <c r="L138" s="205">
        <f>GETPIVOTDATA("Suma de turistas",'[1]TTDD DATOS'!$B$6,"País",$C138,"categoría","Total","tipología","Total","zona","sur","municipio","total municipios","Años",[1]ACTUALIZACIÓN!$C$2)</f>
        <v>5420</v>
      </c>
      <c r="M138" s="201">
        <f>GETPIVOTDATA("Suma de turistas",'[1]TTDD DATOS'!$B$6,"País",$C138,"categoría","Total","tipología","Total","zona","sur","municipio","total municipios","Años",[1]ACTUALIZACIÓN!$C$2)/GETPIVOTDATA("Suma de turistas",'[1]TTDD DATOS'!$B$6,"País",$C138,"categoría","Total","tipología","Total","zona","sur","municipio","total municipios","Años",[1]ACTUALIZACIÓN!$C$2-1)-1</f>
        <v>57.27956989247312</v>
      </c>
    </row>
    <row r="139" spans="3:13" ht="24" customHeight="1" thickBot="1" x14ac:dyDescent="0.25">
      <c r="C139" s="199" t="s">
        <v>51</v>
      </c>
      <c r="D139" s="200">
        <f>GETPIVOTDATA("Suma de turistas",'[1]TTDD DATOS'!$B$6,"País",$C139,"categoría","Total","tipología","Total","zona","tenerife","municipio","total municipios","Años",[1]ACTUALIZACIÓN!$C$2)</f>
        <v>6150</v>
      </c>
      <c r="E139" s="201">
        <f>GETPIVOTDATA("Suma de turistas",'[1]TTDD DATOS'!$B$6,"País",$C139,"categoría","Total","tipología","Total","zona","tenerife","municipio","total municipios","Años",[1]ACTUALIZACIÓN!$C$2)/GETPIVOTDATA("Suma de turistas",'[1]TTDD DATOS'!$B$6,"País",$C139,"categoría","Total","tipología","Total","zona","tenerife","municipio","total municipios","Años",[1]ACTUALIZACIÓN!$C$2-1)-1</f>
        <v>76.848101265822791</v>
      </c>
      <c r="F139" s="202">
        <f>GETPIVOTDATA("Suma de turistas",'[1]TTDD DATOS'!$B$6,"País",$C139,"categoría","Total","tipología","Total","zona","santa cruz","municipio","total municipios","Años",[1]ACTUALIZACIÓN!$C$2)</f>
        <v>107</v>
      </c>
      <c r="G139" s="201">
        <f>IFERROR(GETPIVOTDATA("Suma de turistas",'[1]TTDD DATOS'!$B$6,"País",$C139,"categoría","Total","tipología","Total","zona","santa cruz","municipio","total municipios","Años",[1]ACTUALIZACIÓN!$C$2)/GETPIVOTDATA("Suma de turistas",'[1]TTDD DATOS'!$B$6,"País",$C139,"categoría","Total","tipología","Total","zona","santa cruz","municipio","total municipios","Años",[1]ACTUALIZACIÓN!$C$2-3)-1,"-")</f>
        <v>-0.52654867256637172</v>
      </c>
      <c r="H139" s="202">
        <f>GETPIVOTDATA("Suma de turistas",'[1]TTDD DATOS'!$B$6,"País",$C139,"categoría","Total","tipología","Total","zona","la laguna-bajamar-la punta","municipio","total municipios","Años",[1]ACTUALIZACIÓN!$C$2)</f>
        <v>16</v>
      </c>
      <c r="I139" s="201">
        <f>IFERROR(GETPIVOTDATA("Suma de turistas",'[1]TTDD DATOS'!$B$6,"País",$C139,"categoría","Total","tipología","Total","zona","la laguna-bajamar-la punta","municipio","total municipios","Años",[1]ACTUALIZACIÓN!$C$2)/GETPIVOTDATA("Suma de turistas",'[1]TTDD DATOS'!$B$6,"País",$C139,"categoría","Total","tipología","Total","zona","la laguna-bajamar-la punta","municipio","total municipios","Años",[1]ACTUALIZACIÓN!$C$2-1)-1,"-")</f>
        <v>15</v>
      </c>
      <c r="J139" s="202">
        <f>GETPIVOTDATA("Suma de turistas",'[1]TTDD DATOS'!$B$6,"País",$C139,"categoría","Total","tipología","Total","zona","norte","municipio","total municipios","Años",[1]ACTUALIZACIÓN!$C$2)</f>
        <v>1231</v>
      </c>
      <c r="K139" s="201">
        <f>GETPIVOTDATA("Suma de turistas",'[1]TTDD DATOS'!$B$6,"País",$C139,"categoría","Total","tipología","Total","zona","norte","municipio","total municipios","Años",[1]ACTUALIZACIÓN!$C$2)/GETPIVOTDATA("Suma de turistas",'[1]TTDD DATOS'!$B$6,"País",$C139,"categoría","Total","tipología","Total","zona","norte","municipio","total municipios","Años",[1]ACTUALIZACIÓN!$C$2-1)-1</f>
        <v>57.61904761904762</v>
      </c>
      <c r="L139" s="202">
        <f>GETPIVOTDATA("Suma de turistas",'[1]TTDD DATOS'!$B$6,"País",$C139,"categoría","Total","tipología","Total","zona","sur","municipio","total municipios","Años",[1]ACTUALIZACIÓN!$C$2)</f>
        <v>4796</v>
      </c>
      <c r="M139" s="201">
        <f>GETPIVOTDATA("Suma de turistas",'[1]TTDD DATOS'!$B$6,"País",$C139,"categoría","Total","tipología","Total","zona","sur","municipio","total municipios","Años",[1]ACTUALIZACIÓN!$C$2)/GETPIVOTDATA("Suma de turistas",'[1]TTDD DATOS'!$B$6,"País",$C139,"categoría","Total","tipología","Total","zona","sur","municipio","total municipios","Años",[1]ACTUALIZACIÓN!$C$2-1)-1</f>
        <v>110.53488372093024</v>
      </c>
    </row>
    <row r="140" spans="3:13" ht="24" customHeight="1" thickBot="1" x14ac:dyDescent="0.25">
      <c r="C140" s="203" t="s">
        <v>52</v>
      </c>
      <c r="D140" s="204">
        <f>GETPIVOTDATA("Suma de turistas",'[1]TTDD DATOS'!$B$6,"País",$C140,"categoría","Total","tipología","Total","zona","tenerife","municipio","total municipios","Años",[1]ACTUALIZACIÓN!$C$2)</f>
        <v>3132</v>
      </c>
      <c r="E140" s="201">
        <f>GETPIVOTDATA("Suma de turistas",'[1]TTDD DATOS'!$B$6,"País",$C140,"categoría","Total","tipología","Total","zona","tenerife","municipio","total municipios","Años",[1]ACTUALIZACIÓN!$C$2)/GETPIVOTDATA("Suma de turistas",'[1]TTDD DATOS'!$B$6,"País",$C140,"categoría","Total","tipología","Total","zona","tenerife","municipio","total municipios","Años",[1]ACTUALIZACIÓN!$C$2-1)-1</f>
        <v>3.8558139534883722</v>
      </c>
      <c r="F140" s="205">
        <f>GETPIVOTDATA("Suma de turistas",'[1]TTDD DATOS'!$B$6,"País",$C140,"categoría","Total","tipología","Total","zona","santa cruz","municipio","total municipios","Años",[1]ACTUALIZACIÓN!$C$2)</f>
        <v>185</v>
      </c>
      <c r="G140" s="201">
        <f>GETPIVOTDATA("Suma de turistas",'[1]TTDD DATOS'!$B$6,"País",$C140,"categoría","Total","tipología","Total","zona","santa cruz","municipio","total municipios","Años",[1]ACTUALIZACIÓN!$C$2)/GETPIVOTDATA("Suma de turistas",'[1]TTDD DATOS'!$B$6,"País",$C140,"categoría","Total","tipología","Total","zona","santa cruz","municipio","total municipios","Años",[1]ACTUALIZACIÓN!$C$2-3)-1</f>
        <v>0.1858974358974359</v>
      </c>
      <c r="H140" s="205">
        <f>GETPIVOTDATA("Suma de turistas",'[1]TTDD DATOS'!$B$6,"País",$C140,"categoría","Total","tipología","Total","zona","la laguna-bajamar-la punta","municipio","total municipios","Años",[1]ACTUALIZACIÓN!$C$2)</f>
        <v>130</v>
      </c>
      <c r="I140" s="201">
        <f>GETPIVOTDATA("Suma de turistas",'[1]TTDD DATOS'!$B$6,"País",$C140,"categoría","Total","tipología","Total","zona","la laguna-bajamar-la punta","municipio","total municipios","Años",[1]ACTUALIZACIÓN!$C$2)/GETPIVOTDATA("Suma de turistas",'[1]TTDD DATOS'!$B$6,"País",$C140,"categoría","Total","tipología","Total","zona","la laguna-bajamar-la punta","municipio","total municipios","Años",[1]ACTUALIZACIÓN!$C$2-1)-1</f>
        <v>3.6428571428571432</v>
      </c>
      <c r="J140" s="205">
        <f>GETPIVOTDATA("Suma de turistas",'[1]TTDD DATOS'!$B$6,"País",$C140,"categoría","Total","tipología","Total","zona","norte","municipio","total municipios","Años",[1]ACTUALIZACIÓN!$C$2)</f>
        <v>443</v>
      </c>
      <c r="K140" s="201">
        <f>GETPIVOTDATA("Suma de turistas",'[1]TTDD DATOS'!$B$6,"País",$C140,"categoría","Total","tipología","Total","zona","norte","municipio","total municipios","Años",[1]ACTUALIZACIÓN!$C$2)/GETPIVOTDATA("Suma de turistas",'[1]TTDD DATOS'!$B$6,"País",$C140,"categoría","Total","tipología","Total","zona","norte","municipio","total municipios","Años",[1]ACTUALIZACIÓN!$C$2-1)-1</f>
        <v>4.1511627906976747</v>
      </c>
      <c r="L140" s="205">
        <f>GETPIVOTDATA("Suma de turistas",'[1]TTDD DATOS'!$B$6,"País",$C140,"categoría","Total","tipología","Total","zona","sur","municipio","total municipios","Años",[1]ACTUALIZACIÓN!$C$2)</f>
        <v>2374</v>
      </c>
      <c r="M140" s="201">
        <f>GETPIVOTDATA("Suma de turistas",'[1]TTDD DATOS'!$B$6,"País",$C140,"categoría","Total","tipología","Total","zona","sur","municipio","total municipios","Años",[1]ACTUALIZACIÓN!$C$2)/GETPIVOTDATA("Suma de turistas",'[1]TTDD DATOS'!$B$6,"País",$C140,"categoría","Total","tipología","Total","zona","sur","municipio","total municipios","Años",[1]ACTUALIZACIÓN!$C$2-1)-1</f>
        <v>4.0944206008583688</v>
      </c>
    </row>
    <row r="141" spans="3:13" ht="24" customHeight="1" thickBot="1" x14ac:dyDescent="0.25">
      <c r="C141" s="206" t="s">
        <v>53</v>
      </c>
      <c r="D141" s="200">
        <f>GETPIVOTDATA("Suma de turistas",'[1]TTDD DATOS'!$B$6,"País",$C141,"categoría","Total","tipología","Total","zona","tenerife","municipio","total municipios","Años",[1]ACTUALIZACIÓN!$C$2)</f>
        <v>1856</v>
      </c>
      <c r="E141" s="201">
        <f>GETPIVOTDATA("Suma de turistas",'[1]TTDD DATOS'!$B$6,"País",$C141,"categoría","Total","tipología","Total","zona","tenerife","municipio","total municipios","Años",[1]ACTUALIZACIÓN!$C$2)/GETPIVOTDATA("Suma de turistas",'[1]TTDD DATOS'!$B$6,"País",$C141,"categoría","Total","tipología","Total","zona","tenerife","municipio","total municipios","Años",[1]ACTUALIZACIÓN!$C$2-1)-1</f>
        <v>3.7835051546391751</v>
      </c>
      <c r="F141" s="202">
        <f>GETPIVOTDATA("Suma de turistas",'[1]TTDD DATOS'!$B$6,"País",$C141,"categoría","Total","tipología","Total","zona","santa cruz","municipio","total municipios","Años",[1]ACTUALIZACIÓN!$C$2)</f>
        <v>79</v>
      </c>
      <c r="G141" s="201">
        <f>GETPIVOTDATA("Suma de turistas",'[1]TTDD DATOS'!$B$6,"País",$C141,"categoría","Total","tipología","Total","zona","santa cruz","municipio","total municipios","Años",[1]ACTUALIZACIÓN!$C$2)/GETPIVOTDATA("Suma de turistas",'[1]TTDD DATOS'!$B$6,"País",$C141,"categoría","Total","tipología","Total","zona","santa cruz","municipio","total municipios","Años",[1]ACTUALIZACIÓN!$C$2-3)-1</f>
        <v>3.9473684210526327E-2</v>
      </c>
      <c r="H141" s="202">
        <f>GETPIVOTDATA("Suma de turistas",'[1]TTDD DATOS'!$B$6,"País",$C141,"categoría","Total","tipología","Total","zona","la laguna-bajamar-la punta","municipio","total municipios","Años",[1]ACTUALIZACIÓN!$C$2)</f>
        <v>42</v>
      </c>
      <c r="I141" s="201">
        <f>GETPIVOTDATA("Suma de turistas",'[1]TTDD DATOS'!$B$6,"País",$C141,"categoría","Total","tipología","Total","zona","la laguna-bajamar-la punta","municipio","total municipios","Años",[1]ACTUALIZACIÓN!$C$2)/GETPIVOTDATA("Suma de turistas",'[1]TTDD DATOS'!$B$6,"País",$C141,"categoría","Total","tipología","Total","zona","la laguna-bajamar-la punta","municipio","total municipios","Años",[1]ACTUALIZACIÓN!$C$2-1)-1</f>
        <v>2.8181818181818183</v>
      </c>
      <c r="J141" s="202">
        <f>GETPIVOTDATA("Suma de turistas",'[1]TTDD DATOS'!$B$6,"País",$C141,"categoría","Total","tipología","Total","zona","norte","municipio","total municipios","Años",[1]ACTUALIZACIÓN!$C$2)</f>
        <v>426</v>
      </c>
      <c r="K141" s="201">
        <f>GETPIVOTDATA("Suma de turistas",'[1]TTDD DATOS'!$B$6,"País",$C141,"categoría","Total","tipología","Total","zona","norte","municipio","total municipios","Años",[1]ACTUALIZACIÓN!$C$2)/GETPIVOTDATA("Suma de turistas",'[1]TTDD DATOS'!$B$6,"País",$C141,"categoría","Total","tipología","Total","zona","norte","municipio","total municipios","Años",[1]ACTUALIZACIÓN!$C$2-1)-1</f>
        <v>5.7619047619047619</v>
      </c>
      <c r="L141" s="202">
        <f>GETPIVOTDATA("Suma de turistas",'[1]TTDD DATOS'!$B$6,"País",$C141,"categoría","Total","tipología","Total","zona","sur","municipio","total municipios","Años",[1]ACTUALIZACIÓN!$C$2)</f>
        <v>1309</v>
      </c>
      <c r="M141" s="201">
        <f>GETPIVOTDATA("Suma de turistas",'[1]TTDD DATOS'!$B$6,"País",$C141,"categoría","Total","tipología","Total","zona","sur","municipio","total municipios","Años",[1]ACTUALIZACIÓN!$C$2)/GETPIVOTDATA("Suma de turistas",'[1]TTDD DATOS'!$B$6,"País",$C141,"categoría","Total","tipología","Total","zona","sur","municipio","total municipios","Años",[1]ACTUALIZACIÓN!$C$2-1)-1</f>
        <v>3.5451388888888893</v>
      </c>
    </row>
    <row r="142" spans="3:13" ht="24" customHeight="1" thickBot="1" x14ac:dyDescent="0.25">
      <c r="C142" s="203" t="s">
        <v>54</v>
      </c>
      <c r="D142" s="204">
        <f>GETPIVOTDATA("Suma de turistas",'[1]TTDD DATOS'!$B$6,"País",$C142,"categoría","Total","tipología","Total","zona","tenerife","municipio","total municipios","Años",[1]ACTUALIZACIÓN!$C$2)</f>
        <v>504</v>
      </c>
      <c r="E142" s="201">
        <f>GETPIVOTDATA("Suma de turistas",'[1]TTDD DATOS'!$B$6,"País",$C142,"categoría","Total","tipología","Total","zona","tenerife","municipio","total municipios","Años",[1]ACTUALIZACIÓN!$C$2)/GETPIVOTDATA("Suma de turistas",'[1]TTDD DATOS'!$B$6,"País",$C142,"categoría","Total","tipología","Total","zona","tenerife","municipio","total municipios","Años",[1]ACTUALIZACIÓN!$C$2-1)-1</f>
        <v>0.20574162679425845</v>
      </c>
      <c r="F142" s="205">
        <f>GETPIVOTDATA("Suma de turistas",'[1]TTDD DATOS'!$B$6,"País",$C142,"categoría","Total","tipología","Total","zona","santa cruz","municipio","total municipios","Años",[1]ACTUALIZACIÓN!$C$2)</f>
        <v>41</v>
      </c>
      <c r="G142" s="201">
        <f>GETPIVOTDATA("Suma de turistas",'[1]TTDD DATOS'!$B$6,"País",$C142,"categoría","Total","tipología","Total","zona","santa cruz","municipio","total municipios","Años",[1]ACTUALIZACIÓN!$C$2)/GETPIVOTDATA("Suma de turistas",'[1]TTDD DATOS'!$B$6,"País",$C142,"categoría","Total","tipología","Total","zona","santa cruz","municipio","total municipios","Años",[1]ACTUALIZACIÓN!$C$2-3)-1</f>
        <v>-0.8366533864541833</v>
      </c>
      <c r="H142" s="205">
        <f>GETPIVOTDATA("Suma de turistas",'[1]TTDD DATOS'!$B$6,"País",$C142,"categoría","Total","tipología","Total","zona","la laguna-bajamar-la punta","municipio","total municipios","Años",[1]ACTUALIZACIÓN!$C$2)</f>
        <v>8</v>
      </c>
      <c r="I142" s="201">
        <f>GETPIVOTDATA("Suma de turistas",'[1]TTDD DATOS'!$B$6,"País",$C142,"categoría","Total","tipología","Total","zona","la laguna-bajamar-la punta","municipio","total municipios","Años",[1]ACTUALIZACIÓN!$C$2)/GETPIVOTDATA("Suma de turistas",'[1]TTDD DATOS'!$B$6,"País",$C142,"categoría","Total","tipología","Total","zona","la laguna-bajamar-la punta","municipio","total municipios","Años",[1]ACTUALIZACIÓN!$C$2-1)-1</f>
        <v>-0.4285714285714286</v>
      </c>
      <c r="J142" s="205">
        <f>GETPIVOTDATA("Suma de turistas",'[1]TTDD DATOS'!$B$6,"País",$C142,"categoría","Total","tipología","Total","zona","norte","municipio","total municipios","Años",[1]ACTUALIZACIÓN!$C$2)</f>
        <v>107</v>
      </c>
      <c r="K142" s="201">
        <f>GETPIVOTDATA("Suma de turistas",'[1]TTDD DATOS'!$B$6,"País",$C142,"categoría","Total","tipología","Total","zona","norte","municipio","total municipios","Años",[1]ACTUALIZACIÓN!$C$2)/GETPIVOTDATA("Suma de turistas",'[1]TTDD DATOS'!$B$6,"País",$C142,"categoría","Total","tipología","Total","zona","norte","municipio","total municipios","Años",[1]ACTUALIZACIÓN!$C$2-1)-1</f>
        <v>2.9629629629629628</v>
      </c>
      <c r="L142" s="205">
        <f>GETPIVOTDATA("Suma de turistas",'[1]TTDD DATOS'!$B$6,"País",$C142,"categoría","Total","tipología","Total","zona","sur","municipio","total municipios","Años",[1]ACTUALIZACIÓN!$C$2)</f>
        <v>348</v>
      </c>
      <c r="M142" s="201">
        <f>GETPIVOTDATA("Suma de turistas",'[1]TTDD DATOS'!$B$6,"País",$C142,"categoría","Total","tipología","Total","zona","sur","municipio","total municipios","Años",[1]ACTUALIZACIÓN!$C$2)/GETPIVOTDATA("Suma de turistas",'[1]TTDD DATOS'!$B$6,"País",$C142,"categoría","Total","tipología","Total","zona","sur","municipio","total municipios","Años",[1]ACTUALIZACIÓN!$C$2-1)-1</f>
        <v>-8.5470085470085166E-3</v>
      </c>
    </row>
    <row r="143" spans="3:13" ht="24" customHeight="1" thickBot="1" x14ac:dyDescent="0.25">
      <c r="C143" s="206" t="s">
        <v>55</v>
      </c>
      <c r="D143" s="200">
        <f>GETPIVOTDATA("Suma de turistas",'[1]TTDD DATOS'!$B$6,"País",$C143,"categoría","Total","tipología","Total","zona","tenerife","municipio","total municipios","Años",[1]ACTUALIZACIÓN!$C$2)</f>
        <v>11140</v>
      </c>
      <c r="E143" s="201">
        <f>GETPIVOTDATA("Suma de turistas",'[1]TTDD DATOS'!$B$6,"País",$C143,"categoría","Total","tipología","Total","zona","tenerife","municipio","total municipios","Años",[1]ACTUALIZACIÓN!$C$2)/GETPIVOTDATA("Suma de turistas",'[1]TTDD DATOS'!$B$6,"País",$C143,"categoría","Total","tipología","Total","zona","tenerife","municipio","total municipios","Años",[1]ACTUALIZACIÓN!$C$2-1)-1</f>
        <v>1.4706143269017522</v>
      </c>
      <c r="F143" s="202">
        <f>GETPIVOTDATA("Suma de turistas",'[1]TTDD DATOS'!$B$6,"País",$C143,"categoría","Total","tipología","Total","zona","santa cruz","municipio","total municipios","Años",[1]ACTUALIZACIÓN!$C$2)</f>
        <v>359</v>
      </c>
      <c r="G143" s="201">
        <f>GETPIVOTDATA("Suma de turistas",'[1]TTDD DATOS'!$B$6,"País",$C143,"categoría","Total","tipología","Total","zona","santa cruz","municipio","total municipios","Años",[1]ACTUALIZACIÓN!$C$2)/GETPIVOTDATA("Suma de turistas",'[1]TTDD DATOS'!$B$6,"País",$C143,"categoría","Total","tipología","Total","zona","santa cruz","municipio","total municipios","Años",[1]ACTUALIZACIÓN!$C$2-3)-1</f>
        <v>0.48347107438016534</v>
      </c>
      <c r="H143" s="202">
        <f>GETPIVOTDATA("Suma de turistas",'[1]TTDD DATOS'!$B$6,"País",$C143,"categoría","Total","tipología","Total","zona","la laguna-bajamar-la punta","municipio","total municipios","Años",[1]ACTUALIZACIÓN!$C$2)</f>
        <v>81</v>
      </c>
      <c r="I143" s="201">
        <f>GETPIVOTDATA("Suma de turistas",'[1]TTDD DATOS'!$B$6,"País",$C143,"categoría","Total","tipología","Total","zona","la laguna-bajamar-la punta","municipio","total municipios","Años",[1]ACTUALIZACIÓN!$C$2)/GETPIVOTDATA("Suma de turistas",'[1]TTDD DATOS'!$B$6,"País",$C143,"categoría","Total","tipología","Total","zona","la laguna-bajamar-la punta","municipio","total municipios","Años",[1]ACTUALIZACIÓN!$C$2-1)-1</f>
        <v>0.88372093023255816</v>
      </c>
      <c r="J143" s="202">
        <f>GETPIVOTDATA("Suma de turistas",'[1]TTDD DATOS'!$B$6,"País",$C143,"categoría","Total","tipología","Total","zona","norte","municipio","total municipios","Años",[1]ACTUALIZACIÓN!$C$2)</f>
        <v>1433</v>
      </c>
      <c r="K143" s="201">
        <f>GETPIVOTDATA("Suma de turistas",'[1]TTDD DATOS'!$B$6,"País",$C143,"categoría","Total","tipología","Total","zona","norte","municipio","total municipios","Años",[1]ACTUALIZACIÓN!$C$2)/GETPIVOTDATA("Suma de turistas",'[1]TTDD DATOS'!$B$6,"País",$C143,"categoría","Total","tipología","Total","zona","norte","municipio","total municipios","Años",[1]ACTUALIZACIÓN!$C$2-1)-1</f>
        <v>2.8213333333333335</v>
      </c>
      <c r="L143" s="202">
        <f>GETPIVOTDATA("Suma de turistas",'[1]TTDD DATOS'!$B$6,"País",$C143,"categoría","Total","tipología","Total","zona","sur","municipio","total municipios","Años",[1]ACTUALIZACIÓN!$C$2)</f>
        <v>9267</v>
      </c>
      <c r="M143" s="201">
        <f>GETPIVOTDATA("Suma de turistas",'[1]TTDD DATOS'!$B$6,"País",$C143,"categoría","Total","tipología","Total","zona","sur","municipio","total municipios","Años",[1]ACTUALIZACIÓN!$C$2)/GETPIVOTDATA("Suma de turistas",'[1]TTDD DATOS'!$B$6,"País",$C143,"categoría","Total","tipología","Total","zona","sur","municipio","total municipios","Años",[1]ACTUALIZACIÓN!$C$2-1)-1</f>
        <v>1.3496450304259633</v>
      </c>
    </row>
    <row r="144" spans="3:13" ht="24" customHeight="1" thickBot="1" x14ac:dyDescent="0.25">
      <c r="C144" s="203" t="s">
        <v>56</v>
      </c>
      <c r="D144" s="204">
        <f>GETPIVOTDATA("Suma de turistas",'[1]TTDD DATOS'!$B$6,"País",$C144,"categoría","Total","tipología","Total","zona","tenerife","municipio","total municipios","Años",[1]ACTUALIZACIÓN!$C$2)</f>
        <v>15481</v>
      </c>
      <c r="E144" s="201">
        <f>GETPIVOTDATA("Suma de turistas",'[1]TTDD DATOS'!$B$6,"País",$C144,"categoría","Total","tipología","Total","zona","tenerife","municipio","total municipios","Años",[1]ACTUALIZACIÓN!$C$2)/GETPIVOTDATA("Suma de turistas",'[1]TTDD DATOS'!$B$6,"País",$C144,"categoría","Total","tipología","Total","zona","tenerife","municipio","total municipios","Años",[1]ACTUALIZACIÓN!$C$2-1)-1</f>
        <v>3.3376295881199214</v>
      </c>
      <c r="F144" s="205">
        <f>GETPIVOTDATA("Suma de turistas",'[1]TTDD DATOS'!$B$6,"País",$C144,"categoría","Total","tipología","Total","zona","santa cruz","municipio","total municipios","Años",[1]ACTUALIZACIÓN!$C$2)</f>
        <v>594</v>
      </c>
      <c r="G144" s="201">
        <f>GETPIVOTDATA("Suma de turistas",'[1]TTDD DATOS'!$B$6,"País",$C144,"categoría","Total","tipología","Total","zona","santa cruz","municipio","total municipios","Años",[1]ACTUALIZACIÓN!$C$2)/GETPIVOTDATA("Suma de turistas",'[1]TTDD DATOS'!$B$6,"País",$C144,"categoría","Total","tipología","Total","zona","santa cruz","municipio","total municipios","Años",[1]ACTUALIZACIÓN!$C$2-3)-1</f>
        <v>0.20731707317073167</v>
      </c>
      <c r="H144" s="205">
        <f>GETPIVOTDATA("Suma de turistas",'[1]TTDD DATOS'!$B$6,"País",$C144,"categoría","Total","tipología","Total","zona","la laguna-bajamar-la punta","municipio","total municipios","Años",[1]ACTUALIZACIÓN!$C$2)</f>
        <v>130</v>
      </c>
      <c r="I144" s="201">
        <f>GETPIVOTDATA("Suma de turistas",'[1]TTDD DATOS'!$B$6,"País",$C144,"categoría","Total","tipología","Total","zona","la laguna-bajamar-la punta","municipio","total municipios","Años",[1]ACTUALIZACIÓN!$C$2)/GETPIVOTDATA("Suma de turistas",'[1]TTDD DATOS'!$B$6,"País",$C144,"categoría","Total","tipología","Total","zona","la laguna-bajamar-la punta","municipio","total municipios","Años",[1]ACTUALIZACIÓN!$C$2-1)-1</f>
        <v>2.9393939393939394</v>
      </c>
      <c r="J144" s="205">
        <f>GETPIVOTDATA("Suma de turistas",'[1]TTDD DATOS'!$B$6,"País",$C144,"categoría","Total","tipología","Total","zona","norte","municipio","total municipios","Años",[1]ACTUALIZACIÓN!$C$2)</f>
        <v>2522</v>
      </c>
      <c r="K144" s="201">
        <f>GETPIVOTDATA("Suma de turistas",'[1]TTDD DATOS'!$B$6,"País",$C144,"categoría","Total","tipología","Total","zona","norte","municipio","total municipios","Años",[1]ACTUALIZACIÓN!$C$2)/GETPIVOTDATA("Suma de turistas",'[1]TTDD DATOS'!$B$6,"País",$C144,"categoría","Total","tipología","Total","zona","norte","municipio","total municipios","Años",[1]ACTUALIZACIÓN!$C$2-1)-1</f>
        <v>6.025069637883008</v>
      </c>
      <c r="L144" s="205">
        <f>GETPIVOTDATA("Suma de turistas",'[1]TTDD DATOS'!$B$6,"País",$C144,"categoría","Total","tipología","Total","zona","sur","municipio","total municipios","Años",[1]ACTUALIZACIÓN!$C$2)</f>
        <v>12235</v>
      </c>
      <c r="M144" s="201">
        <f>GETPIVOTDATA("Suma de turistas",'[1]TTDD DATOS'!$B$6,"País",$C144,"categoría","Total","tipología","Total","zona","sur","municipio","total municipios","Años",[1]ACTUALIZACIÓN!$C$2)/GETPIVOTDATA("Suma de turistas",'[1]TTDD DATOS'!$B$6,"País",$C144,"categoría","Total","tipología","Total","zona","sur","municipio","total municipios","Años",[1]ACTUALIZACIÓN!$C$2-1)-1</f>
        <v>3.4915565345080761</v>
      </c>
    </row>
    <row r="145" spans="3:13" ht="24" customHeight="1" thickBot="1" x14ac:dyDescent="0.25">
      <c r="C145" s="206" t="s">
        <v>57</v>
      </c>
      <c r="D145" s="200">
        <f>GETPIVOTDATA("Suma de turistas",'[1]TTDD DATOS'!$B$6,"País","estados unidos","categoría","Total","tipología","Total","zona","tenerife","municipio","total municipios","Años",[1]ACTUALIZACIÓN!$C$2)</f>
        <v>2457</v>
      </c>
      <c r="E145" s="201">
        <f>GETPIVOTDATA("Suma de turistas",'[1]TTDD DATOS'!$B$6,"País","estados unidos","categoría","Total","tipología","Total","zona","tenerife","municipio","total municipios","Años",[1]ACTUALIZACIÓN!$C$2)/GETPIVOTDATA("Suma de turistas",'[1]TTDD DATOS'!$B$6,"País","estados unidos","categoría","Total","tipología","Total","zona","tenerife","municipio","total municipios","Años",[1]ACTUALIZACIÓN!$C$2-1)-1</f>
        <v>9.7292576419213965</v>
      </c>
      <c r="F145" s="202">
        <f>GETPIVOTDATA("Suma de turistas",'[1]TTDD DATOS'!$B$6,"País","estados unidos","categoría","Total","tipología","Total","zona","santa cruz","municipio","total municipios","Años",[1]ACTUALIZACIÓN!$C$2)</f>
        <v>167</v>
      </c>
      <c r="G145" s="201">
        <f>GETPIVOTDATA("Suma de turistas",'[1]TTDD DATOS'!$B$6,"País","estados unidos","categoría","Total","tipología","Total","zona","santa cruz","municipio","total municipios","Años",[1]ACTUALIZACIÓN!$C$2)/GETPIVOTDATA("Suma de turistas",'[1]TTDD DATOS'!$B$6,"País","estados unidos","categoría","Total","tipología","Total","zona","santa cruz","municipio","total municipios","Años",[1]ACTUALIZACIÓN!$C$2-3)-1</f>
        <v>-0.33992094861660083</v>
      </c>
      <c r="H145" s="202">
        <f>GETPIVOTDATA("Suma de turistas",'[1]TTDD DATOS'!$B$6,"País","estados unidos","categoría","Total","tipología","Total","zona","la laguna-bajamar-la punta","municipio","total municipios","Años",[1]ACTUALIZACIÓN!$C$2)</f>
        <v>79</v>
      </c>
      <c r="I145" s="201">
        <f>GETPIVOTDATA("Suma de turistas",'[1]TTDD DATOS'!$B$6,"País","estados unidos","categoría","Total","tipología","Total","zona","la laguna-bajamar-la punta","municipio","total municipios","Años",[1]ACTUALIZACIÓN!$C$2)/GETPIVOTDATA("Suma de turistas",'[1]TTDD DATOS'!$B$6,"País","estados unidos","categoría","Total","tipología","Total","zona","la laguna-bajamar-la punta","municipio","total municipios","Años",[1]ACTUALIZACIÓN!$C$2-1)-1</f>
        <v>18.75</v>
      </c>
      <c r="J145" s="202">
        <f>GETPIVOTDATA("Suma de turistas",'[1]TTDD DATOS'!$B$6,"País","estados unidos","categoría","Total","tipología","Total","zona","norte","municipio","total municipios","Años",[1]ACTUALIZACIÓN!$C$2)</f>
        <v>219</v>
      </c>
      <c r="K145" s="201">
        <f>GETPIVOTDATA("Suma de turistas",'[1]TTDD DATOS'!$B$6,"País","estados unidos","categoría","Total","tipología","Total","zona","norte","municipio","total municipios","Años",[1]ACTUALIZACIÓN!$C$2)/GETPIVOTDATA("Suma de turistas",'[1]TTDD DATOS'!$B$6,"País","estados unidos","categoría","Total","tipología","Total","zona","norte","municipio","total municipios","Años",[1]ACTUALIZACIÓN!$C$2-1)-1</f>
        <v>14.642857142857142</v>
      </c>
      <c r="L145" s="202">
        <f>GETPIVOTDATA("Suma de turistas",'[1]TTDD DATOS'!$B$6,"País","estados unidos","categoría","Total","tipología","Total","zona","sur","municipio","total municipios","Años",[1]ACTUALIZACIÓN!$C$2)</f>
        <v>1992</v>
      </c>
      <c r="M145" s="201">
        <f>GETPIVOTDATA("Suma de turistas",'[1]TTDD DATOS'!$B$6,"País","estados unidos","categoría","Total","tipología","Total","zona","sur","municipio","total municipios","Años",[1]ACTUALIZACIÓN!$C$2)/GETPIVOTDATA("Suma de turistas",'[1]TTDD DATOS'!$B$6,"País","estados unidos","categoría","Total","tipología","Total","zona","sur","municipio","total municipios","Años",[1]ACTUALIZACIÓN!$C$2-1)-1</f>
        <v>10.448275862068966</v>
      </c>
    </row>
    <row r="146" spans="3:13" ht="24" customHeight="1" thickBot="1" x14ac:dyDescent="0.25">
      <c r="C146" s="203" t="s">
        <v>58</v>
      </c>
      <c r="D146" s="204">
        <f>GETPIVOTDATA("Suma de turistas",'[1]TTDD DATOS'!$B$6,"País",$C146,"categoría","Total","tipología","Total","zona","tenerife","municipio","total municipios","Años",[1]ACTUALIZACIÓN!$C$2)</f>
        <v>1466</v>
      </c>
      <c r="E146" s="201">
        <f>GETPIVOTDATA("Suma de turistas",'[1]TTDD DATOS'!$B$6,"País",$C146,"categoría","Total","tipología","Total","zona","tenerife","municipio","total municipios","Años",[1]ACTUALIZACIÓN!$C$2)/GETPIVOTDATA("Suma de turistas",'[1]TTDD DATOS'!$B$6,"País",$C146,"categoría","Total","tipología","Total","zona","tenerife","municipio","total municipios","Años",[1]ACTUALIZACIÓN!$C$2-1)-1</f>
        <v>1.5189003436426116</v>
      </c>
      <c r="F146" s="205">
        <f>GETPIVOTDATA("Suma de turistas",'[1]TTDD DATOS'!$B$6,"País",$C146,"categoría","Total","tipología","Total","zona","santa cruz","municipio","total municipios","Años",[1]ACTUALIZACIÓN!$C$2)</f>
        <v>345</v>
      </c>
      <c r="G146" s="201">
        <f>GETPIVOTDATA("Suma de turistas",'[1]TTDD DATOS'!$B$6,"País",$C146,"categoría","Total","tipología","Total","zona","santa cruz","municipio","total municipios","Años",[1]ACTUALIZACIÓN!$C$2)/GETPIVOTDATA("Suma de turistas",'[1]TTDD DATOS'!$B$6,"País",$C146,"categoría","Total","tipología","Total","zona","santa cruz","municipio","total municipios","Años",[1]ACTUALIZACIÓN!$C$2-3)-1</f>
        <v>-0.23333333333333328</v>
      </c>
      <c r="H146" s="205">
        <f>GETPIVOTDATA("Suma de turistas",'[1]TTDD DATOS'!$B$6,"País",$C146,"categoría","Total","tipología","Total","zona","la laguna-bajamar-la punta","municipio","total municipios","Años",[1]ACTUALIZACIÓN!$C$2)</f>
        <v>48</v>
      </c>
      <c r="I146" s="201">
        <f>GETPIVOTDATA("Suma de turistas",'[1]TTDD DATOS'!$B$6,"País",$C146,"categoría","Total","tipología","Total","zona","la laguna-bajamar-la punta","municipio","total municipios","Años",[1]ACTUALIZACIÓN!$C$2)/GETPIVOTDATA("Suma de turistas",'[1]TTDD DATOS'!$B$6,"País",$C146,"categoría","Total","tipología","Total","zona","la laguna-bajamar-la punta","municipio","total municipios","Años",[1]ACTUALIZACIÓN!$C$2-1)-1</f>
        <v>1.1818181818181817</v>
      </c>
      <c r="J146" s="205">
        <f>GETPIVOTDATA("Suma de turistas",'[1]TTDD DATOS'!$B$6,"País",$C146,"categoría","Total","tipología","Total","zona","norte","municipio","total municipios","Años",[1]ACTUALIZACIÓN!$C$2)</f>
        <v>334</v>
      </c>
      <c r="K146" s="201">
        <f>GETPIVOTDATA("Suma de turistas",'[1]TTDD DATOS'!$B$6,"País",$C146,"categoría","Total","tipología","Total","zona","norte","municipio","total municipios","Años",[1]ACTUALIZACIÓN!$C$2)/GETPIVOTDATA("Suma de turistas",'[1]TTDD DATOS'!$B$6,"País",$C146,"categoría","Total","tipología","Total","zona","norte","municipio","total municipios","Años",[1]ACTUALIZACIÓN!$C$2-1)-1</f>
        <v>2.0363636363636362</v>
      </c>
      <c r="L146" s="205">
        <f>GETPIVOTDATA("Suma de turistas",'[1]TTDD DATOS'!$B$6,"País",$C146,"categoría","Total","tipología","Total","zona","sur","municipio","total municipios","Años",[1]ACTUALIZACIÓN!$C$2)</f>
        <v>739</v>
      </c>
      <c r="M146" s="201">
        <f>GETPIVOTDATA("Suma de turistas",'[1]TTDD DATOS'!$B$6,"País",$C146,"categoría","Total","tipología","Total","zona","sur","municipio","total municipios","Años",[1]ACTUALIZACIÓN!$C$2)/GETPIVOTDATA("Suma de turistas",'[1]TTDD DATOS'!$B$6,"País",$C146,"categoría","Total","tipología","Total","zona","sur","municipio","total municipios","Años",[1]ACTUALIZACIÓN!$C$2-1)-1</f>
        <v>1.909448818897638</v>
      </c>
    </row>
    <row r="147" spans="3:13" ht="24" customHeight="1" thickBot="1" x14ac:dyDescent="0.25">
      <c r="C147" s="206" t="s">
        <v>59</v>
      </c>
      <c r="D147" s="208">
        <f>GETPIVOTDATA("Suma de turistas",'[1]TTDD DATOS'!$B$6,"País",$C147,"categoría","Total","tipología","Total","zona","tenerife","municipio","total municipios","Años",[1]ACTUALIZACIÓN!$C$2)</f>
        <v>6776</v>
      </c>
      <c r="E147" s="209">
        <f>GETPIVOTDATA("Suma de turistas",'[1]TTDD DATOS'!$B$6,"País",$C147,"categoría","Total","tipología","Total","zona","tenerife","municipio","total municipios","Años",[1]ACTUALIZACIÓN!$C$2)/GETPIVOTDATA("Suma de turistas",'[1]TTDD DATOS'!$B$6,"País",$C147,"categoría","Total","tipología","Total","zona","tenerife","municipio","total municipios","Años",[1]ACTUALIZACIÓN!$C$2-1)-1</f>
        <v>2.85</v>
      </c>
      <c r="F147" s="210">
        <f>GETPIVOTDATA("Suma de turistas",'[1]TTDD DATOS'!$B$6,"País",$C147,"categoría","Total","tipología","Total","zona","santa cruz","municipio","total municipios","Años",[1]ACTUALIZACIÓN!$C$2)</f>
        <v>1046</v>
      </c>
      <c r="G147" s="209">
        <f>GETPIVOTDATA("Suma de turistas",'[1]TTDD DATOS'!$B$6,"País",$C147,"categoría","Total","tipología","Total","zona","santa cruz","municipio","total municipios","Años",[1]ACTUALIZACIÓN!$C$2)/GETPIVOTDATA("Suma de turistas",'[1]TTDD DATOS'!$B$6,"País",$C147,"categoría","Total","tipología","Total","zona","santa cruz","municipio","total municipios","Años",[1]ACTUALIZACIÓN!$C$2-3)-1</f>
        <v>0.58966565349544076</v>
      </c>
      <c r="H147" s="211">
        <f>GETPIVOTDATA("Suma de turistas",'[1]TTDD DATOS'!$B$6,"País",$C147,"categoría","Total","tipología","Total","zona","la laguna-bajamar-la punta","municipio","total municipios","Años",[1]ACTUALIZACIÓN!$C$2)</f>
        <v>88</v>
      </c>
      <c r="I147" s="209">
        <f>GETPIVOTDATA("Suma de turistas",'[1]TTDD DATOS'!$B$6,"País",$C147,"categoría","Total","tipología","Total","zona","la laguna-bajamar-la punta","municipio","total municipios","Años",[1]ACTUALIZACIÓN!$C$2)/GETPIVOTDATA("Suma de turistas",'[1]TTDD DATOS'!$B$6,"País",$C147,"categoría","Total","tipología","Total","zona","la laguna-bajamar-la punta","municipio","total municipios","Años",[1]ACTUALIZACIÓN!$C$2-1)-1</f>
        <v>3.6315789473684212</v>
      </c>
      <c r="J147" s="211">
        <f>GETPIVOTDATA("Suma de turistas",'[1]TTDD DATOS'!$B$6,"País",$C147,"categoría","Total","tipología","Total","zona","norte","municipio","total municipios","Años",[1]ACTUALIZACIÓN!$C$2)</f>
        <v>669</v>
      </c>
      <c r="K147" s="209">
        <f>GETPIVOTDATA("Suma de turistas",'[1]TTDD DATOS'!$B$6,"País",$C147,"categoría","Total","tipología","Total","zona","norte","municipio","total municipios","Años",[1]ACTUALIZACIÓN!$C$2)/GETPIVOTDATA("Suma de turistas",'[1]TTDD DATOS'!$B$6,"País",$C147,"categoría","Total","tipología","Total","zona","norte","municipio","total municipios","Años",[1]ACTUALIZACIÓN!$C$2-1)-1</f>
        <v>4.7672413793103452</v>
      </c>
      <c r="L147" s="210">
        <f>GETPIVOTDATA("Suma de turistas",'[1]TTDD DATOS'!$B$6,"País",$C147,"categoría","Total","tipología","Total","zona","sur","municipio","total municipios","Años",[1]ACTUALIZACIÓN!$C$2)</f>
        <v>4973</v>
      </c>
      <c r="M147" s="209">
        <f>GETPIVOTDATA("Suma de turistas",'[1]TTDD DATOS'!$B$6,"País",$C147,"categoría","Total","tipología","Total","zona","sur","municipio","total municipios","Años",[1]ACTUALIZACIÓN!$C$2)/GETPIVOTDATA("Suma de turistas",'[1]TTDD DATOS'!$B$6,"País",$C147,"categoría","Total","tipología","Total","zona","sur","municipio","total municipios","Años",[1]ACTUALIZACIÓN!$C$2-1)-1</f>
        <v>4.9061757719714967</v>
      </c>
    </row>
    <row r="148" spans="3:13" ht="30.75" customHeight="1" thickTop="1" thickBot="1" x14ac:dyDescent="0.25">
      <c r="C148" s="212" t="s">
        <v>60</v>
      </c>
      <c r="D148" s="213">
        <f>GETPIVOTDATA("Suma de turistas",'[1]TTDD DATOS'!$B$6,"País","total","categoría","Total","tipología","Total","zona","tenerife","municipio","total municipios","Años",[1]ACTUALIZACIÓN!$C$2)-GETPIVOTDATA("Suma de turistas",'[1]TTDD DATOS'!$B$6,"País","españa","categoría","Total","tipología","Total","zona","tenerife","municipio","total municipios","Años",[1]ACTUALIZACIÓN!$C$2)</f>
        <v>293369</v>
      </c>
      <c r="E148" s="214">
        <f>(GETPIVOTDATA("Suma de turistas",'[1]TTDD DATOS'!$B$6,"País","total","categoría","Total","tipología","Total","zona","tenerife","municipio","total municipios","Años",[1]ACTUALIZACIÓN!$C$2)-GETPIVOTDATA("Suma de turistas",'[1]TTDD DATOS'!$B$6,"País","españa","categoría","Total","tipología","Total","zona","tenerife","municipio","total municipios","Años",[1]ACTUALIZACIÓN!$C$2))/(GETPIVOTDATA("Suma de turistas",'[1]TTDD DATOS'!$B$6,"País","total","categoría","Total","tipología","Total","zona","tenerife","municipio","total municipios","Años",[1]ACTUALIZACIÓN!$C$2-1)-GETPIVOTDATA("Suma de turistas",'[1]TTDD DATOS'!$B$6,"País","españa","categoría","Total","tipología","Total","zona","tenerife","municipio","total municipios","Años",[1]ACTUALIZACIÓN!$C$2-1))-1</f>
        <v>8.1988272921108738</v>
      </c>
      <c r="F148" s="215">
        <f>GETPIVOTDATA("Suma de turistas",'[1]TTDD DATOS'!$B$6,"País","total","categoría","Total","tipología","Total","zona","santa cruz","municipio","total municipios","Años",[1]ACTUALIZACIÓN!$C$2)-GETPIVOTDATA("Suma de turistas",'[1]TTDD DATOS'!$B$6,"País","españa","categoría","Total","tipología","Total","zona","santa cruz","municipio","total municipios","Años",[1]ACTUALIZACIÓN!$C$2)</f>
        <v>7075</v>
      </c>
      <c r="G148" s="214">
        <f>(GETPIVOTDATA("Suma de turistas",'[1]TTDD DATOS'!$B$6,"País","total","categoría","Total","tipología","Total","zona","santa cruz","municipio","total municipios","Años",[1]ACTUALIZACIÓN!$C$2)-GETPIVOTDATA("Suma de turistas",'[1]TTDD DATOS'!$B$6,"País","españa","categoría","Total","tipología","Total","zona","santa cruz","municipio","total municipios","Años",[1]ACTUALIZACIÓN!$C$2))/(GETPIVOTDATA("Suma de turistas",'[1]TTDD DATOS'!$B$6,"País","total","categoría","Total","tipología","Total","zona","santa cruz","municipio","total municipios","Años",[1]ACTUALIZACIÓN!$C$2-3)-GETPIVOTDATA("Suma de turistas",'[1]TTDD DATOS'!$B$6,"País","españa","categoría","Total","tipología","Total","zona","santa cruz","municipio","total municipios","Años",[1]ACTUALIZACIÓN!$C$2-3))-1</f>
        <v>-7.2496067121132657E-2</v>
      </c>
      <c r="H148" s="216">
        <f>GETPIVOTDATA("Suma de turistas",'[1]TTDD DATOS'!$B$6,"País","total","categoría","Total","tipología","Total","zona","la laguna-bajamar-la punta","municipio","total municipios","Años",[1]ACTUALIZACIÓN!$C$2)-GETPIVOTDATA("Suma de turistas",'[1]TTDD DATOS'!$B$6,"País","españa","categoría","Total","tipología","Total","zona","la laguna-bajamar-la punta","municipio","total municipios","Años",[1]ACTUALIZACIÓN!$C$2)</f>
        <v>2494</v>
      </c>
      <c r="I148" s="214">
        <f>(GETPIVOTDATA("Suma de turistas",'[1]TTDD DATOS'!$B$6,"País","total","categoría","Total","tipología","Total","zona","la laguna-bajamar-la punta","municipio","total municipios","Años",[1]ACTUALIZACIÓN!$C$2)-GETPIVOTDATA("Suma de turistas",'[1]TTDD DATOS'!$B$6,"País","españa","categoría","Total","tipología","Total","zona","la laguna-bajamar-la punta","municipio","total municipios","Años",[1]ACTUALIZACIÓN!$C$2))/(GETPIVOTDATA("Suma de turistas",'[1]TTDD DATOS'!$B$6,"País","total","categoría","Total","tipología","Total","zona","la laguna-bajamar-la punta","municipio","total municipios","Años",[1]ACTUALIZACIÓN!$C$2-1)-GETPIVOTDATA("Suma de turistas",'[1]TTDD DATOS'!$B$6,"País","españa","categoría","Total","tipología","Total","zona","la laguna-bajamar-la punta","municipio","total municipios","Años",[1]ACTUALIZACIÓN!$C$2-1))-1</f>
        <v>1.563206577595067</v>
      </c>
      <c r="J148" s="216">
        <f>GETPIVOTDATA("Suma de turistas",'[1]TTDD DATOS'!$B$6,"País","total","categoría","Total","tipología","Total","zona","norte","municipio","total municipios","Años",[1]ACTUALIZACIÓN!$C$2)-GETPIVOTDATA("Suma de turistas",'[1]TTDD DATOS'!$B$6,"País","españa","categoría","Total","tipología","Total","zona","norte","municipio","total municipios","Años",[1]ACTUALIZACIÓN!$C$2)</f>
        <v>34276</v>
      </c>
      <c r="K148" s="214">
        <f>(GETPIVOTDATA("Suma de turistas",'[1]TTDD DATOS'!$B$6,"País","total","categoría","Total","tipología","Total","zona","norte","municipio","total municipios","Años",[1]ACTUALIZACIÓN!$C$2)-GETPIVOTDATA("Suma de turistas",'[1]TTDD DATOS'!$B$6,"País","españa","categoría","Total","tipología","Total","zona","norte","municipio","total municipios","Años",[1]ACTUALIZACIÓN!$C$2))/(GETPIVOTDATA("Suma de turistas",'[1]TTDD DATOS'!$B$6,"País","total","categoría","Total","tipología","Total","zona","norte","municipio","total municipios","Años",[1]ACTUALIZACIÓN!$C$2-1)-GETPIVOTDATA("Suma de turistas",'[1]TTDD DATOS'!$B$6,"País","españa","categoría","Total","tipología","Total","zona","norte","municipio","total municipios","Años",[1]ACTUALIZACIÓN!$C$2-1))-1</f>
        <v>7.4216216216216218</v>
      </c>
      <c r="L148" s="215">
        <f>GETPIVOTDATA("Suma de turistas",'[1]TTDD DATOS'!$B$6,"País","total","categoría","Total","tipología","Total","zona","sur","municipio","total municipios","Años",[1]ACTUALIZACIÓN!$C$2)-GETPIVOTDATA("Suma de turistas",'[1]TTDD DATOS'!$B$6,"País","españa","categoría","Total","tipología","Total","zona","sur","municipio","total municipios","Años",[1]ACTUALIZACIÓN!$C$2)</f>
        <v>249524</v>
      </c>
      <c r="M148" s="214">
        <f>(GETPIVOTDATA("Suma de turistas",'[1]TTDD DATOS'!$B$6,"País","total","categoría","Total","tipología","Total","zona","sur","municipio","total municipios","Años",[1]ACTUALIZACIÓN!$C$2)-GETPIVOTDATA("Suma de turistas",'[1]TTDD DATOS'!$B$6,"País","españa","categoría","Total","tipología","Total","zona","sur","municipio","total municipios","Años",[1]ACTUALIZACIÓN!$C$2))/(GETPIVOTDATA("Suma de turistas",'[1]TTDD DATOS'!$B$6,"País","total","categoría","Total","tipología","Total","zona","sur","municipio","total municipios","Años",[1]ACTUALIZACIÓN!$C$2-1)-GETPIVOTDATA("Suma de turistas",'[1]TTDD DATOS'!$B$6,"País","españa","categoría","Total","tipología","Total","zona","sur","municipio","total municipios","Años",[1]ACTUALIZACIÓN!$C$2-1))-1</f>
        <v>9.8507566533310147</v>
      </c>
    </row>
    <row r="149" spans="3:13" ht="24" customHeight="1" thickBot="1" x14ac:dyDescent="0.25">
      <c r="C149" s="217" t="s">
        <v>8</v>
      </c>
      <c r="D149" s="218">
        <f>GETPIVOTDATA("Suma de turistas",'[1]TTDD DATOS'!$B$6,"País",$C149,"categoría","Total","tipología","Total","zona","tenerife","municipio","total municipios","Años",[1]ACTUALIZACIÓN!$C$2)</f>
        <v>354116</v>
      </c>
      <c r="E149" s="219">
        <f>GETPIVOTDATA("Suma de turistas",'[1]TTDD DATOS'!$B$6,"País",$C149,"categoría","Total","tipología","Total","zona","tenerife","municipio","total municipios","Años",[1]ACTUALIZACIÓN!$C$2)/GETPIVOTDATA("Suma de turistas",'[1]TTDD DATOS'!$B$6,"País",$C149,"categoría","Total","tipología","Total","zona","tenerife","municipio","total municipios","Años",[1]ACTUALIZACIÓN!$C$2-1)-1</f>
        <v>3.4926605853769939</v>
      </c>
      <c r="F149" s="220">
        <f>GETPIVOTDATA("Suma de turistas",'[1]TTDD DATOS'!$B$6,"País",$C149,"categoría","Total","tipología","Total","zona","santa cruz","municipio","total municipios","Años",[1]ACTUALIZACIÓN!$C$2)</f>
        <v>19141</v>
      </c>
      <c r="G149" s="219">
        <f>GETPIVOTDATA("Suma de turistas",'[1]TTDD DATOS'!$B$6,"País",$C149,"categoría","Total","tipología","Total","zona","santa cruz","municipio","total municipios","Años",[1]ACTUALIZACIÓN!$C$2)/GETPIVOTDATA("Suma de turistas",'[1]TTDD DATOS'!$B$6,"País",$C149,"categoría","Total","tipología","Total","zona","santa cruz","municipio","total municipios","Años",[1]ACTUALIZACIÓN!$C$2-3)-1</f>
        <v>-0.17385299322370407</v>
      </c>
      <c r="H149" s="220">
        <f>GETPIVOTDATA("Suma de turistas",'[1]TTDD DATOS'!$B$6,"País",$C149,"categoría","Total","tipología","Total","zona","la laguna-bajamar-la punta","municipio","total municipios","Años",[1]ACTUALIZACIÓN!$C$2)</f>
        <v>4965</v>
      </c>
      <c r="I149" s="219">
        <f>GETPIVOTDATA("Suma de turistas",'[1]TTDD DATOS'!$B$6,"País",$C149,"categoría","Total","tipología","Total","zona","la laguna-bajamar-la punta","municipio","total municipios","Años",[1]ACTUALIZACIÓN!$C$2)/GETPIVOTDATA("Suma de turistas",'[1]TTDD DATOS'!$B$6,"País",$C149,"categoría","Total","tipología","Total","zona","la laguna-bajamar-la punta","municipio","total municipios","Años",[1]ACTUALIZACIÓN!$C$2-1)-1</f>
        <v>1.3642857142857143</v>
      </c>
      <c r="J149" s="220">
        <f>GETPIVOTDATA("Suma de turistas",'[1]TTDD DATOS'!$B$6,"País",$C149,"categoría","Total","tipología","Total","zona","norte","municipio","total municipios","Años",[1]ACTUALIZACIÓN!$C$2)</f>
        <v>56554</v>
      </c>
      <c r="K149" s="219">
        <f>GETPIVOTDATA("Suma de turistas",'[1]TTDD DATOS'!$B$6,"País",$C149,"categoría","Total","tipología","Total","zona","norte","municipio","total municipios","Años",[1]ACTUALIZACIÓN!$C$2)/GETPIVOTDATA("Suma de turistas",'[1]TTDD DATOS'!$B$6,"País",$C149,"categoría","Total","tipología","Total","zona","norte","municipio","total municipios","Años",[1]ACTUALIZACIÓN!$C$2-1)-1</f>
        <v>3.4485172657909224</v>
      </c>
      <c r="L149" s="220">
        <f>GETPIVOTDATA("Suma de turistas",'[1]TTDD DATOS'!$B$6,"País",$C149,"categoría","Total","tipología","Total","zona","sur","municipio","total municipios","Años",[1]ACTUALIZACIÓN!$C$2)</f>
        <v>273456</v>
      </c>
      <c r="M149" s="219">
        <f>GETPIVOTDATA("Suma de turistas",'[1]TTDD DATOS'!$B$6,"País",$C149,"categoría","Total","tipología","Total","zona","sur","municipio","total municipios","Años",[1]ACTUALIZACIÓN!$C$2)/GETPIVOTDATA("Suma de turistas",'[1]TTDD DATOS'!$B$6,"País",$C149,"categoría","Total","tipología","Total","zona","sur","municipio","total municipios","Años",[1]ACTUALIZACIÓN!$C$2-1)-1</f>
        <v>4.1758559990914765</v>
      </c>
    </row>
    <row r="150" spans="3:13" ht="13.5" thickBot="1" x14ac:dyDescent="0.25">
      <c r="C150" s="15"/>
      <c r="M150" s="221"/>
    </row>
    <row r="151" spans="3:13" ht="35.25" customHeight="1" thickBot="1" x14ac:dyDescent="0.25">
      <c r="C151" s="172" t="s">
        <v>28</v>
      </c>
      <c r="D151" s="173"/>
      <c r="E151" s="173"/>
      <c r="F151" s="173"/>
      <c r="G151" s="173"/>
      <c r="H151" s="173"/>
      <c r="I151" s="173"/>
      <c r="J151" s="173"/>
      <c r="K151" s="173"/>
      <c r="L151" s="173"/>
      <c r="M151" s="174"/>
    </row>
    <row r="152" spans="3:13" ht="20.100000000000001" customHeight="1" x14ac:dyDescent="0.2">
      <c r="C152" s="175"/>
      <c r="D152" s="176"/>
      <c r="E152" s="176"/>
      <c r="F152" s="176"/>
      <c r="G152" s="176"/>
      <c r="H152" s="177"/>
      <c r="I152" s="177"/>
      <c r="J152" s="176"/>
      <c r="K152" s="176"/>
      <c r="L152" s="176"/>
      <c r="M152" s="178"/>
    </row>
    <row r="153" spans="3:13" ht="5.25" customHeight="1" thickBot="1" x14ac:dyDescent="0.25">
      <c r="C153" s="179"/>
      <c r="D153" s="176"/>
      <c r="E153" s="176"/>
      <c r="F153" s="176"/>
      <c r="G153" s="176"/>
      <c r="H153" s="180"/>
      <c r="I153" s="180"/>
      <c r="J153" s="176"/>
      <c r="K153" s="176"/>
      <c r="L153" s="176"/>
      <c r="M153" s="181"/>
    </row>
    <row r="154" spans="3:13" ht="32.25" customHeight="1" thickTop="1" thickBot="1" x14ac:dyDescent="0.25">
      <c r="C154" s="182"/>
      <c r="D154" s="183" t="s">
        <v>7</v>
      </c>
      <c r="E154" s="184"/>
      <c r="F154" s="183" t="s">
        <v>29</v>
      </c>
      <c r="G154" s="184"/>
      <c r="H154" s="183" t="s">
        <v>30</v>
      </c>
      <c r="I154" s="184"/>
      <c r="J154" s="183" t="s">
        <v>31</v>
      </c>
      <c r="K154" s="184"/>
      <c r="L154" s="183" t="s">
        <v>32</v>
      </c>
      <c r="M154" s="184"/>
    </row>
    <row r="155" spans="3:13" ht="31.5" customHeight="1" thickBot="1" x14ac:dyDescent="0.25">
      <c r="C155" s="185"/>
      <c r="D155" s="186" t="s">
        <v>61</v>
      </c>
      <c r="E155" s="187" t="s">
        <v>34</v>
      </c>
      <c r="F155" s="189" t="s">
        <v>61</v>
      </c>
      <c r="G155" s="187" t="s">
        <v>34</v>
      </c>
      <c r="H155" s="186" t="s">
        <v>61</v>
      </c>
      <c r="I155" s="187" t="s">
        <v>34</v>
      </c>
      <c r="J155" s="186" t="s">
        <v>61</v>
      </c>
      <c r="K155" s="187" t="s">
        <v>34</v>
      </c>
      <c r="L155" s="189" t="s">
        <v>61</v>
      </c>
      <c r="M155" s="187" t="s">
        <v>34</v>
      </c>
    </row>
    <row r="156" spans="3:13" ht="24" customHeight="1" thickBot="1" x14ac:dyDescent="0.25">
      <c r="C156" s="190" t="s">
        <v>35</v>
      </c>
      <c r="D156" s="191">
        <f>GETPIVOTDATA("Suma de turistas",'[1]TTDD DATOS'!$B$49,"País",$C156,"categoría","Total","tipología","Total","zona","tenerife","municipio","total municipios","Años",IF([1]ACTUALIZACIÓN!$C$1="enero",[1]ACTUALIZACIÓN!$C$2-1,[1]ACTUALIZACIÓN!$C$2))</f>
        <v>163151</v>
      </c>
      <c r="E156" s="192">
        <f>GETPIVOTDATA("Suma de turistas",'[1]TTDD DATOS'!$B$49,"País",$C156,"categoría","Total","tipología","Total","zona","tenerife","municipio","total municipios","Años",IF([1]ACTUALIZACIÓN!$C$1="enero",[1]ACTUALIZACIÓN!$C$2-1,[1]ACTUALIZACIÓN!$C$2))/GETPIVOTDATA("Suma de turistas",'[1]TTDD DATOS'!$B$49,"País",$C156,"categoría","Total","tipología","Total","zona","tenerife","municipio","total municipios","Años",IF([1]ACTUALIZACIÓN!$C$1="enero",[1]ACTUALIZACIÓN!$C$2-1,[1]ACTUALIZACIÓN!$C$2)-1)-1</f>
        <v>0.48761317735449938</v>
      </c>
      <c r="F156" s="193">
        <f>GETPIVOTDATA("Suma de turistas",'[1]TTDD DATOS'!$B$49,"País",$C156,"categoría","Total","tipología","Total","zona","santa cruz","municipio","total municipios","Años",IF([1]ACTUALIZACIÓN!$C$1="enero",[1]ACTUALIZACIÓN!$C$2-1,[1]ACTUALIZACIÓN!$C$2))</f>
        <v>29586</v>
      </c>
      <c r="G156" s="192">
        <f>GETPIVOTDATA("Suma de turistas",'[1]TTDD DATOS'!$B$49,"País",$C156,"categoría","Total","tipología","Total","zona","santa cruz","municipio","total municipios","Años",IF([1]ACTUALIZACIÓN!$C$1="enero",[1]ACTUALIZACIÓN!$C$2-3,[1]ACTUALIZACIÓN!$C$2))/GETPIVOTDATA("Suma de turistas",'[1]TTDD DATOS'!$B$49,"País",$C156,"categoría","Total","tipología","Total","zona","santa cruz","municipio","total municipios","Años",IF([1]ACTUALIZACIÓN!$C$1="enero",[1]ACTUALIZACIÓN!$C$2-3,[1]ACTUALIZACIÓN!$C$2)-1)-1</f>
        <v>0.66391091614644848</v>
      </c>
      <c r="H156" s="191">
        <f>GETPIVOTDATA("Suma de turistas",'[1]TTDD DATOS'!$B$49,"País",$C156,"categoría","Total","tipología","Total","zona","la laguna-bajamar-la punta","municipio","total municipios","Años",IF([1]ACTUALIZACIÓN!$C$1="enero",[1]ACTUALIZACIÓN!$C$2-1,[1]ACTUALIZACIÓN!$C$2))</f>
        <v>6409</v>
      </c>
      <c r="I156" s="192">
        <f>GETPIVOTDATA("Suma de turistas",'[1]TTDD DATOS'!$B$49,"País",$C156,"categoría","Total","tipología","Total","zona","la laguna-bajamar-la punta","municipio","total municipios","Años",IF([1]ACTUALIZACIÓN!$C$1="enero",[1]ACTUALIZACIÓN!$C$2-1,[1]ACTUALIZACIÓN!$C$2))/GETPIVOTDATA("Suma de turistas",'[1]TTDD DATOS'!$B$49,"País",$C156,"categoría","Total","tipología","Total","zona","la laguna-bajamar-la punta","municipio","total municipios","Años",IF([1]ACTUALIZACIÓN!$C$1="enero",[1]ACTUALIZACIÓN!$C$2-1,[1]ACTUALIZACIÓN!$C$2)-1)-1</f>
        <v>1.3579838116261955</v>
      </c>
      <c r="J156" s="191">
        <f>GETPIVOTDATA("Suma de turistas",'[1]TTDD DATOS'!$B$49,"País",$C156,"categoría","Total","tipología","Total","zona","norte","municipio","total municipios","Años",IF([1]ACTUALIZACIÓN!$C$1="enero",[1]ACTUALIZACIÓN!$C$2-1,[1]ACTUALIZACIÓN!$C$2))</f>
        <v>57230</v>
      </c>
      <c r="K156" s="192">
        <f>GETPIVOTDATA("Suma de turistas",'[1]TTDD DATOS'!$B$49,"País",$C156,"categoría","Total","tipología","Total","zona","norte","municipio","total municipios","Años",IF([1]ACTUALIZACIÓN!$C$1="enero",[1]ACTUALIZACIÓN!$C$2-1,[1]ACTUALIZACIÓN!$C$2))/GETPIVOTDATA("Suma de turistas",'[1]TTDD DATOS'!$B$49,"País",$C156,"categoría","Total","tipología","Total","zona","norte","municipio","total municipios","Años",IF([1]ACTUALIZACIÓN!$C$1="enero",[1]ACTUALIZACIÓN!$C$2-1,[1]ACTUALIZACIÓN!$C$2)-1)-1</f>
        <v>1.5047048010853867</v>
      </c>
      <c r="L156" s="193">
        <f>GETPIVOTDATA("Suma de turistas",'[1]TTDD DATOS'!$B$49,"País",$C156,"categoría","Total","tipología","Total","zona","sur","municipio","total municipios","Años",IF([1]ACTUALIZACIÓN!$C$1="enero",[1]ACTUALIZACIÓN!$C$2-1,[1]ACTUALIZACIÓN!$C$2))</f>
        <v>69926</v>
      </c>
      <c r="M156" s="192">
        <f>GETPIVOTDATA("Suma de turistas",'[1]TTDD DATOS'!$B$49,"País",$C156,"categoría","Total","tipología","Total","zona","sur","municipio","total municipios","Años",IF([1]ACTUALIZACIÓN!$C$1="enero",[1]ACTUALIZACIÓN!$C$2-1,[1]ACTUALIZACIÓN!$C$2))/GETPIVOTDATA("Suma de turistas",'[1]TTDD DATOS'!$B$49,"País",$C156,"categoría","Total","tipología","Total","zona","sur","municipio","total municipios","Años",IF([1]ACTUALIZACIÓN!$C$1="enero",[1]ACTUALIZACIÓN!$C$2-1,[1]ACTUALIZACIÓN!$C$2)-1)-1</f>
        <v>5.4293252921221224E-2</v>
      </c>
    </row>
    <row r="157" spans="3:13" ht="24" customHeight="1" thickBot="1" x14ac:dyDescent="0.25">
      <c r="C157" s="194" t="s">
        <v>36</v>
      </c>
      <c r="D157" s="195">
        <f>GETPIVOTDATA("Suma de turistas",'[1]TTDD DATOS'!$B$49,"País","tenerife","categoría","Total","tipología","Total","zona","tenerife","municipio","total municipios","Años",IF([1]ACTUALIZACIÓN!$C$1="enero",[1]ACTUALIZACIÓN!$C$2-1,[1]ACTUALIZACIÓN!$C$2))</f>
        <v>48642.111806429166</v>
      </c>
      <c r="E157" s="196">
        <f>GETPIVOTDATA("Suma de turistas",'[1]TTDD DATOS'!$B$49,"País","tenerife","categoría","Total","tipología","Total","zona","tenerife","municipio","total municipios","Años",IF([1]ACTUALIZACIÓN!$C$1="enero",[1]ACTUALIZACIÓN!$C$2-1,[1]ACTUALIZACIÓN!$C$2))/GETPIVOTDATA("Suma de turistas",'[1]TTDD DATOS'!$B$49,"País","tenerife","categoría","Total","tipología","Total","zona","tenerife","municipio","total municipios","Años",IF([1]ACTUALIZACIÓN!$C$1="enero",[1]ACTUALIZACIÓN!$C$2-1,[1]ACTUALIZACIÓN!$C$2)-1)-1</f>
        <v>-0.13056830808330699</v>
      </c>
      <c r="F157" s="197" t="s">
        <v>37</v>
      </c>
      <c r="G157" s="222" t="s">
        <v>37</v>
      </c>
      <c r="H157" s="223" t="s">
        <v>37</v>
      </c>
      <c r="I157" s="222" t="s">
        <v>37</v>
      </c>
      <c r="J157" s="223" t="s">
        <v>37</v>
      </c>
      <c r="K157" s="222" t="s">
        <v>37</v>
      </c>
      <c r="L157" s="224" t="s">
        <v>37</v>
      </c>
      <c r="M157" s="222" t="s">
        <v>37</v>
      </c>
    </row>
    <row r="158" spans="3:13" ht="24" customHeight="1" thickBot="1" x14ac:dyDescent="0.25">
      <c r="C158" s="199" t="s">
        <v>38</v>
      </c>
      <c r="D158" s="200">
        <f>GETPIVOTDATA("Suma de turistas",'[1]TTDD DATOS'!$B$49,"País","resto canarias","categoría","Total","tipología","Total","zona","tenerife","municipio","total municipios","Años",IF([1]ACTUALIZACIÓN!$C$1="enero",[1]ACTUALIZACIÓN!$C$2-1,[1]ACTUALIZACIÓN!$C$2))</f>
        <v>20835.641909849219</v>
      </c>
      <c r="E158" s="201">
        <f>GETPIVOTDATA("Suma de turistas",'[1]TTDD DATOS'!$B$49,"País","resto canarias","categoría","Total","tipología","Total","zona","tenerife","municipio","total municipios","Años",IF([1]ACTUALIZACIÓN!$C$1="enero",[1]ACTUALIZACIÓN!$C$2-1,[1]ACTUALIZACIÓN!$C$2))/GETPIVOTDATA("Suma de turistas",'[1]TTDD DATOS'!$B$49,"País","resto canarias","categoría","Total","tipología","Total","zona","tenerife","municipio","total municipios","Años",IF([1]ACTUALIZACIÓN!$C$1="enero",[1]ACTUALIZACIÓN!$C$2-1,[1]ACTUALIZACIÓN!$C$2)-1)-1</f>
        <v>0.28082013278873297</v>
      </c>
      <c r="F158" s="202" t="s">
        <v>37</v>
      </c>
      <c r="G158" s="225" t="s">
        <v>37</v>
      </c>
      <c r="H158" s="226" t="s">
        <v>37</v>
      </c>
      <c r="I158" s="225" t="s">
        <v>37</v>
      </c>
      <c r="J158" s="226" t="s">
        <v>37</v>
      </c>
      <c r="K158" s="225" t="s">
        <v>37</v>
      </c>
      <c r="L158" s="227" t="s">
        <v>37</v>
      </c>
      <c r="M158" s="225" t="s">
        <v>37</v>
      </c>
    </row>
    <row r="159" spans="3:13" ht="24" customHeight="1" thickBot="1" x14ac:dyDescent="0.25">
      <c r="C159" s="199" t="s">
        <v>39</v>
      </c>
      <c r="D159" s="200">
        <f>GETPIVOTDATA("Suma de turistas",'[1]TTDD DATOS'!$B$49,"País","resto españa","categoría","Total","tipología","Total","zona","tenerife","municipio","total municipios","Años",IF([1]ACTUALIZACIÓN!$C$1="enero",[1]ACTUALIZACIÓN!$C$2-1,[1]ACTUALIZACIÓN!$C$2))</f>
        <v>93673.246283663873</v>
      </c>
      <c r="E159" s="201">
        <f>GETPIVOTDATA("Suma de turistas",'[1]TTDD DATOS'!$B$49,"País","resto españa","categoría","Total","tipología","Total","zona","tenerife","municipio","total municipios","Años",IF([1]ACTUALIZACIÓN!$C$1="enero",[1]ACTUALIZACIÓN!$C$2-1,[1]ACTUALIZACIÓN!$C$2))/GETPIVOTDATA("Suma de turistas",'[1]TTDD DATOS'!$B$49,"País","resto españa","categoría","Total","tipología","Total","zona","tenerife","municipio","total municipios","Años",IF([1]ACTUALIZACIÓN!$C$1="enero",[1]ACTUALIZACIÓN!$C$2-1,[1]ACTUALIZACIÓN!$C$2)-1)-1</f>
        <v>1.500716807697867</v>
      </c>
      <c r="F159" s="202" t="s">
        <v>37</v>
      </c>
      <c r="G159" s="225" t="s">
        <v>37</v>
      </c>
      <c r="H159" s="226" t="s">
        <v>37</v>
      </c>
      <c r="I159" s="225" t="s">
        <v>37</v>
      </c>
      <c r="J159" s="226" t="s">
        <v>37</v>
      </c>
      <c r="K159" s="225" t="s">
        <v>37</v>
      </c>
      <c r="L159" s="227" t="s">
        <v>37</v>
      </c>
      <c r="M159" s="225" t="s">
        <v>37</v>
      </c>
    </row>
    <row r="160" spans="3:13" ht="24" customHeight="1" thickBot="1" x14ac:dyDescent="0.25">
      <c r="C160" s="203" t="s">
        <v>40</v>
      </c>
      <c r="D160" s="204">
        <f>GETPIVOTDATA("Suma de turistas",'[1]TTDD DATOS'!$B$49,"País",$C160,"categoría","Total","tipología","Total","zona","tenerife","municipio","total municipios","Años",IF([1]ACTUALIZACIÓN!$C$1="enero",[1]ACTUALIZACIÓN!$C$2-1,[1]ACTUALIZACIÓN!$C$2))</f>
        <v>41655</v>
      </c>
      <c r="E160" s="201">
        <f>GETPIVOTDATA("Suma de turistas",'[1]TTDD DATOS'!$B$49,"País",$C160,"categoría","Total","tipología","Total","zona","tenerife","municipio","total municipios","Años",IF([1]ACTUALIZACIÓN!$C$1="enero",[1]ACTUALIZACIÓN!$C$2-1,[1]ACTUALIZACIÓN!$C$2))/GETPIVOTDATA("Suma de turistas",'[1]TTDD DATOS'!$B$49,"País",$C160,"categoría","Total","tipología","Total","zona","tenerife","municipio","total municipios","Años",IF([1]ACTUALIZACIÓN!$C$1="enero",[1]ACTUALIZACIÓN!$C$2-1,[1]ACTUALIZACIÓN!$C$2)-1)-1</f>
        <v>8.2896966993755576</v>
      </c>
      <c r="F160" s="205">
        <f>GETPIVOTDATA("Suma de turistas",'[1]TTDD DATOS'!$B$49,"País",$C160,"categoría","Total","tipología","Total","zona","santa cruz","municipio","total municipios","Años",IF([1]ACTUALIZACIÓN!$C$1="enero",[1]ACTUALIZACIÓN!$C$2-1,[1]ACTUALIZACIÓN!$C$2))</f>
        <v>719</v>
      </c>
      <c r="G160" s="201">
        <f>GETPIVOTDATA("Suma de turistas",'[1]TTDD DATOS'!$B$49,"País",$C160,"categoría","Total","tipología","Total","zona","santa cruz","municipio","total municipios","Años",IF([1]ACTUALIZACIÓN!$C$1="enero",[1]ACTUALIZACIÓN!$C$2-3,[1]ACTUALIZACIÓN!$C$2))/GETPIVOTDATA("Suma de turistas",'[1]TTDD DATOS'!$B$49,"País",$C160,"categoría","Total","tipología","Total","zona","santa cruz","municipio","total municipios","Años",IF([1]ACTUALIZACIÓN!$C$1="enero",[1]ACTUALIZACIÓN!$C$2-3,[1]ACTUALIZACIÓN!$C$2)-1)-1</f>
        <v>2.5771144278606966</v>
      </c>
      <c r="H160" s="204">
        <f>GETPIVOTDATA("Suma de turistas",'[1]TTDD DATOS'!$B$49,"País",$C160,"categoría","Total","tipología","Total","zona","la laguna-bajamar-la punta","municipio","total municipios","Años",IF([1]ACTUALIZACIÓN!$C$1="enero",[1]ACTUALIZACIÓN!$C$2-1,[1]ACTUALIZACIÓN!$C$2))</f>
        <v>467</v>
      </c>
      <c r="I160" s="201">
        <f>GETPIVOTDATA("Suma de turistas",'[1]TTDD DATOS'!$B$49,"País",$C160,"categoría","Total","tipología","Total","zona","la laguna-bajamar-la punta","municipio","total municipios","Años",IF([1]ACTUALIZACIÓN!$C$1="enero",[1]ACTUALIZACIÓN!$C$2-1,[1]ACTUALIZACIÓN!$C$2))/GETPIVOTDATA("Suma de turistas",'[1]TTDD DATOS'!$B$49,"País",$C160,"categoría","Total","tipología","Total","zona","la laguna-bajamar-la punta","municipio","total municipios","Años",IF([1]ACTUALIZACIÓN!$C$1="enero",[1]ACTUALIZACIÓN!$C$2-1,[1]ACTUALIZACIÓN!$C$2)-1)-1</f>
        <v>11.621621621621621</v>
      </c>
      <c r="J160" s="204">
        <f>GETPIVOTDATA("Suma de turistas",'[1]TTDD DATOS'!$B$49,"País",$C160,"categoría","Total","tipología","Total","zona","norte","municipio","total municipios","Años",IF([1]ACTUALIZACIÓN!$C$1="enero",[1]ACTUALIZACIÓN!$C$2-1,[1]ACTUALIZACIÓN!$C$2))</f>
        <v>2619</v>
      </c>
      <c r="K160" s="201">
        <f>GETPIVOTDATA("Suma de turistas",'[1]TTDD DATOS'!$B$49,"País",$C160,"categoría","Total","tipología","Total","zona","norte","municipio","total municipios","Años",IF([1]ACTUALIZACIÓN!$C$1="enero",[1]ACTUALIZACIÓN!$C$2-1,[1]ACTUALIZACIÓN!$C$2))/GETPIVOTDATA("Suma de turistas",'[1]TTDD DATOS'!$B$49,"País",$C160,"categoría","Total","tipología","Total","zona","norte","municipio","total municipios","Años",IF([1]ACTUALIZACIÓN!$C$1="enero",[1]ACTUALIZACIÓN!$C$2-1,[1]ACTUALIZACIÓN!$C$2)-1)-1</f>
        <v>14.497041420118343</v>
      </c>
      <c r="L160" s="205">
        <f>GETPIVOTDATA("Suma de turistas",'[1]TTDD DATOS'!$B$49,"País",$C160,"categoría","Total","tipología","Total","zona","sur","municipio","total municipios","Años",IF([1]ACTUALIZACIÓN!$C$1="enero",[1]ACTUALIZACIÓN!$C$2-1,[1]ACTUALIZACIÓN!$C$2))</f>
        <v>37850</v>
      </c>
      <c r="M160" s="201">
        <f>GETPIVOTDATA("Suma de turistas",'[1]TTDD DATOS'!$B$49,"País",$C160,"categoría","Total","tipología","Total","zona","sur","municipio","total municipios","Años",IF([1]ACTUALIZACIÓN!$C$1="enero",[1]ACTUALIZACIÓN!$C$2-1,[1]ACTUALIZACIÓN!$C$2))/GETPIVOTDATA("Suma de turistas",'[1]TTDD DATOS'!$B$49,"País",$C160,"categoría","Total","tipología","Total","zona","sur","municipio","total municipios","Años",IF([1]ACTUALIZACIÓN!$C$1="enero",[1]ACTUALIZACIÓN!$C$2-1,[1]ACTUALIZACIÓN!$C$2)-1)-1</f>
        <v>8.2837870983566351</v>
      </c>
    </row>
    <row r="161" spans="3:13" ht="24" customHeight="1" thickBot="1" x14ac:dyDescent="0.25">
      <c r="C161" s="206" t="s">
        <v>41</v>
      </c>
      <c r="D161" s="200">
        <f>GETPIVOTDATA("Suma de turistas",'[1]TTDD DATOS'!$B$49,"País",$C161,"categoría","Total","tipología","Total","zona","tenerife","municipio","total municipios","Años",IF([1]ACTUALIZACIÓN!$C$1="enero",[1]ACTUALIZACIÓN!$C$2-1,[1]ACTUALIZACIÓN!$C$2))</f>
        <v>37098</v>
      </c>
      <c r="E161" s="201">
        <f>GETPIVOTDATA("Suma de turistas",'[1]TTDD DATOS'!$B$49,"País",$C161,"categoría","Total","tipología","Total","zona","tenerife","municipio","total municipios","Años",IF([1]ACTUALIZACIÓN!$C$1="enero",[1]ACTUALIZACIÓN!$C$2-1,[1]ACTUALIZACIÓN!$C$2))/GETPIVOTDATA("Suma de turistas",'[1]TTDD DATOS'!$B$49,"País",$C161,"categoría","Total","tipología","Total","zona","tenerife","municipio","total municipios","Años",IF([1]ACTUALIZACIÓN!$C$1="enero",[1]ACTUALIZACIÓN!$C$2-1,[1]ACTUALIZACIÓN!$C$2)-1)-1</f>
        <v>13.750695825049702</v>
      </c>
      <c r="F161" s="202">
        <f>GETPIVOTDATA("Suma de turistas",'[1]TTDD DATOS'!$B$49,"País",$C161,"categoría","Total","tipología","Total","zona","santa cruz","municipio","total municipios","Años",IF([1]ACTUALIZACIÓN!$C$1="enero",[1]ACTUALIZACIÓN!$C$2-1,[1]ACTUALIZACIÓN!$C$2))</f>
        <v>528</v>
      </c>
      <c r="G161" s="201">
        <f>GETPIVOTDATA("Suma de turistas",'[1]TTDD DATOS'!$B$49,"País",$C161,"categoría","Total","tipología","Total","zona","santa cruz","municipio","total municipios","Años",IF([1]ACTUALIZACIÓN!$C$1="enero",[1]ACTUALIZACIÓN!$C$2-3,[1]ACTUALIZACIÓN!$C$2))/GETPIVOTDATA("Suma de turistas",'[1]TTDD DATOS'!$B$49,"País",$C161,"categoría","Total","tipología","Total","zona","santa cruz","municipio","total municipios","Años",IF([1]ACTUALIZACIÓN!$C$1="enero",[1]ACTUALIZACIÓN!$C$2-3,[1]ACTUALIZACIÓN!$C$2)-1)-1</f>
        <v>2.7714285714285714</v>
      </c>
      <c r="H161" s="200">
        <f>GETPIVOTDATA("Suma de turistas",'[1]TTDD DATOS'!$B$49,"País",$C161,"categoría","Total","tipología","Total","zona","la laguna-bajamar-la punta","municipio","total municipios","Años",IF([1]ACTUALIZACIÓN!$C$1="enero",[1]ACTUALIZACIÓN!$C$2-1,[1]ACTUALIZACIÓN!$C$2))</f>
        <v>283</v>
      </c>
      <c r="I161" s="201">
        <f>GETPIVOTDATA("Suma de turistas",'[1]TTDD DATOS'!$B$49,"País",$C161,"categoría","Total","tipología","Total","zona","la laguna-bajamar-la punta","municipio","total municipios","Años",IF([1]ACTUALIZACIÓN!$C$1="enero",[1]ACTUALIZACIÓN!$C$2-1,[1]ACTUALIZACIÓN!$C$2))/GETPIVOTDATA("Suma de turistas",'[1]TTDD DATOS'!$B$49,"País",$C161,"categoría","Total","tipología","Total","zona","la laguna-bajamar-la punta","municipio","total municipios","Años",IF([1]ACTUALIZACIÓN!$C$1="enero",[1]ACTUALIZACIÓN!$C$2-1,[1]ACTUALIZACIÓN!$C$2)-1)-1</f>
        <v>4.66</v>
      </c>
      <c r="J161" s="200">
        <f>GETPIVOTDATA("Suma de turistas",'[1]TTDD DATOS'!$B$49,"País",$C161,"categoría","Total","tipología","Total","zona","norte","municipio","total municipios","Años",IF([1]ACTUALIZACIÓN!$C$1="enero",[1]ACTUALIZACIÓN!$C$2-1,[1]ACTUALIZACIÓN!$C$2))</f>
        <v>2032</v>
      </c>
      <c r="K161" s="201">
        <f>GETPIVOTDATA("Suma de turistas",'[1]TTDD DATOS'!$B$49,"País",$C161,"categoría","Total","tipología","Total","zona","norte","municipio","total municipios","Años",IF([1]ACTUALIZACIÓN!$C$1="enero",[1]ACTUALIZACIÓN!$C$2-1,[1]ACTUALIZACIÓN!$C$2))/GETPIVOTDATA("Suma de turistas",'[1]TTDD DATOS'!$B$49,"País",$C161,"categoría","Total","tipología","Total","zona","norte","municipio","total municipios","Años",IF([1]ACTUALIZACIÓN!$C$1="enero",[1]ACTUALIZACIÓN!$C$2-1,[1]ACTUALIZACIÓN!$C$2)-1)-1</f>
        <v>8.4511627906976745</v>
      </c>
      <c r="L161" s="202">
        <f>GETPIVOTDATA("Suma de turistas",'[1]TTDD DATOS'!$B$49,"País",$C161,"categoría","Total","tipología","Total","zona","sur","municipio","total municipios","Años",IF([1]ACTUALIZACIÓN!$C$1="enero",[1]ACTUALIZACIÓN!$C$2-1,[1]ACTUALIZACIÓN!$C$2))</f>
        <v>34255</v>
      </c>
      <c r="M161" s="201">
        <f>GETPIVOTDATA("Suma de turistas",'[1]TTDD DATOS'!$B$49,"País",$C161,"categoría","Total","tipología","Total","zona","sur","municipio","total municipios","Años",IF([1]ACTUALIZACIÓN!$C$1="enero",[1]ACTUALIZACIÓN!$C$2-1,[1]ACTUALIZACIÓN!$C$2))/GETPIVOTDATA("Suma de turistas",'[1]TTDD DATOS'!$B$49,"País",$C161,"categoría","Total","tipología","Total","zona","sur","municipio","total municipios","Años",IF([1]ACTUALIZACIÓN!$C$1="enero",[1]ACTUALIZACIÓN!$C$2-1,[1]ACTUALIZACIÓN!$C$2)-1)-1</f>
        <v>15.234597156398106</v>
      </c>
    </row>
    <row r="162" spans="3:13" ht="24" customHeight="1" thickBot="1" x14ac:dyDescent="0.25">
      <c r="C162" s="203" t="s">
        <v>42</v>
      </c>
      <c r="D162" s="204">
        <f>GETPIVOTDATA("Suma de turistas",'[1]TTDD DATOS'!$B$49,"País",$C162,"categoría","Total","tipología","Total","zona","tenerife","municipio","total municipios","Años",IF([1]ACTUALIZACIÓN!$C$1="enero",[1]ACTUALIZACIÓN!$C$2-1,[1]ACTUALIZACIÓN!$C$2))</f>
        <v>84605</v>
      </c>
      <c r="E162" s="201">
        <f>GETPIVOTDATA("Suma de turistas",'[1]TTDD DATOS'!$B$49,"País",$C162,"categoría","Total","tipología","Total","zona","tenerife","municipio","total municipios","Años",IF([1]ACTUALIZACIÓN!$C$1="enero",[1]ACTUALIZACIÓN!$C$2-1,[1]ACTUALIZACIÓN!$C$2))/GETPIVOTDATA("Suma de turistas",'[1]TTDD DATOS'!$B$49,"País",$C162,"categoría","Total","tipología","Total","zona","tenerife","municipio","total municipios","Años",IF([1]ACTUALIZACIÓN!$C$1="enero",[1]ACTUALIZACIÓN!$C$2-1,[1]ACTUALIZACIÓN!$C$2)-1)-1</f>
        <v>4.9056959374563727</v>
      </c>
      <c r="F162" s="205">
        <f>GETPIVOTDATA("Suma de turistas",'[1]TTDD DATOS'!$B$49,"País",$C162,"categoría","Total","tipología","Total","zona","santa cruz","municipio","total municipios","Años",IF([1]ACTUALIZACIÓN!$C$1="enero",[1]ACTUALIZACIÓN!$C$2-1,[1]ACTUALIZACIÓN!$C$2))</f>
        <v>2834</v>
      </c>
      <c r="G162" s="201">
        <f>GETPIVOTDATA("Suma de turistas",'[1]TTDD DATOS'!$B$49,"País",$C162,"categoría","Total","tipología","Total","zona","santa cruz","municipio","total municipios","Años",IF([1]ACTUALIZACIÓN!$C$1="enero",[1]ACTUALIZACIÓN!$C$2-3,[1]ACTUALIZACIÓN!$C$2))/GETPIVOTDATA("Suma de turistas",'[1]TTDD DATOS'!$B$49,"País",$C162,"categoría","Total","tipología","Total","zona","santa cruz","municipio","total municipios","Años",IF([1]ACTUALIZACIÓN!$C$1="enero",[1]ACTUALIZACIÓN!$C$2-3,[1]ACTUALIZACIÓN!$C$2)-1)-1</f>
        <v>1.2403162055335968</v>
      </c>
      <c r="H162" s="204">
        <f>GETPIVOTDATA("Suma de turistas",'[1]TTDD DATOS'!$B$49,"País",$C162,"categoría","Total","tipología","Total","zona","la laguna-bajamar-la punta","municipio","total municipios","Años",IF([1]ACTUALIZACIÓN!$C$1="enero",[1]ACTUALIZACIÓN!$C$2-1,[1]ACTUALIZACIÓN!$C$2))</f>
        <v>1404</v>
      </c>
      <c r="I162" s="201">
        <f>GETPIVOTDATA("Suma de turistas",'[1]TTDD DATOS'!$B$49,"País",$C162,"categoría","Total","tipología","Total","zona","la laguna-bajamar-la punta","municipio","total municipios","Años",IF([1]ACTUALIZACIÓN!$C$1="enero",[1]ACTUALIZACIÓN!$C$2-1,[1]ACTUALIZACIÓN!$C$2))/GETPIVOTDATA("Suma de turistas",'[1]TTDD DATOS'!$B$49,"País",$C162,"categoría","Total","tipología","Total","zona","la laguna-bajamar-la punta","municipio","total municipios","Años",IF([1]ACTUALIZACIÓN!$C$1="enero",[1]ACTUALIZACIÓN!$C$2-1,[1]ACTUALIZACIÓN!$C$2)-1)-1</f>
        <v>3.0229226361031518</v>
      </c>
      <c r="J162" s="204">
        <f>GETPIVOTDATA("Suma de turistas",'[1]TTDD DATOS'!$B$49,"País",$C162,"categoría","Total","tipología","Total","zona","norte","municipio","total municipios","Años",IF([1]ACTUALIZACIÓN!$C$1="enero",[1]ACTUALIZACIÓN!$C$2-1,[1]ACTUALIZACIÓN!$C$2))</f>
        <v>26860</v>
      </c>
      <c r="K162" s="201">
        <f>GETPIVOTDATA("Suma de turistas",'[1]TTDD DATOS'!$B$49,"País",$C162,"categoría","Total","tipología","Total","zona","norte","municipio","total municipios","Años",IF([1]ACTUALIZACIÓN!$C$1="enero",[1]ACTUALIZACIÓN!$C$2-1,[1]ACTUALIZACIÓN!$C$2))/GETPIVOTDATA("Suma de turistas",'[1]TTDD DATOS'!$B$49,"País",$C162,"categoría","Total","tipología","Total","zona","norte","municipio","total municipios","Años",IF([1]ACTUALIZACIÓN!$C$1="enero",[1]ACTUALIZACIÓN!$C$2-1,[1]ACTUALIZACIÓN!$C$2)-1)-1</f>
        <v>11.406466512702078</v>
      </c>
      <c r="L162" s="205">
        <f>GETPIVOTDATA("Suma de turistas",'[1]TTDD DATOS'!$B$49,"País",$C162,"categoría","Total","tipología","Total","zona","sur","municipio","total municipios","Años",IF([1]ACTUALIZACIÓN!$C$1="enero",[1]ACTUALIZACIÓN!$C$2-1,[1]ACTUALIZACIÓN!$C$2))</f>
        <v>53507</v>
      </c>
      <c r="M162" s="201">
        <f>GETPIVOTDATA("Suma de turistas",'[1]TTDD DATOS'!$B$49,"País",$C162,"categoría","Total","tipología","Total","zona","sur","municipio","total municipios","Años",IF([1]ACTUALIZACIÓN!$C$1="enero",[1]ACTUALIZACIÓN!$C$2-1,[1]ACTUALIZACIÓN!$C$2))/GETPIVOTDATA("Suma de turistas",'[1]TTDD DATOS'!$B$49,"País",$C162,"categoría","Total","tipología","Total","zona","sur","municipio","total municipios","Años",IF([1]ACTUALIZACIÓN!$C$1="enero",[1]ACTUALIZACIÓN!$C$2-1,[1]ACTUALIZACIÓN!$C$2)-1)-1</f>
        <v>4.0731961695268799</v>
      </c>
    </row>
    <row r="163" spans="3:13" ht="24" customHeight="1" thickBot="1" x14ac:dyDescent="0.25">
      <c r="C163" s="206" t="s">
        <v>43</v>
      </c>
      <c r="D163" s="200">
        <f>GETPIVOTDATA("Suma de turistas",'[1]TTDD DATOS'!$B$49,"País",$C163,"categoría","Total","tipología","Total","zona","tenerife","municipio","total municipios","Años",IF([1]ACTUALIZACIÓN!$C$1="enero",[1]ACTUALIZACIÓN!$C$2-1,[1]ACTUALIZACIÓN!$C$2))</f>
        <v>42161</v>
      </c>
      <c r="E163" s="201">
        <f>GETPIVOTDATA("Suma de turistas",'[1]TTDD DATOS'!$B$49,"País",$C163,"categoría","Total","tipología","Total","zona","tenerife","municipio","total municipios","Años",IF([1]ACTUALIZACIÓN!$C$1="enero",[1]ACTUALIZACIÓN!$C$2-1,[1]ACTUALIZACIÓN!$C$2))/GETPIVOTDATA("Suma de turistas",'[1]TTDD DATOS'!$B$49,"País",$C163,"categoría","Total","tipología","Total","zona","tenerife","municipio","total municipios","Años",IF([1]ACTUALIZACIÓN!$C$1="enero",[1]ACTUALIZACIÓN!$C$2-1,[1]ACTUALIZACIÓN!$C$2)-1)-1</f>
        <v>1.3311401083711156</v>
      </c>
      <c r="F163" s="202">
        <f>GETPIVOTDATA("Suma de turistas",'[1]TTDD DATOS'!$B$49,"País",$C163,"categoría","Total","tipología","Total","zona","santa cruz","municipio","total municipios","Años",IF([1]ACTUALIZACIÓN!$C$1="enero",[1]ACTUALIZACIÓN!$C$2-1,[1]ACTUALIZACIÓN!$C$2))</f>
        <v>2333</v>
      </c>
      <c r="G163" s="201">
        <f>GETPIVOTDATA("Suma de turistas",'[1]TTDD DATOS'!$B$49,"País",$C163,"categoría","Total","tipología","Total","zona","santa cruz","municipio","total municipios","Años",IF([1]ACTUALIZACIÓN!$C$1="enero",[1]ACTUALIZACIÓN!$C$2-3,[1]ACTUALIZACIÓN!$C$2))/GETPIVOTDATA("Suma de turistas",'[1]TTDD DATOS'!$B$49,"País",$C163,"categoría","Total","tipología","Total","zona","santa cruz","municipio","total municipios","Años",IF([1]ACTUALIZACIÓN!$C$1="enero",[1]ACTUALIZACIÓN!$C$2-3,[1]ACTUALIZACIÓN!$C$2)-1)-1</f>
        <v>0.56367292225201071</v>
      </c>
      <c r="H163" s="200">
        <f>GETPIVOTDATA("Suma de turistas",'[1]TTDD DATOS'!$B$49,"País",$C163,"categoría","Total","tipología","Total","zona","la laguna-bajamar-la punta","municipio","total municipios","Años",IF([1]ACTUALIZACIÓN!$C$1="enero",[1]ACTUALIZACIÓN!$C$2-1,[1]ACTUALIZACIÓN!$C$2))</f>
        <v>1282</v>
      </c>
      <c r="I163" s="201">
        <f>GETPIVOTDATA("Suma de turistas",'[1]TTDD DATOS'!$B$49,"País",$C163,"categoría","Total","tipología","Total","zona","la laguna-bajamar-la punta","municipio","total municipios","Años",IF([1]ACTUALIZACIÓN!$C$1="enero",[1]ACTUALIZACIÓN!$C$2-1,[1]ACTUALIZACIÓN!$C$2))/GETPIVOTDATA("Suma de turistas",'[1]TTDD DATOS'!$B$49,"País",$C163,"categoría","Total","tipología","Total","zona","la laguna-bajamar-la punta","municipio","total municipios","Años",IF([1]ACTUALIZACIÓN!$C$1="enero",[1]ACTUALIZACIÓN!$C$2-1,[1]ACTUALIZACIÓN!$C$2)-1)-1</f>
        <v>0.23864734299516899</v>
      </c>
      <c r="J163" s="200">
        <f>GETPIVOTDATA("Suma de turistas",'[1]TTDD DATOS'!$B$49,"País",$C163,"categoría","Total","tipología","Total","zona","norte","municipio","total municipios","Años",IF([1]ACTUALIZACIÓN!$C$1="enero",[1]ACTUALIZACIÓN!$C$2-1,[1]ACTUALIZACIÓN!$C$2))</f>
        <v>8905</v>
      </c>
      <c r="K163" s="201">
        <f>GETPIVOTDATA("Suma de turistas",'[1]TTDD DATOS'!$B$49,"País",$C163,"categoría","Total","tipología","Total","zona","norte","municipio","total municipios","Años",IF([1]ACTUALIZACIÓN!$C$1="enero",[1]ACTUALIZACIÓN!$C$2-1,[1]ACTUALIZACIÓN!$C$2))/GETPIVOTDATA("Suma de turistas",'[1]TTDD DATOS'!$B$49,"País",$C163,"categoría","Total","tipología","Total","zona","norte","municipio","total municipios","Años",IF([1]ACTUALIZACIÓN!$C$1="enero",[1]ACTUALIZACIÓN!$C$2-1,[1]ACTUALIZACIÓN!$C$2)-1)-1</f>
        <v>2.5351329892814607</v>
      </c>
      <c r="L163" s="202">
        <f>GETPIVOTDATA("Suma de turistas",'[1]TTDD DATOS'!$B$49,"País",$C163,"categoría","Total","tipología","Total","zona","sur","municipio","total municipios","Años",IF([1]ACTUALIZACIÓN!$C$1="enero",[1]ACTUALIZACIÓN!$C$2-1,[1]ACTUALIZACIÓN!$C$2))</f>
        <v>29641</v>
      </c>
      <c r="M163" s="201">
        <f>GETPIVOTDATA("Suma de turistas",'[1]TTDD DATOS'!$B$49,"País",$C163,"categoría","Total","tipología","Total","zona","sur","municipio","total municipios","Años",IF([1]ACTUALIZACIÓN!$C$1="enero",[1]ACTUALIZACIÓN!$C$2-1,[1]ACTUALIZACIÓN!$C$2))/GETPIVOTDATA("Suma de turistas",'[1]TTDD DATOS'!$B$49,"País",$C163,"categoría","Total","tipología","Total","zona","sur","municipio","total municipios","Años",IF([1]ACTUALIZACIÓN!$C$1="enero",[1]ACTUALIZACIÓN!$C$2-1,[1]ACTUALIZACIÓN!$C$2)-1)-1</f>
        <v>1.2730828220858896</v>
      </c>
    </row>
    <row r="164" spans="3:13" ht="24" customHeight="1" thickBot="1" x14ac:dyDescent="0.25">
      <c r="C164" s="203" t="s">
        <v>44</v>
      </c>
      <c r="D164" s="204">
        <f>GETPIVOTDATA("Suma de turistas",'[1]TTDD DATOS'!$B$49,"País",$C164,"categoría","Total","tipología","Total","zona","tenerife","municipio","total municipios","Años",IF([1]ACTUALIZACIÓN!$C$1="enero",[1]ACTUALIZACIÓN!$C$2-1,[1]ACTUALIZACIÓN!$C$2))</f>
        <v>310136</v>
      </c>
      <c r="E164" s="201">
        <f>GETPIVOTDATA("Suma de turistas",'[1]TTDD DATOS'!$B$49,"País",$C164,"categoría","Total","tipología","Total","zona","tenerife","municipio","total municipios","Años",IF([1]ACTUALIZACIÓN!$C$1="enero",[1]ACTUALIZACIÓN!$C$2-1,[1]ACTUALIZACIÓN!$C$2))/GETPIVOTDATA("Suma de turistas",'[1]TTDD DATOS'!$B$49,"País",$C164,"categoría","Total","tipología","Total","zona","tenerife","municipio","total municipios","Años",IF([1]ACTUALIZACIÓN!$C$1="enero",[1]ACTUALIZACIÓN!$C$2-1,[1]ACTUALIZACIÓN!$C$2)-1)-1</f>
        <v>54.759798633585042</v>
      </c>
      <c r="F164" s="205">
        <f>GETPIVOTDATA("Suma de turistas",'[1]TTDD DATOS'!$B$49,"País",$C164,"categoría","Total","tipología","Total","zona","santa cruz","municipio","total municipios","Años",IF([1]ACTUALIZACIÓN!$C$1="enero",[1]ACTUALIZACIÓN!$C$2-1,[1]ACTUALIZACIÓN!$C$2))</f>
        <v>2188</v>
      </c>
      <c r="G164" s="201">
        <f>GETPIVOTDATA("Suma de turistas",'[1]TTDD DATOS'!$B$49,"País",$C164,"categoría","Total","tipología","Total","zona","santa cruz","municipio","total municipios","Años",IF([1]ACTUALIZACIÓN!$C$1="enero",[1]ACTUALIZACIÓN!$C$2-3,[1]ACTUALIZACIÓN!$C$2))/GETPIVOTDATA("Suma de turistas",'[1]TTDD DATOS'!$B$49,"País",$C164,"categoría","Total","tipología","Total","zona","santa cruz","municipio","total municipios","Años",IF([1]ACTUALIZACIÓN!$C$1="enero",[1]ACTUALIZACIÓN!$C$2-3,[1]ACTUALIZACIÓN!$C$2)-1)-1</f>
        <v>6.4169491525423732</v>
      </c>
      <c r="H164" s="204">
        <f>GETPIVOTDATA("Suma de turistas",'[1]TTDD DATOS'!$B$49,"País",$C164,"categoría","Total","tipología","Total","zona","la laguna-bajamar-la punta","municipio","total municipios","Años",IF([1]ACTUALIZACIÓN!$C$1="enero",[1]ACTUALIZACIÓN!$C$2-1,[1]ACTUALIZACIÓN!$C$2))</f>
        <v>999</v>
      </c>
      <c r="I164" s="201">
        <f>GETPIVOTDATA("Suma de turistas",'[1]TTDD DATOS'!$B$49,"País",$C164,"categoría","Total","tipología","Total","zona","la laguna-bajamar-la punta","municipio","total municipios","Años",IF([1]ACTUALIZACIÓN!$C$1="enero",[1]ACTUALIZACIÓN!$C$2-1,[1]ACTUALIZACIÓN!$C$2))/GETPIVOTDATA("Suma de turistas",'[1]TTDD DATOS'!$B$49,"País",$C164,"categoría","Total","tipología","Total","zona","la laguna-bajamar-la punta","municipio","total municipios","Años",IF([1]ACTUALIZACIÓN!$C$1="enero",[1]ACTUALIZACIÓN!$C$2-1,[1]ACTUALIZACIÓN!$C$2)-1)-1</f>
        <v>10.892857142857142</v>
      </c>
      <c r="J164" s="204">
        <f>GETPIVOTDATA("Suma de turistas",'[1]TTDD DATOS'!$B$49,"País",$C164,"categoría","Total","tipología","Total","zona","norte","municipio","total municipios","Años",IF([1]ACTUALIZACIÓN!$C$1="enero",[1]ACTUALIZACIÓN!$C$2-1,[1]ACTUALIZACIÓN!$C$2))</f>
        <v>14542</v>
      </c>
      <c r="K164" s="201">
        <f>GETPIVOTDATA("Suma de turistas",'[1]TTDD DATOS'!$B$49,"País",$C164,"categoría","Total","tipología","Total","zona","norte","municipio","total municipios","Años",IF([1]ACTUALIZACIÓN!$C$1="enero",[1]ACTUALIZACIÓN!$C$2-1,[1]ACTUALIZACIÓN!$C$2))/GETPIVOTDATA("Suma de turistas",'[1]TTDD DATOS'!$B$49,"País",$C164,"categoría","Total","tipología","Total","zona","norte","municipio","total municipios","Años",IF([1]ACTUALIZACIÓN!$C$1="enero",[1]ACTUALIZACIÓN!$C$2-1,[1]ACTUALIZACIÓN!$C$2)-1)-1</f>
        <v>22.192982456140349</v>
      </c>
      <c r="L164" s="205">
        <f>GETPIVOTDATA("Suma de turistas",'[1]TTDD DATOS'!$B$49,"País",$C164,"categoría","Total","tipología","Total","zona","sur","municipio","total municipios","Años",IF([1]ACTUALIZACIÓN!$C$1="enero",[1]ACTUALIZACIÓN!$C$2-1,[1]ACTUALIZACIÓN!$C$2))</f>
        <v>292407</v>
      </c>
      <c r="M164" s="201">
        <f>GETPIVOTDATA("Suma de turistas",'[1]TTDD DATOS'!$B$49,"País",$C164,"categoría","Total","tipología","Total","zona","sur","municipio","total municipios","Años",IF([1]ACTUALIZACIÓN!$C$1="enero",[1]ACTUALIZACIÓN!$C$2-1,[1]ACTUALIZACIÓN!$C$2))/GETPIVOTDATA("Suma de turistas",'[1]TTDD DATOS'!$B$49,"País",$C164,"categoría","Total","tipología","Total","zona","sur","municipio","total municipios","Años",IF([1]ACTUALIZACIÓN!$C$1="enero",[1]ACTUALIZACIÓN!$C$2-1,[1]ACTUALIZACIÓN!$C$2)-1)-1</f>
        <v>63.180640913081646</v>
      </c>
    </row>
    <row r="165" spans="3:13" ht="24" customHeight="1" thickBot="1" x14ac:dyDescent="0.25">
      <c r="C165" s="206" t="s">
        <v>45</v>
      </c>
      <c r="D165" s="200">
        <f>GETPIVOTDATA("Suma de turistas",'[1]TTDD DATOS'!$B$49,"País",$C165,"categoría","Total","tipología","Total","zona","tenerife","municipio","total municipios","Años",IF([1]ACTUALIZACIÓN!$C$1="enero",[1]ACTUALIZACIÓN!$C$2-1,[1]ACTUALIZACIÓN!$C$2))</f>
        <v>32188</v>
      </c>
      <c r="E165" s="201">
        <f>GETPIVOTDATA("Suma de turistas",'[1]TTDD DATOS'!$B$49,"País",$C165,"categoría","Total","tipología","Total","zona","tenerife","municipio","total municipios","Años",IF([1]ACTUALIZACIÓN!$C$1="enero",[1]ACTUALIZACIÓN!$C$2-1,[1]ACTUALIZACIÓN!$C$2))/GETPIVOTDATA("Suma de turistas",'[1]TTDD DATOS'!$B$49,"País",$C165,"categoría","Total","tipología","Total","zona","tenerife","municipio","total municipios","Años",IF([1]ACTUALIZACIÓN!$C$1="enero",[1]ACTUALIZACIÓN!$C$2-1,[1]ACTUALIZACIÓN!$C$2)-1)-1</f>
        <v>13.867436489607391</v>
      </c>
      <c r="F165" s="202">
        <f>GETPIVOTDATA("Suma de turistas",'[1]TTDD DATOS'!$B$49,"País",$C165,"categoría","Total","tipología","Total","zona","santa cruz","municipio","total municipios","Años",IF([1]ACTUALIZACIÓN!$C$1="enero",[1]ACTUALIZACIÓN!$C$2-1,[1]ACTUALIZACIÓN!$C$2))</f>
        <v>556</v>
      </c>
      <c r="G165" s="201">
        <f>GETPIVOTDATA("Suma de turistas",'[1]TTDD DATOS'!$B$49,"País",$C165,"categoría","Total","tipología","Total","zona","santa cruz","municipio","total municipios","Años",IF([1]ACTUALIZACIÓN!$C$1="enero",[1]ACTUALIZACIÓN!$C$2-3,[1]ACTUALIZACIÓN!$C$2))/GETPIVOTDATA("Suma de turistas",'[1]TTDD DATOS'!$B$49,"País",$C165,"categoría","Total","tipología","Total","zona","santa cruz","municipio","total municipios","Años",IF([1]ACTUALIZACIÓN!$C$1="enero",[1]ACTUALIZACIÓN!$C$2-3,[1]ACTUALIZACIÓN!$C$2)-1)-1</f>
        <v>1.0902255639097747</v>
      </c>
      <c r="H165" s="200">
        <f>GETPIVOTDATA("Suma de turistas",'[1]TTDD DATOS'!$B$49,"País",$C165,"categoría","Total","tipología","Total","zona","la laguna-bajamar-la punta","municipio","total municipios","Años",IF([1]ACTUALIZACIÓN!$C$1="enero",[1]ACTUALIZACIÓN!$C$2-1,[1]ACTUALIZACIÓN!$C$2))</f>
        <v>95</v>
      </c>
      <c r="I165" s="201">
        <f>GETPIVOTDATA("Suma de turistas",'[1]TTDD DATOS'!$B$49,"País",$C165,"categoría","Total","tipología","Total","zona","la laguna-bajamar-la punta","municipio","total municipios","Años",IF([1]ACTUALIZACIÓN!$C$1="enero",[1]ACTUALIZACIÓN!$C$2-1,[1]ACTUALIZACIÓN!$C$2))/GETPIVOTDATA("Suma de turistas",'[1]TTDD DATOS'!$B$49,"País",$C165,"categoría","Total","tipología","Total","zona","la laguna-bajamar-la punta","municipio","total municipios","Años",IF([1]ACTUALIZACIÓN!$C$1="enero",[1]ACTUALIZACIÓN!$C$2-1,[1]ACTUALIZACIÓN!$C$2)-1)-1</f>
        <v>3.1304347826086953</v>
      </c>
      <c r="J165" s="200">
        <f>GETPIVOTDATA("Suma de turistas",'[1]TTDD DATOS'!$B$49,"País",$C165,"categoría","Total","tipología","Total","zona","norte","municipio","total municipios","Años",IF([1]ACTUALIZACIÓN!$C$1="enero",[1]ACTUALIZACIÓN!$C$2-1,[1]ACTUALIZACIÓN!$C$2))</f>
        <v>1252</v>
      </c>
      <c r="K165" s="201">
        <f>GETPIVOTDATA("Suma de turistas",'[1]TTDD DATOS'!$B$49,"País",$C165,"categoría","Total","tipología","Total","zona","norte","municipio","total municipios","Años",IF([1]ACTUALIZACIÓN!$C$1="enero",[1]ACTUALIZACIÓN!$C$2-1,[1]ACTUALIZACIÓN!$C$2))/GETPIVOTDATA("Suma de turistas",'[1]TTDD DATOS'!$B$49,"País",$C165,"categoría","Total","tipología","Total","zona","norte","municipio","total municipios","Años",IF([1]ACTUALIZACIÓN!$C$1="enero",[1]ACTUALIZACIÓN!$C$2-1,[1]ACTUALIZACIÓN!$C$2)-1)-1</f>
        <v>12.178947368421053</v>
      </c>
      <c r="L165" s="202">
        <f>GETPIVOTDATA("Suma de turistas",'[1]TTDD DATOS'!$B$49,"País",$C165,"categoría","Total","tipología","Total","zona","sur","municipio","total municipios","Años",IF([1]ACTUALIZACIÓN!$C$1="enero",[1]ACTUALIZACIÓN!$C$2-1,[1]ACTUALIZACIÓN!$C$2))</f>
        <v>30285</v>
      </c>
      <c r="M165" s="201">
        <f>GETPIVOTDATA("Suma de turistas",'[1]TTDD DATOS'!$B$49,"País",$C165,"categoría","Total","tipología","Total","zona","sur","municipio","total municipios","Años",IF([1]ACTUALIZACIÓN!$C$1="enero",[1]ACTUALIZACIÓN!$C$2-1,[1]ACTUALIZACIÓN!$C$2))/GETPIVOTDATA("Suma de turistas",'[1]TTDD DATOS'!$B$49,"País",$C165,"categoría","Total","tipología","Total","zona","sur","municipio","total municipios","Años",IF([1]ACTUALIZACIÓN!$C$1="enero",[1]ACTUALIZACIÓN!$C$2-1,[1]ACTUALIZACIÓN!$C$2)-1)-1</f>
        <v>16.004491858506459</v>
      </c>
    </row>
    <row r="166" spans="3:13" ht="24" customHeight="1" thickBot="1" x14ac:dyDescent="0.25">
      <c r="C166" s="203" t="s">
        <v>46</v>
      </c>
      <c r="D166" s="204">
        <f>GETPIVOTDATA("Suma de turistas",'[1]TTDD DATOS'!$B$49,"País",$C166,"categoría","Total","tipología","Total","zona","tenerife","municipio","total municipios","Años",IF([1]ACTUALIZACIÓN!$C$1="enero",[1]ACTUALIZACIÓN!$C$2-1,[1]ACTUALIZACIÓN!$C$2))</f>
        <v>32243</v>
      </c>
      <c r="E166" s="201">
        <f>GETPIVOTDATA("Suma de turistas",'[1]TTDD DATOS'!$B$49,"País",$C166,"categoría","Total","tipología","Total","zona","tenerife","municipio","total municipios","Años",IF([1]ACTUALIZACIÓN!$C$1="enero",[1]ACTUALIZACIÓN!$C$2-1,[1]ACTUALIZACIÓN!$C$2))/GETPIVOTDATA("Suma de turistas",'[1]TTDD DATOS'!$B$49,"País",$C166,"categoría","Total","tipología","Total","zona","tenerife","municipio","total municipios","Años",IF([1]ACTUALIZACIÓN!$C$1="enero",[1]ACTUALIZACIÓN!$C$2-1,[1]ACTUALIZACIÓN!$C$2)-1)-1</f>
        <v>5.838388123011665</v>
      </c>
      <c r="F166" s="205">
        <f>GETPIVOTDATA("Suma de turistas",'[1]TTDD DATOS'!$B$49,"País",$C166,"categoría","Total","tipología","Total","zona","santa cruz","municipio","total municipios","Años",IF([1]ACTUALIZACIÓN!$C$1="enero",[1]ACTUALIZACIÓN!$C$2-1,[1]ACTUALIZACIÓN!$C$2))</f>
        <v>1430</v>
      </c>
      <c r="G166" s="201">
        <f>GETPIVOTDATA("Suma de turistas",'[1]TTDD DATOS'!$B$49,"País",$C166,"categoría","Total","tipología","Total","zona","santa cruz","municipio","total municipios","Años",IF([1]ACTUALIZACIÓN!$C$1="enero",[1]ACTUALIZACIÓN!$C$2-3,[1]ACTUALIZACIÓN!$C$2))/GETPIVOTDATA("Suma de turistas",'[1]TTDD DATOS'!$B$49,"País",$C166,"categoría","Total","tipología","Total","zona","santa cruz","municipio","total municipios","Años",IF([1]ACTUALIZACIÓN!$C$1="enero",[1]ACTUALIZACIÓN!$C$2-3,[1]ACTUALIZACIÓN!$C$2)-1)-1</f>
        <v>1.2170542635658914</v>
      </c>
      <c r="H166" s="204">
        <f>GETPIVOTDATA("Suma de turistas",'[1]TTDD DATOS'!$B$49,"País",$C166,"categoría","Total","tipología","Total","zona","la laguna-bajamar-la punta","municipio","total municipios","Años",IF([1]ACTUALIZACIÓN!$C$1="enero",[1]ACTUALIZACIÓN!$C$2-1,[1]ACTUALIZACIÓN!$C$2))</f>
        <v>432</v>
      </c>
      <c r="I166" s="201">
        <f>GETPIVOTDATA("Suma de turistas",'[1]TTDD DATOS'!$B$49,"País",$C166,"categoría","Total","tipología","Total","zona","la laguna-bajamar-la punta","municipio","total municipios","Años",IF([1]ACTUALIZACIÓN!$C$1="enero",[1]ACTUALIZACIÓN!$C$2-1,[1]ACTUALIZACIÓN!$C$2))/GETPIVOTDATA("Suma de turistas",'[1]TTDD DATOS'!$B$49,"País",$C166,"categoría","Total","tipología","Total","zona","la laguna-bajamar-la punta","municipio","total municipios","Años",IF([1]ACTUALIZACIÓN!$C$1="enero",[1]ACTUALIZACIÓN!$C$2-1,[1]ACTUALIZACIÓN!$C$2)-1)-1</f>
        <v>1.9189189189189189</v>
      </c>
      <c r="J166" s="204">
        <f>GETPIVOTDATA("Suma de turistas",'[1]TTDD DATOS'!$B$49,"País",$C166,"categoría","Total","tipología","Total","zona","norte","municipio","total municipios","Años",IF([1]ACTUALIZACIÓN!$C$1="enero",[1]ACTUALIZACIÓN!$C$2-1,[1]ACTUALIZACIÓN!$C$2))</f>
        <v>3612</v>
      </c>
      <c r="K166" s="201">
        <f>GETPIVOTDATA("Suma de turistas",'[1]TTDD DATOS'!$B$49,"País",$C166,"categoría","Total","tipología","Total","zona","norte","municipio","total municipios","Años",IF([1]ACTUALIZACIÓN!$C$1="enero",[1]ACTUALIZACIÓN!$C$2-1,[1]ACTUALIZACIÓN!$C$2))/GETPIVOTDATA("Suma de turistas",'[1]TTDD DATOS'!$B$49,"País",$C166,"categoría","Total","tipología","Total","zona","norte","municipio","total municipios","Años",IF([1]ACTUALIZACIÓN!$C$1="enero",[1]ACTUALIZACIÓN!$C$2-1,[1]ACTUALIZACIÓN!$C$2)-1)-1</f>
        <v>5.3479789103690685</v>
      </c>
      <c r="L166" s="205">
        <f>GETPIVOTDATA("Suma de turistas",'[1]TTDD DATOS'!$B$49,"País",$C166,"categoría","Total","tipología","Total","zona","sur","municipio","total municipios","Años",IF([1]ACTUALIZACIÓN!$C$1="enero",[1]ACTUALIZACIÓN!$C$2-1,[1]ACTUALIZACIÓN!$C$2))</f>
        <v>26769</v>
      </c>
      <c r="M166" s="201">
        <f>GETPIVOTDATA("Suma de turistas",'[1]TTDD DATOS'!$B$49,"País",$C166,"categoría","Total","tipología","Total","zona","sur","municipio","total municipios","Años",IF([1]ACTUALIZACIÓN!$C$1="enero",[1]ACTUALIZACIÓN!$C$2-1,[1]ACTUALIZACIÓN!$C$2))/GETPIVOTDATA("Suma de turistas",'[1]TTDD DATOS'!$B$49,"País",$C166,"categoría","Total","tipología","Total","zona","sur","municipio","total municipios","Años",IF([1]ACTUALIZACIÓN!$C$1="enero",[1]ACTUALIZACIÓN!$C$2-1,[1]ACTUALIZACIÓN!$C$2)-1)-1</f>
        <v>6.9835967790038769</v>
      </c>
    </row>
    <row r="167" spans="3:13" ht="24" customHeight="1" thickBot="1" x14ac:dyDescent="0.25">
      <c r="C167" s="206" t="s">
        <v>47</v>
      </c>
      <c r="D167" s="200">
        <f>GETPIVOTDATA("Suma de turistas",'[1]TTDD DATOS'!$B$49,"País","suecia","categoría","Total","tipología","Total","zona","tenerife","municipio","total municipios","Años",IF([1]ACTUALIZACIÓN!$C$1="enero",[1]ACTUALIZACIÓN!$C$2-1,[1]ACTUALIZACIÓN!$C$2))+GETPIVOTDATA("Suma de turistas",'[1]TTDD DATOS'!$B$49,"País","noruega","categoría","Total","tipología","Total","zona","tenerife","municipio","total municipios","Años",IF([1]ACTUALIZACIÓN!$C$1="enero",[1]ACTUALIZACIÓN!$C$2-1,[1]ACTUALIZACIÓN!$C$2))+GETPIVOTDATA("Suma de turistas",'[1]TTDD DATOS'!$B$49,"País","dinamarca","categoría","Total","tipología","Total","zona","tenerife","municipio","total municipios","Años",IF([1]ACTUALIZACIÓN!$C$1="enero",[1]ACTUALIZACIÓN!$C$2-1,[1]ACTUALIZACIÓN!$C$2))+GETPIVOTDATA("Suma de turistas",'[1]TTDD DATOS'!$B$49,"País","finlandia","categoría","Total","tipología","Total","zona","tenerife","municipio","total municipios","Años",IF([1]ACTUALIZACIÓN!$C$1="enero",[1]ACTUALIZACIÓN!$C$2-1,[1]ACTUALIZACIÓN!$C$2))</f>
        <v>65562</v>
      </c>
      <c r="E167" s="201">
        <f>(GETPIVOTDATA("Suma de turistas",'[1]TTDD DATOS'!$B$49,"País","suecia","categoría","Total","tipología","Total","zona","tenerife","municipio","total municipios","Años",IF([1]ACTUALIZACIÓN!$C$1="enero",[1]ACTUALIZACIÓN!$C$2-1,[1]ACTUALIZACIÓN!$C$2))+GETPIVOTDATA("Suma de turistas",'[1]TTDD DATOS'!$B$49,"País","noruega","categoría","Total","tipología","Total","zona","tenerife","municipio","total municipios","Años",IF([1]ACTUALIZACIÓN!$C$1="enero",[1]ACTUALIZACIÓN!$C$2-1,[1]ACTUALIZACIÓN!$C$2))+GETPIVOTDATA("Suma de turistas",'[1]TTDD DATOS'!$B$49,"País","dinamarca","categoría","Total","tipología","Total","zona","tenerife","municipio","total municipios","Años",IF([1]ACTUALIZACIÓN!$C$1="enero",[1]ACTUALIZACIÓN!$C$2-1,[1]ACTUALIZACIÓN!$C$2))+GETPIVOTDATA("Suma de turistas",'[1]TTDD DATOS'!$B$49,"País","finlandia","categoría","Total","tipología","Total","zona","tenerife","municipio","total municipios","Años",IF([1]ACTUALIZACIÓN!$C$1="enero",[1]ACTUALIZACIÓN!$C$2-1,[1]ACTUALIZACIÓN!$C$2)))/(GETPIVOTDATA("Suma de turistas",'[1]TTDD DATOS'!$B$49,"País","suecia","categoría","Total","tipología","Total","zona","tenerife","municipio","total municipios","Años",IF([1]ACTUALIZACIÓN!$C$1="enero",[1]ACTUALIZACIÓN!$C$2-1,[1]ACTUALIZACIÓN!$C$2)-1)+GETPIVOTDATA("Suma de turistas",'[1]TTDD DATOS'!$B$49,"País","noruega","categoría","Total","tipología","Total","zona","tenerife","municipio","total municipios","Años",IF([1]ACTUALIZACIÓN!$C$1="enero",[1]ACTUALIZACIÓN!$C$2-1,[1]ACTUALIZACIÓN!$C$2)-1)+GETPIVOTDATA("Suma de turistas",'[1]TTDD DATOS'!$B$49,"País","dinamarca","categoría","Total","tipología","Total","zona","tenerife","municipio","total municipios","Años",IF([1]ACTUALIZACIÓN!$C$1="enero",[1]ACTUALIZACIÓN!$C$2-1,[1]ACTUALIZACIÓN!$C$2)-1)+GETPIVOTDATA("Suma de turistas",'[1]TTDD DATOS'!$B$49,"País","finlandia","categoría","Total","tipología","Total","zona","tenerife","municipio","total municipios","Años",IF([1]ACTUALIZACIÓN!$C$1="enero",[1]ACTUALIZACIÓN!$C$2-1,[1]ACTUALIZACIÓN!$C$2)-1))-1</f>
        <v>26.570227081581162</v>
      </c>
      <c r="F167" s="202">
        <f>GETPIVOTDATA("Suma de turistas",'[1]TTDD DATOS'!$B$49,"País","suecia","categoría","Total","tipología","Total","zona","santa cruz","municipio","total municipios","Años",IF([1]ACTUALIZACIÓN!$C$1="enero",[1]ACTUALIZACIÓN!$C$2-1,[1]ACTUALIZACIÓN!$C$2))+GETPIVOTDATA("Suma de turistas",'[1]TTDD DATOS'!$B$49,"País","noruega","categoría","Total","tipología","Total","zona","santa cruz","municipio","total municipios","Años",IF([1]ACTUALIZACIÓN!$C$1="enero",[1]ACTUALIZACIÓN!$C$2-1,[1]ACTUALIZACIÓN!$C$2))+GETPIVOTDATA("Suma de turistas",'[1]TTDD DATOS'!$B$49,"País","dinamarca","categoría","Total","tipología","Total","zona","santa cruz","municipio","total municipios","Años",IF([1]ACTUALIZACIÓN!$C$1="enero",[1]ACTUALIZACIÓN!$C$2-1,[1]ACTUALIZACIÓN!$C$2))+GETPIVOTDATA("Suma de turistas",'[1]TTDD DATOS'!$B$49,"País","finlandia","categoría","Total","tipología","Total","zona","santa cruz","municipio","total municipios","Años",IF([1]ACTUALIZACIÓN!$C$1="enero",[1]ACTUALIZACIÓN!$C$2-1,[1]ACTUALIZACIÓN!$C$2))</f>
        <v>1856</v>
      </c>
      <c r="G167" s="201">
        <f>(GETPIVOTDATA("Suma de turistas",'[1]TTDD DATOS'!$B$49,"País","suecia","categoría","Total","tipología","Total","zona","santa cruz","municipio","total municipios","Años",IF([1]ACTUALIZACIÓN!$C$1="enero",[1]ACTUALIZACIÓN!$C$2-3,[1]ACTUALIZACIÓN!$C$2))+GETPIVOTDATA("Suma de turistas",'[1]TTDD DATOS'!$B$49,"País","noruega","categoría","Total","tipología","Total","zona","santa cruz","municipio","total municipios","Años",IF([1]ACTUALIZACIÓN!$C$1="enero",[1]ACTUALIZACIÓN!$C$2-3,[1]ACTUALIZACIÓN!$C$2))+GETPIVOTDATA("Suma de turistas",'[1]TTDD DATOS'!$B$49,"País","dinamarca","categoría","Total","tipología","Total","zona","santa cruz","municipio","total municipios","Años",IF([1]ACTUALIZACIÓN!$C$1="enero",[1]ACTUALIZACIÓN!$C$2-3,[1]ACTUALIZACIÓN!$C$2))+GETPIVOTDATA("Suma de turistas",'[1]TTDD DATOS'!$B$49,"País","finlandia","categoría","Total","tipología","Total","zona","santa cruz","municipio","total municipios","Años",IF([1]ACTUALIZACIÓN!$C$1="enero",[1]ACTUALIZACIÓN!$C$2-3,[1]ACTUALIZACIÓN!$C$2)))/(GETPIVOTDATA("Suma de turistas",'[1]TTDD DATOS'!$B$49,"País","suecia","categoría","Total","tipología","Total","zona","santa cruz","municipio","total municipios","Años",IF([1]ACTUALIZACIÓN!$C$1="enero",[1]ACTUALIZACIÓN!$C$2-3,[1]ACTUALIZACIÓN!$C$2)-1)+GETPIVOTDATA("Suma de turistas",'[1]TTDD DATOS'!$B$49,"País","noruega","categoría","Total","tipología","Total","zona","santa cruz","municipio","total municipios","Años",IF([1]ACTUALIZACIÓN!$C$1="enero",[1]ACTUALIZACIÓN!$C$2-3,[1]ACTUALIZACIÓN!$C$2)-1)+GETPIVOTDATA("Suma de turistas",'[1]TTDD DATOS'!$B$49,"País","dinamarca","categoría","Total","tipología","Total","zona","santa cruz","municipio","total municipios","Años",IF([1]ACTUALIZACIÓN!$C$1="enero",[1]ACTUALIZACIÓN!$C$2-3,[1]ACTUALIZACIÓN!$C$2)-1)+GETPIVOTDATA("Suma de turistas",'[1]TTDD DATOS'!$B$49,"País","finlandia","categoría","Total","tipología","Total","zona","santa cruz","municipio","total municipios","Años",IF([1]ACTUALIZACIÓN!$C$1="enero",[1]ACTUALIZACIÓN!$C$2-3,[1]ACTUALIZACIÓN!$C$2)-1))-1</f>
        <v>12.748148148148148</v>
      </c>
      <c r="H167" s="200">
        <f>GETPIVOTDATA("Suma de turistas",'[1]TTDD DATOS'!$B$49,"País","suecia","categoría","Total","tipología","Total","zona","la laguna-bajamar-la punta","municipio","total municipios","Años",IF([1]ACTUALIZACIÓN!$C$1="enero",[1]ACTUALIZACIÓN!$C$2-1,[1]ACTUALIZACIÓN!$C$2))+GETPIVOTDATA("Suma de turistas",'[1]TTDD DATOS'!$B$49,"País","noruega","categoría","Total","tipología","Total","zona","la laguna-bajamar-la punta","municipio","total municipios","Años",IF([1]ACTUALIZACIÓN!$C$1="enero",[1]ACTUALIZACIÓN!$C$2-1,[1]ACTUALIZACIÓN!$C$2))+GETPIVOTDATA("Suma de turistas",'[1]TTDD DATOS'!$B$49,"País","dinamarca","categoría","Total","tipología","Total","zona","la laguna-bajamar-la punta","municipio","total municipios","Años",IF([1]ACTUALIZACIÓN!$C$1="enero",[1]ACTUALIZACIÓN!$C$2-1,[1]ACTUALIZACIÓN!$C$2))+GETPIVOTDATA("Suma de turistas",'[1]TTDD DATOS'!$B$49,"País","finlandia","categoría","Total","tipología","Total","zona","la laguna-bajamar-la punta","municipio","total municipios","Años",IF([1]ACTUALIZACIÓN!$C$1="enero",[1]ACTUALIZACIÓN!$C$2-1,[1]ACTUALIZACIÓN!$C$2))</f>
        <v>366</v>
      </c>
      <c r="I167" s="201">
        <f>(GETPIVOTDATA("Suma de turistas",'[1]TTDD DATOS'!$B$49,"País","suecia","categoría","Total","tipología","Total","zona","la laguna-bajamar-la punta","municipio","total municipios","Años",IF([1]ACTUALIZACIÓN!$C$1="enero",[1]ACTUALIZACIÓN!$C$2-1,[1]ACTUALIZACIÓN!$C$2))+GETPIVOTDATA("Suma de turistas",'[1]TTDD DATOS'!$B$49,"País","noruega","categoría","Total","tipología","Total","zona","la laguna-bajamar-la punta","municipio","total municipios","Años",IF([1]ACTUALIZACIÓN!$C$1="enero",[1]ACTUALIZACIÓN!$C$2-1,[1]ACTUALIZACIÓN!$C$2))+GETPIVOTDATA("Suma de turistas",'[1]TTDD DATOS'!$B$49,"País","dinamarca","categoría","Total","tipología","Total","zona","la laguna-bajamar-la punta","municipio","total municipios","Años",IF([1]ACTUALIZACIÓN!$C$1="enero",[1]ACTUALIZACIÓN!$C$2-1,[1]ACTUALIZACIÓN!$C$2))+GETPIVOTDATA("Suma de turistas",'[1]TTDD DATOS'!$B$49,"País","finlandia","categoría","Total","tipología","Total","zona","la laguna-bajamar-la punta","municipio","total municipios","Años",IF([1]ACTUALIZACIÓN!$C$1="enero",[1]ACTUALIZACIÓN!$C$2-1,[1]ACTUALIZACIÓN!$C$2)))/(GETPIVOTDATA("Suma de turistas",'[1]TTDD DATOS'!$B$49,"País","suecia","categoría","Total","tipología","Total","zona","la laguna-bajamar-la punta","municipio","total municipios","Años",IF([1]ACTUALIZACIÓN!$C$1="enero",[1]ACTUALIZACIÓN!$C$2-1,[1]ACTUALIZACIÓN!$C$2)-1)+GETPIVOTDATA("Suma de turistas",'[1]TTDD DATOS'!$B$49,"País","noruega","categoría","Total","tipología","Total","zona","la laguna-bajamar-la punta","municipio","total municipios","Años",IF([1]ACTUALIZACIÓN!$C$1="enero",[1]ACTUALIZACIÓN!$C$2-1,[1]ACTUALIZACIÓN!$C$2)-1)+GETPIVOTDATA("Suma de turistas",'[1]TTDD DATOS'!$B$49,"País","dinamarca","categoría","Total","tipología","Total","zona","la laguna-bajamar-la punta","municipio","total municipios","Años",IF([1]ACTUALIZACIÓN!$C$1="enero",[1]ACTUALIZACIÓN!$C$2-1,[1]ACTUALIZACIÓN!$C$2)-1)+GETPIVOTDATA("Suma de turistas",'[1]TTDD DATOS'!$B$49,"País","finlandia","categoría","Total","tipología","Total","zona","la laguna-bajamar-la punta","municipio","total municipios","Años",IF([1]ACTUALIZACIÓN!$C$1="enero",[1]ACTUALIZACIÓN!$C$2-1,[1]ACTUALIZACIÓN!$C$2)-1))-1</f>
        <v>8.384615384615385</v>
      </c>
      <c r="J167" s="200">
        <f>GETPIVOTDATA("Suma de turistas",'[1]TTDD DATOS'!$B$49,"País","suecia","categoría","Total","tipología","Total","zona","norte","municipio","total municipios","Años",IF([1]ACTUALIZACIÓN!$C$1="enero",[1]ACTUALIZACIÓN!$C$2-1,[1]ACTUALIZACIÓN!$C$2))+GETPIVOTDATA("Suma de turistas",'[1]TTDD DATOS'!$B$49,"País","noruega","categoría","Total","tipología","Total","zona","norte","municipio","total municipios","Años",IF([1]ACTUALIZACIÓN!$C$1="enero",[1]ACTUALIZACIÓN!$C$2-1,[1]ACTUALIZACIÓN!$C$2))+GETPIVOTDATA("Suma de turistas",'[1]TTDD DATOS'!$B$49,"País","dinamarca","categoría","Total","tipología","Total","zona","norte","municipio","total municipios","Años",IF([1]ACTUALIZACIÓN!$C$1="enero",[1]ACTUALIZACIÓN!$C$2-1,[1]ACTUALIZACIÓN!$C$2))+GETPIVOTDATA("Suma de turistas",'[1]TTDD DATOS'!$B$49,"País","finlandia","categoría","Total","tipología","Total","zona","norte","municipio","total municipios","Años",IF([1]ACTUALIZACIÓN!$C$1="enero",[1]ACTUALIZACIÓN!$C$2-1,[1]ACTUALIZACIÓN!$C$2))</f>
        <v>10488</v>
      </c>
      <c r="K167" s="201">
        <f>(GETPIVOTDATA("Suma de turistas",'[1]TTDD DATOS'!$B$49,"País","suecia","categoría","Total","tipología","Total","zona","norte","municipio","total municipios","Años",IF([1]ACTUALIZACIÓN!$C$1="enero",[1]ACTUALIZACIÓN!$C$2-1,[1]ACTUALIZACIÓN!$C$2))+GETPIVOTDATA("Suma de turistas",'[1]TTDD DATOS'!$B$49,"País","noruega","categoría","Total","tipología","Total","zona","norte","municipio","total municipios","Años",IF([1]ACTUALIZACIÓN!$C$1="enero",[1]ACTUALIZACIÓN!$C$2-1,[1]ACTUALIZACIÓN!$C$2))+GETPIVOTDATA("Suma de turistas",'[1]TTDD DATOS'!$B$49,"País","dinamarca","categoría","Total","tipología","Total","zona","norte","municipio","total municipios","Años",IF([1]ACTUALIZACIÓN!$C$1="enero",[1]ACTUALIZACIÓN!$C$2-1,[1]ACTUALIZACIÓN!$C$2))+GETPIVOTDATA("Suma de turistas",'[1]TTDD DATOS'!$B$49,"País","finlandia","categoría","Total","tipología","Total","zona","norte","municipio","total municipios","Años",IF([1]ACTUALIZACIÓN!$C$1="enero",[1]ACTUALIZACIÓN!$C$2-1,[1]ACTUALIZACIÓN!$C$2)))/(GETPIVOTDATA("Suma de turistas",'[1]TTDD DATOS'!$B$49,"País","suecia","categoría","Total","tipología","Total","zona","norte","municipio","total municipios","Años",IF([1]ACTUALIZACIÓN!$C$1="enero",[1]ACTUALIZACIÓN!$C$2-1,[1]ACTUALIZACIÓN!$C$2)-1)+GETPIVOTDATA("Suma de turistas",'[1]TTDD DATOS'!$B$49,"País","noruega","categoría","Total","tipología","Total","zona","norte","municipio","total municipios","Años",IF([1]ACTUALIZACIÓN!$C$1="enero",[1]ACTUALIZACIÓN!$C$2-1,[1]ACTUALIZACIÓN!$C$2)-1)+GETPIVOTDATA("Suma de turistas",'[1]TTDD DATOS'!$B$49,"País","dinamarca","categoría","Total","tipología","Total","zona","norte","municipio","total municipios","Años",IF([1]ACTUALIZACIÓN!$C$1="enero",[1]ACTUALIZACIÓN!$C$2-1,[1]ACTUALIZACIÓN!$C$2)-1)+GETPIVOTDATA("Suma de turistas",'[1]TTDD DATOS'!$B$49,"País","finlandia","categoría","Total","tipología","Total","zona","norte","municipio","total municipios","Años",IF([1]ACTUALIZACIÓN!$C$1="enero",[1]ACTUALIZACIÓN!$C$2-1,[1]ACTUALIZACIÓN!$C$2)-1))-1</f>
        <v>29.137931034482758</v>
      </c>
      <c r="L167" s="202">
        <f>GETPIVOTDATA("Suma de turistas",'[1]TTDD DATOS'!$B$49,"País","suecia","categoría","Total","tipología","Total","zona","sur","municipio","total municipios","Años",IF([1]ACTUALIZACIÓN!$C$1="enero",[1]ACTUALIZACIÓN!$C$2-1,[1]ACTUALIZACIÓN!$C$2))+GETPIVOTDATA("Suma de turistas",'[1]TTDD DATOS'!$B$49,"País","noruega","categoría","Total","tipología","Total","zona","sur","municipio","total municipios","Años",IF([1]ACTUALIZACIÓN!$C$1="enero",[1]ACTUALIZACIÓN!$C$2-1,[1]ACTUALIZACIÓN!$C$2))+GETPIVOTDATA("Suma de turistas",'[1]TTDD DATOS'!$B$49,"País","dinamarca","categoría","Total","tipología","Total","zona","sur","municipio","total municipios","Años",IF([1]ACTUALIZACIÓN!$C$1="enero",[1]ACTUALIZACIÓN!$C$2-1,[1]ACTUALIZACIÓN!$C$2))+GETPIVOTDATA("Suma de turistas",'[1]TTDD DATOS'!$B$49,"País","finlandia","categoría","Total","tipología","Total","zona","sur","municipio","total municipios","Años",IF([1]ACTUALIZACIÓN!$C$1="enero",[1]ACTUALIZACIÓN!$C$2-1,[1]ACTUALIZACIÓN!$C$2))</f>
        <v>52852</v>
      </c>
      <c r="M167" s="201">
        <f>(GETPIVOTDATA("Suma de turistas",'[1]TTDD DATOS'!$B$49,"País","suecia","categoría","Total","tipología","Total","zona","sur","municipio","total municipios","Años",IF([1]ACTUALIZACIÓN!$C$1="enero",[1]ACTUALIZACIÓN!$C$2-1,[1]ACTUALIZACIÓN!$C$2))+GETPIVOTDATA("Suma de turistas",'[1]TTDD DATOS'!$B$49,"País","noruega","categoría","Total","tipología","Total","zona","sur","municipio","total municipios","Años",IF([1]ACTUALIZACIÓN!$C$1="enero",[1]ACTUALIZACIÓN!$C$2-1,[1]ACTUALIZACIÓN!$C$2))+GETPIVOTDATA("Suma de turistas",'[1]TTDD DATOS'!$B$49,"País","dinamarca","categoría","Total","tipología","Total","zona","sur","municipio","total municipios","Años",IF([1]ACTUALIZACIÓN!$C$1="enero",[1]ACTUALIZACIÓN!$C$2-1,[1]ACTUALIZACIÓN!$C$2))+GETPIVOTDATA("Suma de turistas",'[1]TTDD DATOS'!$B$49,"País","finlandia","categoría","Total","tipología","Total","zona","sur","municipio","total municipios","Años",IF([1]ACTUALIZACIÓN!$C$1="enero",[1]ACTUALIZACIÓN!$C$2-1,[1]ACTUALIZACIÓN!$C$2)))/(GETPIVOTDATA("Suma de turistas",'[1]TTDD DATOS'!$B$49,"País","suecia","categoría","Total","tipología","Total","zona","sur","municipio","total municipios","Años",IF([1]ACTUALIZACIÓN!$C$1="enero",[1]ACTUALIZACIÓN!$C$2-1,[1]ACTUALIZACIÓN!$C$2)-1)+GETPIVOTDATA("Suma de turistas",'[1]TTDD DATOS'!$B$49,"País","noruega","categoría","Total","tipología","Total","zona","sur","municipio","total municipios","Años",IF([1]ACTUALIZACIÓN!$C$1="enero",[1]ACTUALIZACIÓN!$C$2-1,[1]ACTUALIZACIÓN!$C$2)-1)+GETPIVOTDATA("Suma de turistas",'[1]TTDD DATOS'!$B$49,"País","dinamarca","categoría","Total","tipología","Total","zona","sur","municipio","total municipios","Años",IF([1]ACTUALIZACIÓN!$C$1="enero",[1]ACTUALIZACIÓN!$C$2-1,[1]ACTUALIZACIÓN!$C$2)-1)+GETPIVOTDATA("Suma de turistas",'[1]TTDD DATOS'!$B$49,"País","finlandia","categoría","Total","tipología","Total","zona","sur","municipio","total municipios","Años",IF([1]ACTUALIZACIÓN!$C$1="enero",[1]ACTUALIZACIÓN!$C$2-1,[1]ACTUALIZACIÓN!$C$2)-1))-1</f>
        <v>27.476293103448278</v>
      </c>
    </row>
    <row r="168" spans="3:13" ht="24" customHeight="1" thickBot="1" x14ac:dyDescent="0.25">
      <c r="C168" s="207" t="s">
        <v>48</v>
      </c>
      <c r="D168" s="204">
        <f>GETPIVOTDATA("Suma de turistas",'[1]TTDD DATOS'!$B$49,"País",$C168,"categoría","Total","tipología","Total","zona","tenerife","municipio","total municipios","Años",IF([1]ACTUALIZACIÓN!$C$1="enero",[1]ACTUALIZACIÓN!$C$2-1,[1]ACTUALIZACIÓN!$C$2))</f>
        <v>16181</v>
      </c>
      <c r="E168" s="201">
        <f>GETPIVOTDATA("Suma de turistas",'[1]TTDD DATOS'!$B$49,"País",$C168,"categoría","Total","tipología","Total","zona","tenerife","municipio","total municipios","Años",IF([1]ACTUALIZACIÓN!$C$1="enero",[1]ACTUALIZACIÓN!$C$2-1,[1]ACTUALIZACIÓN!$C$2))/GETPIVOTDATA("Suma de turistas",'[1]TTDD DATOS'!$B$49,"País",$C168,"categoría","Total","tipología","Total","zona","tenerife","municipio","total municipios","Años",IF([1]ACTUALIZACIÓN!$C$1="enero",[1]ACTUALIZACIÓN!$C$2-1,[1]ACTUALIZACIÓN!$C$2)-1)-1</f>
        <v>8.969808995687</v>
      </c>
      <c r="F168" s="205">
        <f>GETPIVOTDATA("Suma de turistas",'[1]TTDD DATOS'!$B$49,"País",$C168,"categoría","Total","tipología","Total","zona","santa cruz","municipio","total municipios","Años",IF([1]ACTUALIZACIÓN!$C$1="enero",[1]ACTUALIZACIÓN!$C$2-1,[1]ACTUALIZACIÓN!$C$2))</f>
        <v>655</v>
      </c>
      <c r="G168" s="201">
        <f>GETPIVOTDATA("Suma de turistas",'[1]TTDD DATOS'!$B$49,"País",$C168,"categoría","Total","tipología","Total","zona","santa cruz","municipio","total municipios","Años",IF([1]ACTUALIZACIÓN!$C$1="enero",[1]ACTUALIZACIÓN!$C$2-3,[1]ACTUALIZACIÓN!$C$2))/GETPIVOTDATA("Suma de turistas",'[1]TTDD DATOS'!$B$49,"País",$C168,"categoría","Total","tipología","Total","zona","santa cruz","municipio","total municipios","Años",IF([1]ACTUALIZACIÓN!$C$1="enero",[1]ACTUALIZACIÓN!$C$2-3,[1]ACTUALIZACIÓN!$C$2)-1)-1</f>
        <v>8.3571428571428577</v>
      </c>
      <c r="H168" s="204">
        <f>GETPIVOTDATA("Suma de turistas",'[1]TTDD DATOS'!$B$49,"País",$C168,"categoría","Total","tipología","Total","zona","la laguna-bajamar-la punta","municipio","total municipios","Años",IF([1]ACTUALIZACIÓN!$C$1="enero",[1]ACTUALIZACIÓN!$C$2-1,[1]ACTUALIZACIÓN!$C$2))</f>
        <v>95</v>
      </c>
      <c r="I168" s="201">
        <f>GETPIVOTDATA("Suma de turistas",'[1]TTDD DATOS'!$B$49,"País",$C168,"categoría","Total","tipología","Total","zona","la laguna-bajamar-la punta","municipio","total municipios","Años",IF([1]ACTUALIZACIÓN!$C$1="enero",[1]ACTUALIZACIÓN!$C$2-1,[1]ACTUALIZACIÓN!$C$2))/GETPIVOTDATA("Suma de turistas",'[1]TTDD DATOS'!$B$49,"País",$C168,"categoría","Total","tipología","Total","zona","la laguna-bajamar-la punta","municipio","total municipios","Años",IF([1]ACTUALIZACIÓN!$C$1="enero",[1]ACTUALIZACIÓN!$C$2-1,[1]ACTUALIZACIÓN!$C$2)-1)-1</f>
        <v>4</v>
      </c>
      <c r="J168" s="204">
        <f>GETPIVOTDATA("Suma de turistas",'[1]TTDD DATOS'!$B$49,"País",$C168,"categoría","Total","tipología","Total","zona","norte","municipio","total municipios","Años",IF([1]ACTUALIZACIÓN!$C$1="enero",[1]ACTUALIZACIÓN!$C$2-1,[1]ACTUALIZACIÓN!$C$2))</f>
        <v>2688</v>
      </c>
      <c r="K168" s="201">
        <f>GETPIVOTDATA("Suma de turistas",'[1]TTDD DATOS'!$B$49,"País",$C168,"categoría","Total","tipología","Total","zona","norte","municipio","total municipios","Años",IF([1]ACTUALIZACIÓN!$C$1="enero",[1]ACTUALIZACIÓN!$C$2-1,[1]ACTUALIZACIÓN!$C$2))/GETPIVOTDATA("Suma de turistas",'[1]TTDD DATOS'!$B$49,"País",$C168,"categoría","Total","tipología","Total","zona","norte","municipio","total municipios","Años",IF([1]ACTUALIZACIÓN!$C$1="enero",[1]ACTUALIZACIÓN!$C$2-1,[1]ACTUALIZACIÓN!$C$2)-1)-1</f>
        <v>13.850828729281767</v>
      </c>
      <c r="L168" s="205">
        <f>GETPIVOTDATA("Suma de turistas",'[1]TTDD DATOS'!$B$49,"País",$C168,"categoría","Total","tipología","Total","zona","sur","municipio","total municipios","Años",IF([1]ACTUALIZACIÓN!$C$1="enero",[1]ACTUALIZACIÓN!$C$2-1,[1]ACTUALIZACIÓN!$C$2))</f>
        <v>12743</v>
      </c>
      <c r="M168" s="201">
        <f>GETPIVOTDATA("Suma de turistas",'[1]TTDD DATOS'!$B$49,"País",$C168,"categoría","Total","tipología","Total","zona","sur","municipio","total municipios","Años",IF([1]ACTUALIZACIÓN!$C$1="enero",[1]ACTUALIZACIÓN!$C$2-1,[1]ACTUALIZACIÓN!$C$2))/GETPIVOTDATA("Suma de turistas",'[1]TTDD DATOS'!$B$49,"País",$C168,"categoría","Total","tipología","Total","zona","sur","municipio","total municipios","Años",IF([1]ACTUALIZACIÓN!$C$1="enero",[1]ACTUALIZACIÓN!$C$2-1,[1]ACTUALIZACIÓN!$C$2)-1)-1</f>
        <v>8.4183296378418326</v>
      </c>
    </row>
    <row r="169" spans="3:13" ht="24" customHeight="1" thickBot="1" x14ac:dyDescent="0.25">
      <c r="C169" s="199" t="s">
        <v>49</v>
      </c>
      <c r="D169" s="200">
        <f>GETPIVOTDATA("Suma de turistas",'[1]TTDD DATOS'!$B$49,"País",$C169,"categoría","Total","tipología","Total","zona","tenerife","municipio","total municipios","Años",IF([1]ACTUALIZACIÓN!$C$1="enero",[1]ACTUALIZACIÓN!$C$2-1,[1]ACTUALIZACIÓN!$C$2))</f>
        <v>10488</v>
      </c>
      <c r="E169" s="201">
        <f>GETPIVOTDATA("Suma de turistas",'[1]TTDD DATOS'!$B$49,"País",$C169,"categoría","Total","tipología","Total","zona","tenerife","municipio","total municipios","Años",IF([1]ACTUALIZACIÓN!$C$1="enero",[1]ACTUALIZACIÓN!$C$2-1,[1]ACTUALIZACIÓN!$C$2))/GETPIVOTDATA("Suma de turistas",'[1]TTDD DATOS'!$B$49,"País",$C169,"categoría","Total","tipología","Total","zona","tenerife","municipio","total municipios","Años",IF([1]ACTUALIZACIÓN!$C$1="enero",[1]ACTUALIZACIÓN!$C$2-1,[1]ACTUALIZACIÓN!$C$2)-1)-1</f>
        <v>76.117647058823536</v>
      </c>
      <c r="F169" s="202">
        <f>GETPIVOTDATA("Suma de turistas",'[1]TTDD DATOS'!$B$49,"País",$C169,"categoría","Total","tipología","Total","zona","santa cruz","municipio","total municipios","Años",IF([1]ACTUALIZACIÓN!$C$1="enero",[1]ACTUALIZACIÓN!$C$2-1,[1]ACTUALIZACIÓN!$C$2))</f>
        <v>424</v>
      </c>
      <c r="G169" s="201">
        <f>GETPIVOTDATA("Suma de turistas",'[1]TTDD DATOS'!$B$49,"País",$C169,"categoría","Total","tipología","Total","zona","santa cruz","municipio","total municipios","Años",IF([1]ACTUALIZACIÓN!$C$1="enero",[1]ACTUALIZACIÓN!$C$2-3,[1]ACTUALIZACIÓN!$C$2))/GETPIVOTDATA("Suma de turistas",'[1]TTDD DATOS'!$B$49,"País",$C169,"categoría","Total","tipología","Total","zona","santa cruz","municipio","total municipios","Años",IF([1]ACTUALIZACIÓN!$C$1="enero",[1]ACTUALIZACIÓN!$C$2-3,[1]ACTUALIZACIÓN!$C$2)-1)-1</f>
        <v>20.2</v>
      </c>
      <c r="H169" s="200">
        <f>GETPIVOTDATA("Suma de turistas",'[1]TTDD DATOS'!$B$49,"País",$C169,"categoría","Total","tipología","Total","zona","la laguna-bajamar-la punta","municipio","total municipios","Años",IF([1]ACTUALIZACIÓN!$C$1="enero",[1]ACTUALIZACIÓN!$C$2-1,[1]ACTUALIZACIÓN!$C$2))</f>
        <v>48</v>
      </c>
      <c r="I169" s="201">
        <f>GETPIVOTDATA("Suma de turistas",'[1]TTDD DATOS'!$B$49,"País",$C169,"categoría","Total","tipología","Total","zona","la laguna-bajamar-la punta","municipio","total municipios","Años",IF([1]ACTUALIZACIÓN!$C$1="enero",[1]ACTUALIZACIÓN!$C$2-1,[1]ACTUALIZACIÓN!$C$2))/GETPIVOTDATA("Suma de turistas",'[1]TTDD DATOS'!$B$49,"País",$C169,"categoría","Total","tipología","Total","zona","la laguna-bajamar-la punta","municipio","total municipios","Años",IF([1]ACTUALIZACIÓN!$C$1="enero",[1]ACTUALIZACIÓN!$C$2-1,[1]ACTUALIZACIÓN!$C$2)-1)-1</f>
        <v>8.6</v>
      </c>
      <c r="J169" s="200">
        <f>GETPIVOTDATA("Suma de turistas",'[1]TTDD DATOS'!$B$49,"País",$C169,"categoría","Total","tipología","Total","zona","norte","municipio","total municipios","Años",IF([1]ACTUALIZACIÓN!$C$1="enero",[1]ACTUALIZACIÓN!$C$2-1,[1]ACTUALIZACIÓN!$C$2))</f>
        <v>1115</v>
      </c>
      <c r="K169" s="201">
        <f>GETPIVOTDATA("Suma de turistas",'[1]TTDD DATOS'!$B$49,"País",$C169,"categoría","Total","tipología","Total","zona","norte","municipio","total municipios","Años",IF([1]ACTUALIZACIÓN!$C$1="enero",[1]ACTUALIZACIÓN!$C$2-1,[1]ACTUALIZACIÓN!$C$2))/GETPIVOTDATA("Suma de turistas",'[1]TTDD DATOS'!$B$49,"País",$C169,"categoría","Total","tipología","Total","zona","norte","municipio","total municipios","Años",IF([1]ACTUALIZACIÓN!$C$1="enero",[1]ACTUALIZACIÓN!$C$2-1,[1]ACTUALIZACIÓN!$C$2)-1)-1</f>
        <v>34.967741935483872</v>
      </c>
      <c r="L169" s="202">
        <f>GETPIVOTDATA("Suma de turistas",'[1]TTDD DATOS'!$B$49,"País",$C169,"categoría","Total","tipología","Total","zona","sur","municipio","total municipios","Años",IF([1]ACTUALIZACIÓN!$C$1="enero",[1]ACTUALIZACIÓN!$C$2-1,[1]ACTUALIZACIÓN!$C$2))</f>
        <v>8901</v>
      </c>
      <c r="M169" s="201">
        <f>GETPIVOTDATA("Suma de turistas",'[1]TTDD DATOS'!$B$49,"País",$C169,"categoría","Total","tipología","Total","zona","sur","municipio","total municipios","Años",IF([1]ACTUALIZACIÓN!$C$1="enero",[1]ACTUALIZACIÓN!$C$2-1,[1]ACTUALIZACIÓN!$C$2))/GETPIVOTDATA("Suma de turistas",'[1]TTDD DATOS'!$B$49,"País",$C169,"categoría","Total","tipología","Total","zona","sur","municipio","total municipios","Años",IF([1]ACTUALIZACIÓN!$C$1="enero",[1]ACTUALIZACIÓN!$C$2-1,[1]ACTUALIZACIÓN!$C$2)-1)-1</f>
        <v>110.2625</v>
      </c>
    </row>
    <row r="170" spans="3:13" ht="24" customHeight="1" thickBot="1" x14ac:dyDescent="0.25">
      <c r="C170" s="207" t="s">
        <v>50</v>
      </c>
      <c r="D170" s="204">
        <f>GETPIVOTDATA("Suma de turistas",'[1]TTDD DATOS'!$B$49,"País",$C170,"categoría","Total","tipología","Total","zona","tenerife","municipio","total municipios","Años",IF([1]ACTUALIZACIÓN!$C$1="enero",[1]ACTUALIZACIÓN!$C$2-1,[1]ACTUALIZACIÓN!$C$2))</f>
        <v>20165</v>
      </c>
      <c r="E170" s="201">
        <f>GETPIVOTDATA("Suma de turistas",'[1]TTDD DATOS'!$B$49,"País",$C170,"categoría","Total","tipología","Total","zona","tenerife","municipio","total municipios","Años",IF([1]ACTUALIZACIÓN!$C$1="enero",[1]ACTUALIZACIÓN!$C$2-1,[1]ACTUALIZACIÓN!$C$2))/GETPIVOTDATA("Suma de turistas",'[1]TTDD DATOS'!$B$49,"País",$C170,"categoría","Total","tipología","Total","zona","tenerife","municipio","total municipios","Años",IF([1]ACTUALIZACIÓN!$C$1="enero",[1]ACTUALIZACIÓN!$C$2-1,[1]ACTUALIZACIÓN!$C$2)-1)-1</f>
        <v>57.28034682080925</v>
      </c>
      <c r="F170" s="205">
        <f>GETPIVOTDATA("Suma de turistas",'[1]TTDD DATOS'!$B$49,"País",$C170,"categoría","Total","tipología","Total","zona","santa cruz","municipio","total municipios","Años",IF([1]ACTUALIZACIÓN!$C$1="enero",[1]ACTUALIZACIÓN!$C$2-1,[1]ACTUALIZACIÓN!$C$2))</f>
        <v>370</v>
      </c>
      <c r="G170" s="201">
        <f>GETPIVOTDATA("Suma de turistas",'[1]TTDD DATOS'!$B$49,"País",$C170,"categoría","Total","tipología","Total","zona","santa cruz","municipio","total municipios","Años",IF([1]ACTUALIZACIÓN!$C$1="enero",[1]ACTUALIZACIÓN!$C$2-3,[1]ACTUALIZACIÓN!$C$2))/GETPIVOTDATA("Suma de turistas",'[1]TTDD DATOS'!$B$49,"País",$C170,"categoría","Total","tipología","Total","zona","santa cruz","municipio","total municipios","Años",IF([1]ACTUALIZACIÓN!$C$1="enero",[1]ACTUALIZACIÓN!$C$2-3,[1]ACTUALIZACIÓN!$C$2)-1)-1</f>
        <v>60.666666666666664</v>
      </c>
      <c r="H170" s="204">
        <f>GETPIVOTDATA("Suma de turistas",'[1]TTDD DATOS'!$B$49,"País",$C170,"categoría","Total","tipología","Total","zona","la laguna-bajamar-la punta","municipio","total municipios","Años",IF([1]ACTUALIZACIÓN!$C$1="enero",[1]ACTUALIZACIÓN!$C$2-1,[1]ACTUALIZACIÓN!$C$2))</f>
        <v>168</v>
      </c>
      <c r="I170" s="201">
        <f>GETPIVOTDATA("Suma de turistas",'[1]TTDD DATOS'!$B$49,"País",$C170,"categoría","Total","tipología","Total","zona","la laguna-bajamar-la punta","municipio","total municipios","Años",IF([1]ACTUALIZACIÓN!$C$1="enero",[1]ACTUALIZACIÓN!$C$2-1,[1]ACTUALIZACIÓN!$C$2))/GETPIVOTDATA("Suma de turistas",'[1]TTDD DATOS'!$B$49,"País",$C170,"categoría","Total","tipología","Total","zona","la laguna-bajamar-la punta","municipio","total municipios","Años",IF([1]ACTUALIZACIÓN!$C$1="enero",[1]ACTUALIZACIÓN!$C$2-1,[1]ACTUALIZACIÓN!$C$2)-1)-1</f>
        <v>15.8</v>
      </c>
      <c r="J170" s="204">
        <f>GETPIVOTDATA("Suma de turistas",'[1]TTDD DATOS'!$B$49,"País",$C170,"categoría","Total","tipología","Total","zona","norte","municipio","total municipios","Años",IF([1]ACTUALIZACIÓN!$C$1="enero",[1]ACTUALIZACIÓN!$C$2-1,[1]ACTUALIZACIÓN!$C$2))</f>
        <v>2709</v>
      </c>
      <c r="K170" s="201">
        <f>GETPIVOTDATA("Suma de turistas",'[1]TTDD DATOS'!$B$49,"País",$C170,"categoría","Total","tipología","Total","zona","norte","municipio","total municipios","Años",IF([1]ACTUALIZACIÓN!$C$1="enero",[1]ACTUALIZACIÓN!$C$2-1,[1]ACTUALIZACIÓN!$C$2))/GETPIVOTDATA("Suma de turistas",'[1]TTDD DATOS'!$B$49,"País",$C170,"categoría","Total","tipología","Total","zona","norte","municipio","total municipios","Años",IF([1]ACTUALIZACIÓN!$C$1="enero",[1]ACTUALIZACIÓN!$C$2-1,[1]ACTUALIZACIÓN!$C$2)-1)-1</f>
        <v>34.18181818181818</v>
      </c>
      <c r="L170" s="205">
        <f>GETPIVOTDATA("Suma de turistas",'[1]TTDD DATOS'!$B$49,"País",$C170,"categoría","Total","tipología","Total","zona","sur","municipio","total municipios","Años",IF([1]ACTUALIZACIÓN!$C$1="enero",[1]ACTUALIZACIÓN!$C$2-1,[1]ACTUALIZACIÓN!$C$2))</f>
        <v>16918</v>
      </c>
      <c r="M170" s="201">
        <f>GETPIVOTDATA("Suma de turistas",'[1]TTDD DATOS'!$B$49,"País",$C170,"categoría","Total","tipología","Total","zona","sur","municipio","total municipios","Años",IF([1]ACTUALIZACIÓN!$C$1="enero",[1]ACTUALIZACIÓN!$C$2-1,[1]ACTUALIZACIÓN!$C$2))/GETPIVOTDATA("Suma de turistas",'[1]TTDD DATOS'!$B$49,"País",$C170,"categoría","Total","tipología","Total","zona","sur","municipio","total municipios","Años",IF([1]ACTUALIZACIÓN!$C$1="enero",[1]ACTUALIZACIÓN!$C$2-1,[1]ACTUALIZACIÓN!$C$2)-1)-1</f>
        <v>65.869565217391298</v>
      </c>
    </row>
    <row r="171" spans="3:13" ht="24" customHeight="1" thickBot="1" x14ac:dyDescent="0.25">
      <c r="C171" s="199" t="s">
        <v>51</v>
      </c>
      <c r="D171" s="200">
        <f>GETPIVOTDATA("Suma de turistas",'[1]TTDD DATOS'!$B$49,"País",$C171,"categoría","Total","tipología","Total","zona","tenerife","municipio","total municipios","Años",IF([1]ACTUALIZACIÓN!$C$1="enero",[1]ACTUALIZACIÓN!$C$2-1,[1]ACTUALIZACIÓN!$C$2))</f>
        <v>18728</v>
      </c>
      <c r="E171" s="201">
        <f>GETPIVOTDATA("Suma de turistas",'[1]TTDD DATOS'!$B$49,"País",$C171,"categoría","Total","tipología","Total","zona","tenerife","municipio","total municipios","Años",IF([1]ACTUALIZACIÓN!$C$1="enero",[1]ACTUALIZACIÓN!$C$2-1,[1]ACTUALIZACIÓN!$C$2))/GETPIVOTDATA("Suma de turistas",'[1]TTDD DATOS'!$B$49,"País",$C171,"categoría","Total","tipología","Total","zona","tenerife","municipio","total municipios","Años",IF([1]ACTUALIZACIÓN!$C$1="enero",[1]ACTUALIZACIÓN!$C$2-1,[1]ACTUALIZACIÓN!$C$2)-1)-1</f>
        <v>67.600732600732599</v>
      </c>
      <c r="F171" s="202">
        <f>GETPIVOTDATA("Suma de turistas",'[1]TTDD DATOS'!$B$49,"País",$C171,"categoría","Total","tipología","Total","zona","santa cruz","municipio","total municipios","Años",IF([1]ACTUALIZACIÓN!$C$1="enero",[1]ACTUALIZACIÓN!$C$2-1,[1]ACTUALIZACIÓN!$C$2))</f>
        <v>407</v>
      </c>
      <c r="G171" s="201">
        <f>GETPIVOTDATA("Suma de turistas",'[1]TTDD DATOS'!$B$49,"País",$C171,"categoría","Total","tipología","Total","zona","santa cruz","municipio","total municipios","Años",IF([1]ACTUALIZACIÓN!$C$1="enero",[1]ACTUALIZACIÓN!$C$2-3,[1]ACTUALIZACIÓN!$C$2))/GETPIVOTDATA("Suma de turistas",'[1]TTDD DATOS'!$B$49,"País",$C171,"categoría","Total","tipología","Total","zona","santa cruz","municipio","total municipios","Años",IF([1]ACTUALIZACIÓN!$C$1="enero",[1]ACTUALIZACIÓN!$C$2-3,[1]ACTUALIZACIÓN!$C$2)-1)-1</f>
        <v>9.4358974358974361</v>
      </c>
      <c r="H171" s="200">
        <f>GETPIVOTDATA("Suma de turistas",'[1]TTDD DATOS'!$B$49,"País",$C171,"categoría","Total","tipología","Total","zona","la laguna-bajamar-la punta","municipio","total municipios","Años",IF([1]ACTUALIZACIÓN!$C$1="enero",[1]ACTUALIZACIÓN!$C$2-1,[1]ACTUALIZACIÓN!$C$2))</f>
        <v>55</v>
      </c>
      <c r="I171" s="201">
        <f>GETPIVOTDATA("Suma de turistas",'[1]TTDD DATOS'!$B$49,"País",$C171,"categoría","Total","tipología","Total","zona","la laguna-bajamar-la punta","municipio","total municipios","Años",IF([1]ACTUALIZACIÓN!$C$1="enero",[1]ACTUALIZACIÓN!$C$2-1,[1]ACTUALIZACIÓN!$C$2))/GETPIVOTDATA("Suma de turistas",'[1]TTDD DATOS'!$B$49,"País",$C171,"categoría","Total","tipología","Total","zona","la laguna-bajamar-la punta","municipio","total municipios","Años",IF([1]ACTUALIZACIÓN!$C$1="enero",[1]ACTUALIZACIÓN!$C$2-1,[1]ACTUALIZACIÓN!$C$2)-1)-1</f>
        <v>10</v>
      </c>
      <c r="J171" s="200">
        <f>GETPIVOTDATA("Suma de turistas",'[1]TTDD DATOS'!$B$49,"País",$C171,"categoría","Total","tipología","Total","zona","norte","municipio","total municipios","Años",IF([1]ACTUALIZACIÓN!$C$1="enero",[1]ACTUALIZACIÓN!$C$2-1,[1]ACTUALIZACIÓN!$C$2))</f>
        <v>3976</v>
      </c>
      <c r="K171" s="201">
        <f>GETPIVOTDATA("Suma de turistas",'[1]TTDD DATOS'!$B$49,"País",$C171,"categoría","Total","tipología","Total","zona","norte","municipio","total municipios","Años",IF([1]ACTUALIZACIÓN!$C$1="enero",[1]ACTUALIZACIÓN!$C$2-1,[1]ACTUALIZACIÓN!$C$2))/GETPIVOTDATA("Suma de turistas",'[1]TTDD DATOS'!$B$49,"País",$C171,"categoría","Total","tipología","Total","zona","norte","municipio","total municipios","Años",IF([1]ACTUALIZACIÓN!$C$1="enero",[1]ACTUALIZACIÓN!$C$2-1,[1]ACTUALIZACIÓN!$C$2)-1)-1</f>
        <v>66.389830508474574</v>
      </c>
      <c r="L171" s="202">
        <f>GETPIVOTDATA("Suma de turistas",'[1]TTDD DATOS'!$B$49,"País",$C171,"categoría","Total","tipología","Total","zona","sur","municipio","total municipios","Años",IF([1]ACTUALIZACIÓN!$C$1="enero",[1]ACTUALIZACIÓN!$C$2-1,[1]ACTUALIZACIÓN!$C$2))</f>
        <v>14290</v>
      </c>
      <c r="M171" s="201">
        <f>GETPIVOTDATA("Suma de turistas",'[1]TTDD DATOS'!$B$49,"País",$C171,"categoría","Total","tipología","Total","zona","sur","municipio","total municipios","Años",IF([1]ACTUALIZACIÓN!$C$1="enero",[1]ACTUALIZACIÓN!$C$2-1,[1]ACTUALIZACIÓN!$C$2))/GETPIVOTDATA("Suma de turistas",'[1]TTDD DATOS'!$B$49,"País",$C171,"categoría","Total","tipología","Total","zona","sur","municipio","total municipios","Años",IF([1]ACTUALIZACIÓN!$C$1="enero",[1]ACTUALIZACIÓN!$C$2-1,[1]ACTUALIZACIÓN!$C$2)-1)-1</f>
        <v>83.058823529411768</v>
      </c>
    </row>
    <row r="172" spans="3:13" ht="24" customHeight="1" thickBot="1" x14ac:dyDescent="0.25">
      <c r="C172" s="203" t="s">
        <v>52</v>
      </c>
      <c r="D172" s="204">
        <f>GETPIVOTDATA("Suma de turistas",'[1]TTDD DATOS'!$B$49,"País",$C172,"categoría","Total","tipología","Total","zona","tenerife","municipio","total municipios","Años",IF([1]ACTUALIZACIÓN!$C$1="enero",[1]ACTUALIZACIÓN!$C$2-1,[1]ACTUALIZACIÓN!$C$2))</f>
        <v>8436</v>
      </c>
      <c r="E172" s="201">
        <f>GETPIVOTDATA("Suma de turistas",'[1]TTDD DATOS'!$B$49,"País",$C172,"categoría","Total","tipología","Total","zona","tenerife","municipio","total municipios","Años",IF([1]ACTUALIZACIÓN!$C$1="enero",[1]ACTUALIZACIÓN!$C$2-1,[1]ACTUALIZACIÓN!$C$2))/GETPIVOTDATA("Suma de turistas",'[1]TTDD DATOS'!$B$49,"País",$C172,"categoría","Total","tipología","Total","zona","tenerife","municipio","total municipios","Años",IF([1]ACTUALIZACIÓN!$C$1="enero",[1]ACTUALIZACIÓN!$C$2-1,[1]ACTUALIZACIÓN!$C$2)-1)-1</f>
        <v>3.4517150395778362</v>
      </c>
      <c r="F172" s="205">
        <f>GETPIVOTDATA("Suma de turistas",'[1]TTDD DATOS'!$B$49,"País",$C172,"categoría","Total","tipología","Total","zona","santa cruz","municipio","total municipios","Años",IF([1]ACTUALIZACIÓN!$C$1="enero",[1]ACTUALIZACIÓN!$C$2-1,[1]ACTUALIZACIÓN!$C$2))</f>
        <v>441</v>
      </c>
      <c r="G172" s="201">
        <f>GETPIVOTDATA("Suma de turistas",'[1]TTDD DATOS'!$B$49,"País",$C172,"categoría","Total","tipología","Total","zona","santa cruz","municipio","total municipios","Años",IF([1]ACTUALIZACIÓN!$C$1="enero",[1]ACTUALIZACIÓN!$C$2-3,[1]ACTUALIZACIÓN!$C$2))/GETPIVOTDATA("Suma de turistas",'[1]TTDD DATOS'!$B$49,"País",$C172,"categoría","Total","tipología","Total","zona","santa cruz","municipio","total municipios","Años",IF([1]ACTUALIZACIÓN!$C$1="enero",[1]ACTUALIZACIÓN!$C$2-3,[1]ACTUALIZACIÓN!$C$2)-1)-1</f>
        <v>2.2666666666666666</v>
      </c>
      <c r="H172" s="204">
        <f>GETPIVOTDATA("Suma de turistas",'[1]TTDD DATOS'!$B$49,"País",$C172,"categoría","Total","tipología","Total","zona","la laguna-bajamar-la punta","municipio","total municipios","Años",IF([1]ACTUALIZACIÓN!$C$1="enero",[1]ACTUALIZACIÓN!$C$2-1,[1]ACTUALIZACIÓN!$C$2))</f>
        <v>305</v>
      </c>
      <c r="I172" s="201">
        <f>GETPIVOTDATA("Suma de turistas",'[1]TTDD DATOS'!$B$49,"País",$C172,"categoría","Total","tipología","Total","zona","la laguna-bajamar-la punta","municipio","total municipios","Años",IF([1]ACTUALIZACIÓN!$C$1="enero",[1]ACTUALIZACIÓN!$C$2-1,[1]ACTUALIZACIÓN!$C$2))/GETPIVOTDATA("Suma de turistas",'[1]TTDD DATOS'!$B$49,"País",$C172,"categoría","Total","tipología","Total","zona","la laguna-bajamar-la punta","municipio","total municipios","Años",IF([1]ACTUALIZACIÓN!$C$1="enero",[1]ACTUALIZACIÓN!$C$2-1,[1]ACTUALIZACIÓN!$C$2)-1)-1</f>
        <v>4.865384615384615</v>
      </c>
      <c r="J172" s="204">
        <f>GETPIVOTDATA("Suma de turistas",'[1]TTDD DATOS'!$B$49,"País",$C172,"categoría","Total","tipología","Total","zona","norte","municipio","total municipios","Años",IF([1]ACTUALIZACIÓN!$C$1="enero",[1]ACTUALIZACIÓN!$C$2-1,[1]ACTUALIZACIÓN!$C$2))</f>
        <v>1238</v>
      </c>
      <c r="K172" s="201">
        <f>GETPIVOTDATA("Suma de turistas",'[1]TTDD DATOS'!$B$49,"País",$C172,"categoría","Total","tipología","Total","zona","norte","municipio","total municipios","Años",IF([1]ACTUALIZACIÓN!$C$1="enero",[1]ACTUALIZACIÓN!$C$2-1,[1]ACTUALIZACIÓN!$C$2))/GETPIVOTDATA("Suma de turistas",'[1]TTDD DATOS'!$B$49,"País",$C172,"categoría","Total","tipología","Total","zona","norte","municipio","total municipios","Años",IF([1]ACTUALIZACIÓN!$C$1="enero",[1]ACTUALIZACIÓN!$C$2-1,[1]ACTUALIZACIÓN!$C$2)-1)-1</f>
        <v>4.7050691244239635</v>
      </c>
      <c r="L172" s="205">
        <f>GETPIVOTDATA("Suma de turistas",'[1]TTDD DATOS'!$B$49,"País",$C172,"categoría","Total","tipología","Total","zona","sur","municipio","total municipios","Años",IF([1]ACTUALIZACIÓN!$C$1="enero",[1]ACTUALIZACIÓN!$C$2-1,[1]ACTUALIZACIÓN!$C$2))</f>
        <v>6452</v>
      </c>
      <c r="M172" s="201">
        <f>GETPIVOTDATA("Suma de turistas",'[1]TTDD DATOS'!$B$49,"País",$C172,"categoría","Total","tipología","Total","zona","sur","municipio","total municipios","Años",IF([1]ACTUALIZACIÓN!$C$1="enero",[1]ACTUALIZACIÓN!$C$2-1,[1]ACTUALIZACIÓN!$C$2))/GETPIVOTDATA("Suma de turistas",'[1]TTDD DATOS'!$B$49,"País",$C172,"categoría","Total","tipología","Total","zona","sur","municipio","total municipios","Años",IF([1]ACTUALIZACIÓN!$C$1="enero",[1]ACTUALIZACIÓN!$C$2-1,[1]ACTUALIZACIÓN!$C$2)-1)-1</f>
        <v>3.3272971160295102</v>
      </c>
    </row>
    <row r="173" spans="3:13" ht="24" customHeight="1" thickBot="1" x14ac:dyDescent="0.25">
      <c r="C173" s="206" t="s">
        <v>53</v>
      </c>
      <c r="D173" s="200">
        <f>GETPIVOTDATA("Suma de turistas",'[1]TTDD DATOS'!$B$49,"País",$C173,"categoría","Total","tipología","Total","zona","tenerife","municipio","total municipios","Años",IF([1]ACTUALIZACIÓN!$C$1="enero",[1]ACTUALIZACIÓN!$C$2-1,[1]ACTUALIZACIÓN!$C$2))</f>
        <v>6276</v>
      </c>
      <c r="E173" s="201">
        <f>GETPIVOTDATA("Suma de turistas",'[1]TTDD DATOS'!$B$49,"País",$C173,"categoría","Total","tipología","Total","zona","tenerife","municipio","total municipios","Años",IF([1]ACTUALIZACIÓN!$C$1="enero",[1]ACTUALIZACIÓN!$C$2-1,[1]ACTUALIZACIÓN!$C$2))/GETPIVOTDATA("Suma de turistas",'[1]TTDD DATOS'!$B$49,"País",$C173,"categoría","Total","tipología","Total","zona","tenerife","municipio","total municipios","Años",IF([1]ACTUALIZACIÓN!$C$1="enero",[1]ACTUALIZACIÓN!$C$2-1,[1]ACTUALIZACIÓN!$C$2)-1)-1</f>
        <v>4.6847826086956523</v>
      </c>
      <c r="F173" s="202">
        <f>GETPIVOTDATA("Suma de turistas",'[1]TTDD DATOS'!$B$49,"País",$C173,"categoría","Total","tipología","Total","zona","santa cruz","municipio","total municipios","Años",IF([1]ACTUALIZACIÓN!$C$1="enero",[1]ACTUALIZACIÓN!$C$2-1,[1]ACTUALIZACIÓN!$C$2))</f>
        <v>304</v>
      </c>
      <c r="G173" s="201">
        <f>GETPIVOTDATA("Suma de turistas",'[1]TTDD DATOS'!$B$49,"País",$C173,"categoría","Total","tipología","Total","zona","santa cruz","municipio","total municipios","Años",IF([1]ACTUALIZACIÓN!$C$1="enero",[1]ACTUALIZACIÓN!$C$2-3,[1]ACTUALIZACIÓN!$C$2))/GETPIVOTDATA("Suma de turistas",'[1]TTDD DATOS'!$B$49,"País",$C173,"categoría","Total","tipología","Total","zona","santa cruz","municipio","total municipios","Años",IF([1]ACTUALIZACIÓN!$C$1="enero",[1]ACTUALIZACIÓN!$C$2-3,[1]ACTUALIZACIÓN!$C$2)-1)-1</f>
        <v>3.3428571428571425</v>
      </c>
      <c r="H173" s="200">
        <f>GETPIVOTDATA("Suma de turistas",'[1]TTDD DATOS'!$B$49,"País",$C173,"categoría","Total","tipología","Total","zona","la laguna-bajamar-la punta","municipio","total municipios","Años",IF([1]ACTUALIZACIÓN!$C$1="enero",[1]ACTUALIZACIÓN!$C$2-1,[1]ACTUALIZACIÓN!$C$2))</f>
        <v>136</v>
      </c>
      <c r="I173" s="201">
        <f>GETPIVOTDATA("Suma de turistas",'[1]TTDD DATOS'!$B$49,"País",$C173,"categoría","Total","tipología","Total","zona","la laguna-bajamar-la punta","municipio","total municipios","Años",IF([1]ACTUALIZACIÓN!$C$1="enero",[1]ACTUALIZACIÓN!$C$2-1,[1]ACTUALIZACIÓN!$C$2))/GETPIVOTDATA("Suma de turistas",'[1]TTDD DATOS'!$B$49,"País",$C173,"categoría","Total","tipología","Total","zona","la laguna-bajamar-la punta","municipio","total municipios","Años",IF([1]ACTUALIZACIÓN!$C$1="enero",[1]ACTUALIZACIÓN!$C$2-1,[1]ACTUALIZACIÓN!$C$2)-1)-1</f>
        <v>3.6896551724137927</v>
      </c>
      <c r="J173" s="200">
        <f>GETPIVOTDATA("Suma de turistas",'[1]TTDD DATOS'!$B$49,"País",$C173,"categoría","Total","tipología","Total","zona","norte","municipio","total municipios","Años",IF([1]ACTUALIZACIÓN!$C$1="enero",[1]ACTUALIZACIÓN!$C$2-1,[1]ACTUALIZACIÓN!$C$2))</f>
        <v>1383</v>
      </c>
      <c r="K173" s="201">
        <f>GETPIVOTDATA("Suma de turistas",'[1]TTDD DATOS'!$B$49,"País",$C173,"categoría","Total","tipología","Total","zona","norte","municipio","total municipios","Años",IF([1]ACTUALIZACIÓN!$C$1="enero",[1]ACTUALIZACIÓN!$C$2-1,[1]ACTUALIZACIÓN!$C$2))/GETPIVOTDATA("Suma de turistas",'[1]TTDD DATOS'!$B$49,"País",$C173,"categoría","Total","tipología","Total","zona","norte","municipio","total municipios","Años",IF([1]ACTUALIZACIÓN!$C$1="enero",[1]ACTUALIZACIÓN!$C$2-1,[1]ACTUALIZACIÓN!$C$2)-1)-1</f>
        <v>9.0217391304347831</v>
      </c>
      <c r="L173" s="202">
        <f>GETPIVOTDATA("Suma de turistas",'[1]TTDD DATOS'!$B$49,"País",$C173,"categoría","Total","tipología","Total","zona","sur","municipio","total municipios","Años",IF([1]ACTUALIZACIÓN!$C$1="enero",[1]ACTUALIZACIÓN!$C$2-1,[1]ACTUALIZACIÓN!$C$2))</f>
        <v>4453</v>
      </c>
      <c r="M173" s="201">
        <f>GETPIVOTDATA("Suma de turistas",'[1]TTDD DATOS'!$B$49,"País",$C173,"categoría","Total","tipología","Total","zona","sur","municipio","total municipios","Años",IF([1]ACTUALIZACIÓN!$C$1="enero",[1]ACTUALIZACIÓN!$C$2-1,[1]ACTUALIZACIÓN!$C$2))/GETPIVOTDATA("Suma de turistas",'[1]TTDD DATOS'!$B$49,"País",$C173,"categoría","Total","tipología","Total","zona","sur","municipio","total municipios","Años",IF([1]ACTUALIZACIÓN!$C$1="enero",[1]ACTUALIZACIÓN!$C$2-1,[1]ACTUALIZACIÓN!$C$2)-1)-1</f>
        <v>4.1361014994232983</v>
      </c>
    </row>
    <row r="174" spans="3:13" ht="24" customHeight="1" thickBot="1" x14ac:dyDescent="0.25">
      <c r="C174" s="203" t="s">
        <v>54</v>
      </c>
      <c r="D174" s="204">
        <f>GETPIVOTDATA("Suma de turistas",'[1]TTDD DATOS'!$B$49,"País",$C174,"categoría","Total","tipología","Total","zona","tenerife","municipio","total municipios","Años",IF([1]ACTUALIZACIÓN!$C$1="enero",[1]ACTUALIZACIÓN!$C$2-1,[1]ACTUALIZACIÓN!$C$2))</f>
        <v>2693</v>
      </c>
      <c r="E174" s="201">
        <f>GETPIVOTDATA("Suma de turistas",'[1]TTDD DATOS'!$B$49,"País",$C174,"categoría","Total","tipología","Total","zona","tenerife","municipio","total municipios","Años",IF([1]ACTUALIZACIÓN!$C$1="enero",[1]ACTUALIZACIÓN!$C$2-1,[1]ACTUALIZACIÓN!$C$2))/GETPIVOTDATA("Suma de turistas",'[1]TTDD DATOS'!$B$49,"País",$C174,"categoría","Total","tipología","Total","zona","tenerife","municipio","total municipios","Años",IF([1]ACTUALIZACIÓN!$C$1="enero",[1]ACTUALIZACIÓN!$C$2-1,[1]ACTUALIZACIÓN!$C$2)-1)-1</f>
        <v>1.3017094017094015</v>
      </c>
      <c r="F174" s="205">
        <f>GETPIVOTDATA("Suma de turistas",'[1]TTDD DATOS'!$B$49,"País",$C174,"categoría","Total","tipología","Total","zona","santa cruz","municipio","total municipios","Años",IF([1]ACTUALIZACIÓN!$C$1="enero",[1]ACTUALIZACIÓN!$C$2-1,[1]ACTUALIZACIÓN!$C$2))</f>
        <v>233</v>
      </c>
      <c r="G174" s="201">
        <f>GETPIVOTDATA("Suma de turistas",'[1]TTDD DATOS'!$B$49,"País",$C174,"categoría","Total","tipología","Total","zona","santa cruz","municipio","total municipios","Años",IF([1]ACTUALIZACIÓN!$C$1="enero",[1]ACTUALIZACIÓN!$C$2-3,[1]ACTUALIZACIÓN!$C$2))/GETPIVOTDATA("Suma de turistas",'[1]TTDD DATOS'!$B$49,"País",$C174,"categoría","Total","tipología","Total","zona","santa cruz","municipio","total municipios","Años",IF([1]ACTUALIZACIÓN!$C$1="enero",[1]ACTUALIZACIÓN!$C$2-3,[1]ACTUALIZACIÓN!$C$2)-1)-1</f>
        <v>1.7738095238095237</v>
      </c>
      <c r="H174" s="204">
        <f>GETPIVOTDATA("Suma de turistas",'[1]TTDD DATOS'!$B$49,"País",$C174,"categoría","Total","tipología","Total","zona","la laguna-bajamar-la punta","municipio","total municipios","Años",IF([1]ACTUALIZACIÓN!$C$1="enero",[1]ACTUALIZACIÓN!$C$2-1,[1]ACTUALIZACIÓN!$C$2))</f>
        <v>32</v>
      </c>
      <c r="I174" s="201">
        <f>GETPIVOTDATA("Suma de turistas",'[1]TTDD DATOS'!$B$49,"País",$C174,"categoría","Total","tipología","Total","zona","la laguna-bajamar-la punta","municipio","total municipios","Años",IF([1]ACTUALIZACIÓN!$C$1="enero",[1]ACTUALIZACIÓN!$C$2-1,[1]ACTUALIZACIÓN!$C$2))/GETPIVOTDATA("Suma de turistas",'[1]TTDD DATOS'!$B$49,"País",$C174,"categoría","Total","tipología","Total","zona","la laguna-bajamar-la punta","municipio","total municipios","Años",IF([1]ACTUALIZACIÓN!$C$1="enero",[1]ACTUALIZACIÓN!$C$2-1,[1]ACTUALIZACIÓN!$C$2)-1)-1</f>
        <v>-5.8823529411764719E-2</v>
      </c>
      <c r="J174" s="204">
        <f>GETPIVOTDATA("Suma de turistas",'[1]TTDD DATOS'!$B$49,"País",$C174,"categoría","Total","tipología","Total","zona","norte","municipio","total municipios","Años",IF([1]ACTUALIZACIÓN!$C$1="enero",[1]ACTUALIZACIÓN!$C$2-1,[1]ACTUALIZACIÓN!$C$2))</f>
        <v>437</v>
      </c>
      <c r="K174" s="201">
        <f>GETPIVOTDATA("Suma de turistas",'[1]TTDD DATOS'!$B$49,"País",$C174,"categoría","Total","tipología","Total","zona","norte","municipio","total municipios","Años",IF([1]ACTUALIZACIÓN!$C$1="enero",[1]ACTUALIZACIÓN!$C$2-1,[1]ACTUALIZACIÓN!$C$2))/GETPIVOTDATA("Suma de turistas",'[1]TTDD DATOS'!$B$49,"País",$C174,"categoría","Total","tipología","Total","zona","norte","municipio","total municipios","Años",IF([1]ACTUALIZACIÓN!$C$1="enero",[1]ACTUALIZACIÓN!$C$2-1,[1]ACTUALIZACIÓN!$C$2)-1)-1</f>
        <v>3.75</v>
      </c>
      <c r="L174" s="205">
        <f>GETPIVOTDATA("Suma de turistas",'[1]TTDD DATOS'!$B$49,"País",$C174,"categoría","Total","tipología","Total","zona","sur","municipio","total municipios","Años",IF([1]ACTUALIZACIÓN!$C$1="enero",[1]ACTUALIZACIÓN!$C$2-1,[1]ACTUALIZACIÓN!$C$2))</f>
        <v>1991</v>
      </c>
      <c r="M174" s="201">
        <f>GETPIVOTDATA("Suma de turistas",'[1]TTDD DATOS'!$B$49,"País",$C174,"categoría","Total","tipología","Total","zona","sur","municipio","total municipios","Años",IF([1]ACTUALIZACIÓN!$C$1="enero",[1]ACTUALIZACIÓN!$C$2-1,[1]ACTUALIZACIÓN!$C$2))/GETPIVOTDATA("Suma de turistas",'[1]TTDD DATOS'!$B$49,"País",$C174,"categoría","Total","tipología","Total","zona","sur","municipio","total municipios","Años",IF([1]ACTUALIZACIÓN!$C$1="enero",[1]ACTUALIZACIÓN!$C$2-1,[1]ACTUALIZACIÓN!$C$2)-1)-1</f>
        <v>1.0739583333333331</v>
      </c>
    </row>
    <row r="175" spans="3:13" ht="24" customHeight="1" thickBot="1" x14ac:dyDescent="0.25">
      <c r="C175" s="206" t="s">
        <v>55</v>
      </c>
      <c r="D175" s="200">
        <f>GETPIVOTDATA("Suma de turistas",'[1]TTDD DATOS'!$B$49,"País",$C175,"categoría","Total","tipología","Total","zona","tenerife","municipio","total municipios","Años",IF([1]ACTUALIZACIÓN!$C$1="enero",[1]ACTUALIZACIÓN!$C$2-1,[1]ACTUALIZACIÓN!$C$2))</f>
        <v>33307</v>
      </c>
      <c r="E175" s="201">
        <f>GETPIVOTDATA("Suma de turistas",'[1]TTDD DATOS'!$B$49,"País",$C175,"categoría","Total","tipología","Total","zona","tenerife","municipio","total municipios","Años",IF([1]ACTUALIZACIÓN!$C$1="enero",[1]ACTUALIZACIÓN!$C$2-1,[1]ACTUALIZACIÓN!$C$2))/GETPIVOTDATA("Suma de turistas",'[1]TTDD DATOS'!$B$49,"País",$C175,"categoría","Total","tipología","Total","zona","tenerife","municipio","total municipios","Años",IF([1]ACTUALIZACIÓN!$C$1="enero",[1]ACTUALIZACIÓN!$C$2-1,[1]ACTUALIZACIÓN!$C$2)-1)-1</f>
        <v>2.2967435415223201</v>
      </c>
      <c r="F175" s="202">
        <f>GETPIVOTDATA("Suma de turistas",'[1]TTDD DATOS'!$B$49,"País",$C175,"categoría","Total","tipología","Total","zona","santa cruz","municipio","total municipios","Años",IF([1]ACTUALIZACIÓN!$C$1="enero",[1]ACTUALIZACIÓN!$C$2-1,[1]ACTUALIZACIÓN!$C$2))</f>
        <v>1202</v>
      </c>
      <c r="G175" s="201">
        <f>GETPIVOTDATA("Suma de turistas",'[1]TTDD DATOS'!$B$49,"País",$C175,"categoría","Total","tipología","Total","zona","santa cruz","municipio","total municipios","Años",IF([1]ACTUALIZACIÓN!$C$1="enero",[1]ACTUALIZACIÓN!$C$2-3,[1]ACTUALIZACIÓN!$C$2))/GETPIVOTDATA("Suma de turistas",'[1]TTDD DATOS'!$B$49,"País",$C175,"categoría","Total","tipología","Total","zona","santa cruz","municipio","total municipios","Años",IF([1]ACTUALIZACIÓN!$C$1="enero",[1]ACTUALIZACIÓN!$C$2-3,[1]ACTUALIZACIÓN!$C$2)-1)-1</f>
        <v>2.3764044943820224</v>
      </c>
      <c r="H175" s="200">
        <f>GETPIVOTDATA("Suma de turistas",'[1]TTDD DATOS'!$B$49,"País",$C175,"categoría","Total","tipología","Total","zona","la laguna-bajamar-la punta","municipio","total municipios","Años",IF([1]ACTUALIZACIÓN!$C$1="enero",[1]ACTUALIZACIÓN!$C$2-1,[1]ACTUALIZACIÓN!$C$2))</f>
        <v>278</v>
      </c>
      <c r="I175" s="201">
        <f>GETPIVOTDATA("Suma de turistas",'[1]TTDD DATOS'!$B$49,"País",$C175,"categoría","Total","tipología","Total","zona","la laguna-bajamar-la punta","municipio","total municipios","Años",IF([1]ACTUALIZACIÓN!$C$1="enero",[1]ACTUALIZACIÓN!$C$2-1,[1]ACTUALIZACIÓN!$C$2))/GETPIVOTDATA("Suma de turistas",'[1]TTDD DATOS'!$B$49,"País",$C175,"categoría","Total","tipología","Total","zona","la laguna-bajamar-la punta","municipio","total municipios","Años",IF([1]ACTUALIZACIÓN!$C$1="enero",[1]ACTUALIZACIÓN!$C$2-1,[1]ACTUALIZACIÓN!$C$2)-1)-1</f>
        <v>1.396551724137931</v>
      </c>
      <c r="J175" s="200">
        <f>GETPIVOTDATA("Suma de turistas",'[1]TTDD DATOS'!$B$49,"País",$C175,"categoría","Total","tipología","Total","zona","norte","municipio","total municipios","Años",IF([1]ACTUALIZACIÓN!$C$1="enero",[1]ACTUALIZACIÓN!$C$2-1,[1]ACTUALIZACIÓN!$C$2))</f>
        <v>4131</v>
      </c>
      <c r="K175" s="201">
        <f>GETPIVOTDATA("Suma de turistas",'[1]TTDD DATOS'!$B$49,"País",$C175,"categoría","Total","tipología","Total","zona","norte","municipio","total municipios","Años",IF([1]ACTUALIZACIÓN!$C$1="enero",[1]ACTUALIZACIÓN!$C$2-1,[1]ACTUALIZACIÓN!$C$2))/GETPIVOTDATA("Suma de turistas",'[1]TTDD DATOS'!$B$49,"País",$C175,"categoría","Total","tipología","Total","zona","norte","municipio","total municipios","Años",IF([1]ACTUALIZACIÓN!$C$1="enero",[1]ACTUALIZACIÓN!$C$2-1,[1]ACTUALIZACIÓN!$C$2)-1)-1</f>
        <v>5.1109467455621305</v>
      </c>
      <c r="L175" s="202">
        <f>GETPIVOTDATA("Suma de turistas",'[1]TTDD DATOS'!$B$49,"País",$C175,"categoría","Total","tipología","Total","zona","sur","municipio","total municipios","Años",IF([1]ACTUALIZACIÓN!$C$1="enero",[1]ACTUALIZACIÓN!$C$2-1,[1]ACTUALIZACIÓN!$C$2))</f>
        <v>27696</v>
      </c>
      <c r="M175" s="201">
        <f>GETPIVOTDATA("Suma de turistas",'[1]TTDD DATOS'!$B$49,"País",$C175,"categoría","Total","tipología","Total","zona","sur","municipio","total municipios","Años",IF([1]ACTUALIZACIÓN!$C$1="enero",[1]ACTUALIZACIÓN!$C$2-1,[1]ACTUALIZACIÓN!$C$2))/GETPIVOTDATA("Suma de turistas",'[1]TTDD DATOS'!$B$49,"País",$C175,"categoría","Total","tipología","Total","zona","sur","municipio","total municipios","Años",IF([1]ACTUALIZACIÓN!$C$1="enero",[1]ACTUALIZACIÓN!$C$2-1,[1]ACTUALIZACIÓN!$C$2)-1)-1</f>
        <v>2.0927973199329983</v>
      </c>
    </row>
    <row r="176" spans="3:13" ht="24" customHeight="1" thickBot="1" x14ac:dyDescent="0.25">
      <c r="C176" s="203" t="s">
        <v>56</v>
      </c>
      <c r="D176" s="204">
        <f>GETPIVOTDATA("Suma de turistas",'[1]TTDD DATOS'!$B$49,"País",$C176,"categoría","Total","tipología","Total","zona","tenerife","municipio","total municipios","Años",IF([1]ACTUALIZACIÓN!$C$1="enero",[1]ACTUALIZACIÓN!$C$2-1,[1]ACTUALIZACIÓN!$C$2))</f>
        <v>45341</v>
      </c>
      <c r="E176" s="201">
        <f>GETPIVOTDATA("Suma de turistas",'[1]TTDD DATOS'!$B$49,"País",$C176,"categoría","Total","tipología","Total","zona","tenerife","municipio","total municipios","Años",IF([1]ACTUALIZACIÓN!$C$1="enero",[1]ACTUALIZACIÓN!$C$2-1,[1]ACTUALIZACIÓN!$C$2))/GETPIVOTDATA("Suma de turistas",'[1]TTDD DATOS'!$B$49,"País",$C176,"categoría","Total","tipología","Total","zona","tenerife","municipio","total municipios","Años",IF([1]ACTUALIZACIÓN!$C$1="enero",[1]ACTUALIZACIÓN!$C$2-1,[1]ACTUALIZACIÓN!$C$2)-1)-1</f>
        <v>3.7313993530209748</v>
      </c>
      <c r="F176" s="205">
        <f>GETPIVOTDATA("Suma de turistas",'[1]TTDD DATOS'!$B$49,"País",$C176,"categoría","Total","tipología","Total","zona","santa cruz","municipio","total municipios","Años",IF([1]ACTUALIZACIÓN!$C$1="enero",[1]ACTUALIZACIÓN!$C$2-1,[1]ACTUALIZACIÓN!$C$2))</f>
        <v>1728</v>
      </c>
      <c r="G176" s="201">
        <f>GETPIVOTDATA("Suma de turistas",'[1]TTDD DATOS'!$B$49,"País",$C176,"categoría","Total","tipología","Total","zona","santa cruz","municipio","total municipios","Años",IF([1]ACTUALIZACIÓN!$C$1="enero",[1]ACTUALIZACIÓN!$C$2-3,[1]ACTUALIZACIÓN!$C$2))/GETPIVOTDATA("Suma de turistas",'[1]TTDD DATOS'!$B$49,"País",$C176,"categoría","Total","tipología","Total","zona","santa cruz","municipio","total municipios","Años",IF([1]ACTUALIZACIÓN!$C$1="enero",[1]ACTUALIZACIÓN!$C$2-3,[1]ACTUALIZACIÓN!$C$2)-1)-1</f>
        <v>0.55395683453237421</v>
      </c>
      <c r="H176" s="204">
        <f>GETPIVOTDATA("Suma de turistas",'[1]TTDD DATOS'!$B$49,"País",$C176,"categoría","Total","tipología","Total","zona","la laguna-bajamar-la punta","municipio","total municipios","Años",IF([1]ACTUALIZACIÓN!$C$1="enero",[1]ACTUALIZACIÓN!$C$2-1,[1]ACTUALIZACIÓN!$C$2))</f>
        <v>323</v>
      </c>
      <c r="I176" s="201">
        <f>GETPIVOTDATA("Suma de turistas",'[1]TTDD DATOS'!$B$49,"País",$C176,"categoría","Total","tipología","Total","zona","la laguna-bajamar-la punta","municipio","total municipios","Años",IF([1]ACTUALIZACIÓN!$C$1="enero",[1]ACTUALIZACIÓN!$C$2-1,[1]ACTUALIZACIÓN!$C$2))/GETPIVOTDATA("Suma de turistas",'[1]TTDD DATOS'!$B$49,"País",$C176,"categoría","Total","tipología","Total","zona","la laguna-bajamar-la punta","municipio","total municipios","Años",IF([1]ACTUALIZACIÓN!$C$1="enero",[1]ACTUALIZACIÓN!$C$2-1,[1]ACTUALIZACIÓN!$C$2)-1)-1</f>
        <v>2.0761904761904764</v>
      </c>
      <c r="J176" s="204">
        <f>GETPIVOTDATA("Suma de turistas",'[1]TTDD DATOS'!$B$49,"País",$C176,"categoría","Total","tipología","Total","zona","norte","municipio","total municipios","Años",IF([1]ACTUALIZACIÓN!$C$1="enero",[1]ACTUALIZACIÓN!$C$2-1,[1]ACTUALIZACIÓN!$C$2))</f>
        <v>6805</v>
      </c>
      <c r="K176" s="201">
        <f>GETPIVOTDATA("Suma de turistas",'[1]TTDD DATOS'!$B$49,"País",$C176,"categoría","Total","tipología","Total","zona","norte","municipio","total municipios","Años",IF([1]ACTUALIZACIÓN!$C$1="enero",[1]ACTUALIZACIÓN!$C$2-1,[1]ACTUALIZACIÓN!$C$2))/GETPIVOTDATA("Suma de turistas",'[1]TTDD DATOS'!$B$49,"País",$C176,"categoría","Total","tipología","Total","zona","norte","municipio","total municipios","Años",IF([1]ACTUALIZACIÓN!$C$1="enero",[1]ACTUALIZACIÓN!$C$2-1,[1]ACTUALIZACIÓN!$C$2)-1)-1</f>
        <v>5.9297352342158858</v>
      </c>
      <c r="L176" s="205">
        <f>GETPIVOTDATA("Suma de turistas",'[1]TTDD DATOS'!$B$49,"País",$C176,"categoría","Total","tipología","Total","zona","sur","municipio","total municipios","Años",IF([1]ACTUALIZACIÓN!$C$1="enero",[1]ACTUALIZACIÓN!$C$2-1,[1]ACTUALIZACIÓN!$C$2))</f>
        <v>36485</v>
      </c>
      <c r="M176" s="201">
        <f>GETPIVOTDATA("Suma de turistas",'[1]TTDD DATOS'!$B$49,"País",$C176,"categoría","Total","tipología","Total","zona","sur","municipio","total municipios","Años",IF([1]ACTUALIZACIÓN!$C$1="enero",[1]ACTUALIZACIÓN!$C$2-1,[1]ACTUALIZACIÓN!$C$2))/GETPIVOTDATA("Suma de turistas",'[1]TTDD DATOS'!$B$49,"País",$C176,"categoría","Total","tipología","Total","zona","sur","municipio","total municipios","Años",IF([1]ACTUALIZACIÓN!$C$1="enero",[1]ACTUALIZACIÓN!$C$2-1,[1]ACTUALIZACIÓN!$C$2)-1)-1</f>
        <v>3.9410888407367279</v>
      </c>
    </row>
    <row r="177" spans="3:18" ht="24" customHeight="1" thickBot="1" x14ac:dyDescent="0.25">
      <c r="C177" s="206" t="s">
        <v>57</v>
      </c>
      <c r="D177" s="200">
        <f>GETPIVOTDATA("Suma de turistas",'[1]TTDD DATOS'!$B$49,"País","estados unidos","categoría","Total","tipología","Total","zona","tenerife","municipio","total municipios","Años",IF([1]ACTUALIZACIÓN!$C$1="enero",[1]ACTUALIZACIÓN!$C$2-1,[1]ACTUALIZACIÓN!$C$2))</f>
        <v>5110</v>
      </c>
      <c r="E177" s="201">
        <f>GETPIVOTDATA("Suma de turistas",'[1]TTDD DATOS'!$B$49,"País","estados unidos","categoría","Total","tipología","Total","zona","tenerife","municipio","total municipios","Años",IF([1]ACTUALIZACIÓN!$C$1="enero",[1]ACTUALIZACIÓN!$C$2-1,[1]ACTUALIZACIÓN!$C$2))/GETPIVOTDATA("Suma de turistas",'[1]TTDD DATOS'!$B$49,"País","estados unidos","categoría","Total","tipología","Total","zona","tenerife","municipio","total municipios","Años",IF([1]ACTUALIZACIÓN!$C$1="enero",[1]ACTUALIZACIÓN!$C$2-1,[1]ACTUALIZACIÓN!$C$2)-1)-1</f>
        <v>6.8979907264296756</v>
      </c>
      <c r="F177" s="202">
        <f>GETPIVOTDATA("Suma de turistas",'[1]TTDD DATOS'!$B$49,"País","estados unidos","categoría","Total","tipología","Total","zona","santa cruz","municipio","total municipios","Años",IF([1]ACTUALIZACIÓN!$C$1="enero",[1]ACTUALIZACIÓN!$C$2-1,[1]ACTUALIZACIÓN!$C$2))</f>
        <v>474</v>
      </c>
      <c r="G177" s="201">
        <f>GETPIVOTDATA("Suma de turistas",'[1]TTDD DATOS'!$B$49,"País","estados unidos","categoría","Total","tipología","Total","zona","santa cruz","municipio","total municipios","Años",IF([1]ACTUALIZACIÓN!$C$1="enero",[1]ACTUALIZACIÓN!$C$2-3,[1]ACTUALIZACIÓN!$C$2))/GETPIVOTDATA("Suma de turistas",'[1]TTDD DATOS'!$B$49,"País","estados unidos","categoría","Total","tipología","Total","zona","santa cruz","municipio","total municipios","Años",IF([1]ACTUALIZACIÓN!$C$1="enero",[1]ACTUALIZACIÓN!$C$2-3,[1]ACTUALIZACIÓN!$C$2)-1)-1</f>
        <v>5.7714285714285714</v>
      </c>
      <c r="H177" s="200">
        <f>GETPIVOTDATA("Suma de turistas",'[1]TTDD DATOS'!$B$49,"País","estados unidos","categoría","Total","tipología","Total","zona","la laguna-bajamar-la punta","municipio","total municipios","Años",IF([1]ACTUALIZACIÓN!$C$1="enero",[1]ACTUALIZACIÓN!$C$2-1,[1]ACTUALIZACIÓN!$C$2))</f>
        <v>177</v>
      </c>
      <c r="I177" s="201">
        <f>GETPIVOTDATA("Suma de turistas",'[1]TTDD DATOS'!$B$49,"País","estados unidos","categoría","Total","tipología","Total","zona","la laguna-bajamar-la punta","municipio","total municipios","Años",IF([1]ACTUALIZACIÓN!$C$1="enero",[1]ACTUALIZACIÓN!$C$2-1,[1]ACTUALIZACIÓN!$C$2))/GETPIVOTDATA("Suma de turistas",'[1]TTDD DATOS'!$B$49,"País","estados unidos","categoría","Total","tipología","Total","zona","la laguna-bajamar-la punta","municipio","total municipios","Años",IF([1]ACTUALIZACIÓN!$C$1="enero",[1]ACTUALIZACIÓN!$C$2-1,[1]ACTUALIZACIÓN!$C$2)-1)-1</f>
        <v>12.615384615384615</v>
      </c>
      <c r="J177" s="200">
        <f>GETPIVOTDATA("Suma de turistas",'[1]TTDD DATOS'!$B$49,"País","estados unidos","categoría","Total","tipología","Total","zona","norte","municipio","total municipios","Años",IF([1]ACTUALIZACIÓN!$C$1="enero",[1]ACTUALIZACIÓN!$C$2-1,[1]ACTUALIZACIÓN!$C$2))</f>
        <v>543</v>
      </c>
      <c r="K177" s="201">
        <f>GETPIVOTDATA("Suma de turistas",'[1]TTDD DATOS'!$B$49,"País","estados unidos","categoría","Total","tipología","Total","zona","norte","municipio","total municipios","Años",IF([1]ACTUALIZACIÓN!$C$1="enero",[1]ACTUALIZACIÓN!$C$2-1,[1]ACTUALIZACIÓN!$C$2))/GETPIVOTDATA("Suma de turistas",'[1]TTDD DATOS'!$B$49,"País","estados unidos","categoría","Total","tipología","Total","zona","norte","municipio","total municipios","Años",IF([1]ACTUALIZACIÓN!$C$1="enero",[1]ACTUALIZACIÓN!$C$2-1,[1]ACTUALIZACIÓN!$C$2)-1)-1</f>
        <v>13.675675675675675</v>
      </c>
      <c r="L177" s="202">
        <f>GETPIVOTDATA("Suma de turistas",'[1]TTDD DATOS'!$B$49,"País","estados unidos","categoría","Total","tipología","Total","zona","sur","municipio","total municipios","Años",IF([1]ACTUALIZACIÓN!$C$1="enero",[1]ACTUALIZACIÓN!$C$2-1,[1]ACTUALIZACIÓN!$C$2))</f>
        <v>3916</v>
      </c>
      <c r="M177" s="201">
        <f>GETPIVOTDATA("Suma de turistas",'[1]TTDD DATOS'!$B$49,"País","estados unidos","categoría","Total","tipología","Total","zona","sur","municipio","total municipios","Años",IF([1]ACTUALIZACIÓN!$C$1="enero",[1]ACTUALIZACIÓN!$C$2-1,[1]ACTUALIZACIÓN!$C$2))/GETPIVOTDATA("Suma de turistas",'[1]TTDD DATOS'!$B$49,"País","estados unidos","categoría","Total","tipología","Total","zona","sur","municipio","total municipios","Años",IF([1]ACTUALIZACIÓN!$C$1="enero",[1]ACTUALIZACIÓN!$C$2-1,[1]ACTUALIZACIÓN!$C$2)-1)-1</f>
        <v>6.4307400379506641</v>
      </c>
    </row>
    <row r="178" spans="3:18" ht="24" customHeight="1" thickBot="1" x14ac:dyDescent="0.25">
      <c r="C178" s="203" t="s">
        <v>58</v>
      </c>
      <c r="D178" s="204">
        <f>GETPIVOTDATA("Suma de turistas",'[1]TTDD DATOS'!$B$49,"País",$C178,"categoría","Total","tipología","Total","zona","tenerife","municipio","total municipios","Años",IF([1]ACTUALIZACIÓN!$C$1="enero",[1]ACTUALIZACIÓN!$C$2-1,[1]ACTUALIZACIÓN!$C$2))</f>
        <v>3947</v>
      </c>
      <c r="E178" s="201">
        <f>GETPIVOTDATA("Suma de turistas",'[1]TTDD DATOS'!$B$49,"País",$C178,"categoría","Total","tipología","Total","zona","tenerife","municipio","total municipios","Años",IF([1]ACTUALIZACIÓN!$C$1="enero",[1]ACTUALIZACIÓN!$C$2-1,[1]ACTUALIZACIÓN!$C$2))/GETPIVOTDATA("Suma de turistas",'[1]TTDD DATOS'!$B$49,"País",$C178,"categoría","Total","tipología","Total","zona","tenerife","municipio","total municipios","Años",IF([1]ACTUALIZACIÓN!$C$1="enero",[1]ACTUALIZACIÓN!$C$2-1,[1]ACTUALIZACIÓN!$C$2)-1)-1</f>
        <v>1.5204342273307789</v>
      </c>
      <c r="F178" s="205">
        <f>GETPIVOTDATA("Suma de turistas",'[1]TTDD DATOS'!$B$49,"País",$C178,"categoría","Total","tipología","Total","zona","santa cruz","municipio","total municipios","Años",IF([1]ACTUALIZACIÓN!$C$1="enero",[1]ACTUALIZACIÓN!$C$2-1,[1]ACTUALIZACIÓN!$C$2))</f>
        <v>909</v>
      </c>
      <c r="G178" s="201">
        <f>GETPIVOTDATA("Suma de turistas",'[1]TTDD DATOS'!$B$49,"País",$C178,"categoría","Total","tipología","Total","zona","santa cruz","municipio","total municipios","Años",IF([1]ACTUALIZACIÓN!$C$1="enero",[1]ACTUALIZACIÓN!$C$2-3,[1]ACTUALIZACIÓN!$C$2))/GETPIVOTDATA("Suma de turistas",'[1]TTDD DATOS'!$B$49,"País",$C178,"categoría","Total","tipología","Total","zona","santa cruz","municipio","total municipios","Años",IF([1]ACTUALIZACIÓN!$C$1="enero",[1]ACTUALIZACIÓN!$C$2-3,[1]ACTUALIZACIÓN!$C$2)-1)-1</f>
        <v>0.81437125748502992</v>
      </c>
      <c r="H178" s="204">
        <f>GETPIVOTDATA("Suma de turistas",'[1]TTDD DATOS'!$B$49,"País",$C178,"categoría","Total","tipología","Total","zona","la laguna-bajamar-la punta","municipio","total municipios","Años",IF([1]ACTUALIZACIÓN!$C$1="enero",[1]ACTUALIZACIÓN!$C$2-1,[1]ACTUALIZACIÓN!$C$2))</f>
        <v>144</v>
      </c>
      <c r="I178" s="201">
        <f>GETPIVOTDATA("Suma de turistas",'[1]TTDD DATOS'!$B$49,"País",$C178,"categoría","Total","tipología","Total","zona","la laguna-bajamar-la punta","municipio","total municipios","Años",IF([1]ACTUALIZACIÓN!$C$1="enero",[1]ACTUALIZACIÓN!$C$2-1,[1]ACTUALIZACIÓN!$C$2))/GETPIVOTDATA("Suma de turistas",'[1]TTDD DATOS'!$B$49,"País",$C178,"categoría","Total","tipología","Total","zona","la laguna-bajamar-la punta","municipio","total municipios","Años",IF([1]ACTUALIZACIÓN!$C$1="enero",[1]ACTUALIZACIÓN!$C$2-1,[1]ACTUALIZACIÓN!$C$2)-1)-1</f>
        <v>1.0869565217391304</v>
      </c>
      <c r="J178" s="204">
        <f>GETPIVOTDATA("Suma de turistas",'[1]TTDD DATOS'!$B$49,"País",$C178,"categoría","Total","tipología","Total","zona","norte","municipio","total municipios","Años",IF([1]ACTUALIZACIÓN!$C$1="enero",[1]ACTUALIZACIÓN!$C$2-1,[1]ACTUALIZACIÓN!$C$2))</f>
        <v>1025</v>
      </c>
      <c r="K178" s="201">
        <f>GETPIVOTDATA("Suma de turistas",'[1]TTDD DATOS'!$B$49,"País",$C178,"categoría","Total","tipología","Total","zona","norte","municipio","total municipios","Años",IF([1]ACTUALIZACIÓN!$C$1="enero",[1]ACTUALIZACIÓN!$C$2-1,[1]ACTUALIZACIÓN!$C$2))/GETPIVOTDATA("Suma de turistas",'[1]TTDD DATOS'!$B$49,"País",$C178,"categoría","Total","tipología","Total","zona","norte","municipio","total municipios","Años",IF([1]ACTUALIZACIÓN!$C$1="enero",[1]ACTUALIZACIÓN!$C$2-1,[1]ACTUALIZACIÓN!$C$2)-1)-1</f>
        <v>2.1733746130030958</v>
      </c>
      <c r="L178" s="205">
        <f>GETPIVOTDATA("Suma de turistas",'[1]TTDD DATOS'!$B$49,"País",$C178,"categoría","Total","tipología","Total","zona","sur","municipio","total municipios","Años",IF([1]ACTUALIZACIÓN!$C$1="enero",[1]ACTUALIZACIÓN!$C$2-1,[1]ACTUALIZACIÓN!$C$2))</f>
        <v>1869</v>
      </c>
      <c r="M178" s="201">
        <f>GETPIVOTDATA("Suma de turistas",'[1]TTDD DATOS'!$B$49,"País",$C178,"categoría","Total","tipología","Total","zona","sur","municipio","total municipios","Años",IF([1]ACTUALIZACIÓN!$C$1="enero",[1]ACTUALIZACIÓN!$C$2-1,[1]ACTUALIZACIÓN!$C$2))/GETPIVOTDATA("Suma de turistas",'[1]TTDD DATOS'!$B$49,"País",$C178,"categoría","Total","tipología","Total","zona","sur","municipio","total municipios","Años",IF([1]ACTUALIZACIÓN!$C$1="enero",[1]ACTUALIZACIÓN!$C$2-1,[1]ACTUALIZACIÓN!$C$2)-1)-1</f>
        <v>1.7771173848439821</v>
      </c>
    </row>
    <row r="179" spans="3:18" ht="24" customHeight="1" thickBot="1" x14ac:dyDescent="0.25">
      <c r="C179" s="206" t="s">
        <v>59</v>
      </c>
      <c r="D179" s="208">
        <f>GETPIVOTDATA("Suma de turistas",'[1]TTDD DATOS'!$B$49,"País",$C179,"categoría","Total","tipología","Total","zona","tenerife","municipio","total municipios","Años",IF([1]ACTUALIZACIÓN!$C$1="enero",[1]ACTUALIZACIÓN!$C$2-1,[1]ACTUALIZACIÓN!$C$2))</f>
        <v>16738</v>
      </c>
      <c r="E179" s="209">
        <f>GETPIVOTDATA("Suma de turistas",'[1]TTDD DATOS'!$B$49,"País",$C179,"categoría","Total","tipología","Total","zona","tenerife","municipio","total municipios","Años",IF([1]ACTUALIZACIÓN!$C$1="enero",[1]ACTUALIZACIÓN!$C$2-1,[1]ACTUALIZACIÓN!$C$2))/GETPIVOTDATA("Suma de turistas",'[1]TTDD DATOS'!$B$49,"País",$C179,"categoría","Total","tipología","Total","zona","tenerife","municipio","total municipios","Años",IF([1]ACTUALIZACIÓN!$C$1="enero",[1]ACTUALIZACIÓN!$C$2-1,[1]ACTUALIZACIÓN!$C$2)-1)-1</f>
        <v>3.1688667496886671</v>
      </c>
      <c r="F179" s="210">
        <f>GETPIVOTDATA("Suma de turistas",'[1]TTDD DATOS'!$B$49,"País",$C179,"categoría","Total","tipología","Total","zona","santa cruz","municipio","total municipios","Años",IF([1]ACTUALIZACIÓN!$C$1="enero",[1]ACTUALIZACIÓN!$C$2-1,[1]ACTUALIZACIÓN!$C$2))</f>
        <v>2466</v>
      </c>
      <c r="G179" s="209">
        <f>GETPIVOTDATA("Suma de turistas",'[1]TTDD DATOS'!$B$49,"País",$C179,"categoría","Total","tipología","Total","zona","santa cruz","municipio","total municipios","Años",IF([1]ACTUALIZACIÓN!$C$1="enero",[1]ACTUALIZACIÓN!$C$2-3,[1]ACTUALIZACIÓN!$C$2))/GETPIVOTDATA("Suma de turistas",'[1]TTDD DATOS'!$B$49,"País",$C179,"categoría","Total","tipología","Total","zona","santa cruz","municipio","total municipios","Años",IF([1]ACTUALIZACIÓN!$C$1="enero",[1]ACTUALIZACIÓN!$C$2-3,[1]ACTUALIZACIÓN!$C$2)-1)-1</f>
        <v>0.44973544973544977</v>
      </c>
      <c r="H179" s="208">
        <f>GETPIVOTDATA("Suma de turistas",'[1]TTDD DATOS'!$B$49,"País",$C179,"categoría","Total","tipología","Total","zona","la laguna-bajamar-la punta","municipio","total municipios","Años",IF([1]ACTUALIZACIÓN!$C$1="enero",[1]ACTUALIZACIÓN!$C$2-1,[1]ACTUALIZACIÓN!$C$2))</f>
        <v>205</v>
      </c>
      <c r="I179" s="209">
        <f>GETPIVOTDATA("Suma de turistas",'[1]TTDD DATOS'!$B$49,"País",$C179,"categoría","Total","tipología","Total","zona","la laguna-bajamar-la punta","municipio","total municipios","Años",IF([1]ACTUALIZACIÓN!$C$1="enero",[1]ACTUALIZACIÓN!$C$2-1,[1]ACTUALIZACIÓN!$C$2))/GETPIVOTDATA("Suma de turistas",'[1]TTDD DATOS'!$B$49,"País",$C179,"categoría","Total","tipología","Total","zona","la laguna-bajamar-la punta","municipio","total municipios","Años",IF([1]ACTUALIZACIÓN!$C$1="enero",[1]ACTUALIZACIÓN!$C$2-1,[1]ACTUALIZACIÓN!$C$2)-1)-1</f>
        <v>0.7226890756302522</v>
      </c>
      <c r="J179" s="208">
        <f>GETPIVOTDATA("Suma de turistas",'[1]TTDD DATOS'!$B$49,"País",$C179,"categoría","Total","tipología","Total","zona","norte","municipio","total municipios","Años",IF([1]ACTUALIZACIÓN!$C$1="enero",[1]ACTUALIZACIÓN!$C$2-1,[1]ACTUALIZACIÓN!$C$2))</f>
        <v>1876</v>
      </c>
      <c r="K179" s="209">
        <f>GETPIVOTDATA("Suma de turistas",'[1]TTDD DATOS'!$B$49,"País",$C179,"categoría","Total","tipología","Total","zona","norte","municipio","total municipios","Años",IF([1]ACTUALIZACIÓN!$C$1="enero",[1]ACTUALIZACIÓN!$C$2-1,[1]ACTUALIZACIÓN!$C$2))/GETPIVOTDATA("Suma de turistas",'[1]TTDD DATOS'!$B$49,"País",$C179,"categoría","Total","tipología","Total","zona","norte","municipio","total municipios","Años",IF([1]ACTUALIZACIÓN!$C$1="enero",[1]ACTUALIZACIÓN!$C$2-1,[1]ACTUALIZACIÓN!$C$2)-1)-1</f>
        <v>6.2713178294573639</v>
      </c>
      <c r="L179" s="210">
        <f>GETPIVOTDATA("Suma de turistas",'[1]TTDD DATOS'!$B$49,"País",$C179,"categoría","Total","tipología","Total","zona","sur","municipio","total municipios","Años",IF([1]ACTUALIZACIÓN!$C$1="enero",[1]ACTUALIZACIÓN!$C$2-1,[1]ACTUALIZACIÓN!$C$2))</f>
        <v>12191</v>
      </c>
      <c r="M179" s="209">
        <f>GETPIVOTDATA("Suma de turistas",'[1]TTDD DATOS'!$B$49,"País",$C179,"categoría","Total","tipología","Total","zona","sur","municipio","total municipios","Años",IF([1]ACTUALIZACIÓN!$C$1="enero",[1]ACTUALIZACIÓN!$C$2-1,[1]ACTUALIZACIÓN!$C$2))/GETPIVOTDATA("Suma de turistas",'[1]TTDD DATOS'!$B$49,"País",$C179,"categoría","Total","tipología","Total","zona","sur","municipio","total municipios","Años",IF([1]ACTUALIZACIÓN!$C$1="enero",[1]ACTUALIZACIÓN!$C$2-1,[1]ACTUALIZACIÓN!$C$2)-1)-1</f>
        <v>5.2937532266391329</v>
      </c>
    </row>
    <row r="180" spans="3:18" ht="30.75" customHeight="1" thickTop="1" thickBot="1" x14ac:dyDescent="0.25">
      <c r="C180" s="212" t="s">
        <v>60</v>
      </c>
      <c r="D180" s="213">
        <f>GETPIVOTDATA("Suma de turistas",'[1]TTDD DATOS'!$B$49,"País","total","categoría","Total","tipología","Total","zona","tenerife","municipio","total municipios","Años",IF([1]ACTUALIZACIÓN!$C$1="enero",[1]ACTUALIZACIÓN!$C$2-1,[1]ACTUALIZACIÓN!$C$2))-GETPIVOTDATA("Suma de turistas",'[1]TTDD DATOS'!$B$49,"País","españa","categoría","Total","tipología","Total","zona","tenerife","municipio","total municipios","Años",IF([1]ACTUALIZACIÓN!$C$1="enero",[1]ACTUALIZACIÓN!$C$2-1,[1]ACTUALIZACIÓN!$C$2))</f>
        <v>767496</v>
      </c>
      <c r="E180" s="214">
        <f>(GETPIVOTDATA("Suma de turistas",'[1]TTDD DATOS'!$B$49,"País","total","categoría","Total","tipología","Total","zona","tenerife","municipio","total municipios","Años",IF([1]ACTUALIZACIÓN!$C$1="enero",[1]ACTUALIZACIÓN!$C$2-1,[1]ACTUALIZACIÓN!$C$2))-GETPIVOTDATA("Suma de turistas",'[1]TTDD DATOS'!$B$49,"País","españa","categoría","Total","tipología","Total","zona","tenerife","municipio","total municipios","Años",IF([1]ACTUALIZACIÓN!$C$1="enero",[1]ACTUALIZACIÓN!$C$2-1,[1]ACTUALIZACIÓN!$C$2)))/(GETPIVOTDATA("Suma de turistas",'[1]TTDD DATOS'!$B$49,"País","total","categoría","Total","tipología","Total","zona","tenerife","municipio","total municipios","Años",IF([1]ACTUALIZACIÓN!$C$1="enero",[1]ACTUALIZACIÓN!$C$2-1,[1]ACTUALIZACIÓN!$C$2)-1)-GETPIVOTDATA("Suma de turistas",'[1]TTDD DATOS'!$B$49,"País","españa","categoría","Total","tipología","Total","zona","tenerife","municipio","total municipios","Años",IF([1]ACTUALIZACIÓN!$C$1="enero",[1]ACTUALIZACIÓN!$C$2-1,[1]ACTUALIZACIÓN!$C$2)-1))-1</f>
        <v>8.1028298977631241</v>
      </c>
      <c r="F180" s="215">
        <f>GETPIVOTDATA("Suma de turistas",'[1]TTDD DATOS'!$B$49,"País","total","categoría","Total","tipología","Total","zona","santa cruz","municipio","total municipios","Años",IF([1]ACTUALIZACIÓN!$C$1="enero",[1]ACTUALIZACIÓN!$C$2-1,[1]ACTUALIZACIÓN!$C$2))-GETPIVOTDATA("Suma de turistas",'[1]TTDD DATOS'!$B$49,"País","españa","categoría","Total","tipología","Total","zona","santa cruz","municipio","total municipios","Años",IF([1]ACTUALIZACIÓN!$C$1="enero",[1]ACTUALIZACIÓN!$C$2-1,[1]ACTUALIZACIÓN!$C$2))</f>
        <v>20201</v>
      </c>
      <c r="G180" s="214">
        <f>(GETPIVOTDATA("Suma de turistas",'[1]TTDD DATOS'!$B$49,"País","total","categoría","Total","tipología","Total","zona","santa cruz","municipio","total municipios","Años",IF([1]ACTUALIZACIÓN!$C$1="enero",[1]ACTUALIZACIÓN!$C$2-3,[1]ACTUALIZACIÓN!$C$2))-GETPIVOTDATA("Suma de turistas",'[1]TTDD DATOS'!$B$49,"País","españa","categoría","Total","tipología","Total","zona","santa cruz","municipio","total municipios","Años",IF([1]ACTUALIZACIÓN!$C$1="enero",[1]ACTUALIZACIÓN!$C$2-3,[1]ACTUALIZACIÓN!$C$2)))/(GETPIVOTDATA("Suma de turistas",'[1]TTDD DATOS'!$B$49,"País","total","categoría","Total","tipología","Total","zona","santa cruz","municipio","total municipios","Años",IF([1]ACTUALIZACIÓN!$C$1="enero",[1]ACTUALIZACIÓN!$C$2-3,[1]ACTUALIZACIÓN!$C$2)-1)-GETPIVOTDATA("Suma de turistas",'[1]TTDD DATOS'!$B$49,"País","españa","categoría","Total","tipología","Total","zona","santa cruz","municipio","total municipios","Años",IF([1]ACTUALIZACIÓN!$C$1="enero",[1]ACTUALIZACIÓN!$C$2-3,[1]ACTUALIZACIÓN!$C$2)-1))-1</f>
        <v>1.3855692017005197</v>
      </c>
      <c r="H180" s="213">
        <f>GETPIVOTDATA("Suma de turistas",'[1]TTDD DATOS'!$B$49,"País","total","categoría","Total","tipología","Total","zona","la laguna-bajamar-la punta","municipio","total municipios","Años",IF([1]ACTUALIZACIÓN!$C$1="enero",[1]ACTUALIZACIÓN!$C$2-1,[1]ACTUALIZACIÓN!$C$2))-GETPIVOTDATA("Suma de turistas",'[1]TTDD DATOS'!$B$49,"País","españa","categoría","Total","tipología","Total","zona","la laguna-bajamar-la punta","municipio","total municipios","Años",IF([1]ACTUALIZACIÓN!$C$1="enero",[1]ACTUALIZACIÓN!$C$2-1,[1]ACTUALIZACIÓN!$C$2))</f>
        <v>6928</v>
      </c>
      <c r="I180" s="214">
        <f>(GETPIVOTDATA("Suma de turistas",'[1]TTDD DATOS'!$B$49,"País","total","categoría","Total","tipología","Total","zona","la laguna-bajamar-la punta","municipio","total municipios","Años",IF([1]ACTUALIZACIÓN!$C$1="enero",[1]ACTUALIZACIÓN!$C$2-1,[1]ACTUALIZACIÓN!$C$2))-GETPIVOTDATA("Suma de turistas",'[1]TTDD DATOS'!$B$49,"País","españa","categoría","Total","tipología","Total","zona","la laguna-bajamar-la punta","municipio","total municipios","Años",IF([1]ACTUALIZACIÓN!$C$1="enero",[1]ACTUALIZACIÓN!$C$2-1,[1]ACTUALIZACIÓN!$C$2)))/(GETPIVOTDATA("Suma de turistas",'[1]TTDD DATOS'!$B$49,"País","total","categoría","Total","tipología","Total","zona","la laguna-bajamar-la punta","municipio","total municipios","Años",IF([1]ACTUALIZACIÓN!$C$1="enero",[1]ACTUALIZACIÓN!$C$2-1,[1]ACTUALIZACIÓN!$C$2)-1)-GETPIVOTDATA("Suma de turistas",'[1]TTDD DATOS'!$B$49,"País","españa","categoría","Total","tipología","Total","zona","la laguna-bajamar-la punta","municipio","total municipios","Años",IF([1]ACTUALIZACIÓN!$C$1="enero",[1]ACTUALIZACIÓN!$C$2-1,[1]ACTUALIZACIÓN!$C$2)-1))-1</f>
        <v>2.0095569070373589</v>
      </c>
      <c r="J180" s="213">
        <f>GETPIVOTDATA("Suma de turistas",'[1]TTDD DATOS'!$B$49,"País","total","categoría","Total","tipología","Total","zona","norte","municipio","total municipios","Años",IF([1]ACTUALIZACIÓN!$C$1="enero",[1]ACTUALIZACIÓN!$C$2-1,[1]ACTUALIZACIÓN!$C$2))-GETPIVOTDATA("Suma de turistas",'[1]TTDD DATOS'!$B$49,"País","españa","categoría","Total","tipología","Total","zona","norte","municipio","total municipios","Años",IF([1]ACTUALIZACIÓN!$C$1="enero",[1]ACTUALIZACIÓN!$C$2-1,[1]ACTUALIZACIÓN!$C$2))</f>
        <v>87748</v>
      </c>
      <c r="K180" s="214">
        <f>(GETPIVOTDATA("Suma de turistas",'[1]TTDD DATOS'!$B$49,"País","total","categoría","Total","tipología","Total","zona","norte","municipio","total municipios","Años",IF([1]ACTUALIZACIÓN!$C$1="enero",[1]ACTUALIZACIÓN!$C$2-1,[1]ACTUALIZACIÓN!$C$2))-GETPIVOTDATA("Suma de turistas",'[1]TTDD DATOS'!$B$49,"País","españa","categoría","Total","tipología","Total","zona","norte","municipio","total municipios","Años",IF([1]ACTUALIZACIÓN!$C$1="enero",[1]ACTUALIZACIÓN!$C$2-1,[1]ACTUALIZACIÓN!$C$2)))/(GETPIVOTDATA("Suma de turistas",'[1]TTDD DATOS'!$B$49,"País","total","categoría","Total","tipología","Total","zona","norte","municipio","total municipios","Años",IF([1]ACTUALIZACIÓN!$C$1="enero",[1]ACTUALIZACIÓN!$C$2-1,[1]ACTUALIZACIÓN!$C$2)-1)-GETPIVOTDATA("Suma de turistas",'[1]TTDD DATOS'!$B$49,"País","españa","categoría","Total","tipología","Total","zona","norte","municipio","total municipios","Años",IF([1]ACTUALIZACIÓN!$C$1="enero",[1]ACTUALIZACIÓN!$C$2-1,[1]ACTUALIZACIÓN!$C$2)-1))-1</f>
        <v>8.3051961823966067</v>
      </c>
      <c r="L180" s="215">
        <f>GETPIVOTDATA("Suma de turistas",'[1]TTDD DATOS'!$B$49,"País","total","categoría","Total","tipología","Total","zona","sur","municipio","total municipios","Años",IF([1]ACTUALIZACIÓN!$C$1="enero",[1]ACTUALIZACIÓN!$C$2-1,[1]ACTUALIZACIÓN!$C$2))-GETPIVOTDATA("Suma de turistas",'[1]TTDD DATOS'!$B$49,"País","españa","categoría","Total","tipología","Total","zona","sur","municipio","total municipios","Años",IF([1]ACTUALIZACIÓN!$C$1="enero",[1]ACTUALIZACIÓN!$C$2-1,[1]ACTUALIZACIÓN!$C$2))</f>
        <v>652619</v>
      </c>
      <c r="M180" s="214">
        <f>(GETPIVOTDATA("Suma de turistas",'[1]TTDD DATOS'!$B$49,"País","total","categoría","Total","tipología","Total","zona","sur","municipio","total municipios","Años",IF([1]ACTUALIZACIÓN!$C$1="enero",[1]ACTUALIZACIÓN!$C$2-1,[1]ACTUALIZACIÓN!$C$2))-GETPIVOTDATA("Suma de turistas",'[1]TTDD DATOS'!$B$49,"País","españa","categoría","Total","tipología","Total","zona","sur","municipio","total municipios","Años",IF([1]ACTUALIZACIÓN!$C$1="enero",[1]ACTUALIZACIÓN!$C$2-1,[1]ACTUALIZACIÓN!$C$2)))/(GETPIVOTDATA("Suma de turistas",'[1]TTDD DATOS'!$B$49,"País","total","categoría","Total","tipología","Total","zona","sur","municipio","total municipios","Años",IF([1]ACTUALIZACIÓN!$C$1="enero",[1]ACTUALIZACIÓN!$C$2-1,[1]ACTUALIZACIÓN!$C$2)-1)-GETPIVOTDATA("Suma de turistas",'[1]TTDD DATOS'!$B$49,"País","españa","categoría","Total","tipología","Total","zona","sur","municipio","total municipios","Años",IF([1]ACTUALIZACIÓN!$C$1="enero",[1]ACTUALIZACIÓN!$C$2-1,[1]ACTUALIZACIÓN!$C$2)-1))-1</f>
        <v>9.1790404591820813</v>
      </c>
    </row>
    <row r="181" spans="3:18" ht="24" customHeight="1" thickBot="1" x14ac:dyDescent="0.25">
      <c r="C181" s="217" t="s">
        <v>8</v>
      </c>
      <c r="D181" s="218">
        <f>GETPIVOTDATA("Suma de turistas",'[1]TTDD DATOS'!$B$49,"País",$C181,"categoría","Total","tipología","Total","zona","tenerife","municipio","total municipios","Años",IF([1]ACTUALIZACIÓN!$C$1="enero",[1]ACTUALIZACIÓN!$C$2-1,[1]ACTUALIZACIÓN!$C$2))</f>
        <v>930647</v>
      </c>
      <c r="E181" s="219">
        <f>GETPIVOTDATA("Suma de turistas",'[1]TTDD DATOS'!$B$49,"País",$C181,"categoría","Total","tipología","Total","zona","tenerife","municipio","total municipios","Años",IF([1]ACTUALIZACIÓN!$C$1="enero",[1]ACTUALIZACIÓN!$C$2-1,[1]ACTUALIZACIÓN!$C$2))/GETPIVOTDATA("Suma de turistas",'[1]TTDD DATOS'!$B$49,"País",$C181,"categoría","Total","tipología","Total","zona","tenerife","municipio","total municipios","Años",IF([1]ACTUALIZACIÓN!$C$1="enero",[1]ACTUALIZACIÓN!$C$2-1,[1]ACTUALIZACIÓN!$C$2)-1)-1</f>
        <v>3.7974709645491709</v>
      </c>
      <c r="F181" s="220">
        <f>GETPIVOTDATA("Suma de turistas",'[1]TTDD DATOS'!$B$49,"País",$C181,"categoría","Total","tipología","Total","zona","santa cruz","municipio","total municipios","Años",IF([1]ACTUALIZACIÓN!$C$1="enero",[1]ACTUALIZACIÓN!$C$2-1,[1]ACTUALIZACIÓN!$C$2))</f>
        <v>49787</v>
      </c>
      <c r="G181" s="219">
        <f>GETPIVOTDATA("Suma de turistas",'[1]TTDD DATOS'!$B$49,"País",$C181,"categoría","Total","tipología","Total","zona","santa cruz","municipio","total municipios","Años",IF([1]ACTUALIZACIÓN!$C$1="enero",[1]ACTUALIZACIÓN!$C$2-3,[1]ACTUALIZACIÓN!$C$2))/GETPIVOTDATA("Suma de turistas",'[1]TTDD DATOS'!$B$49,"País",$C181,"categoría","Total","tipología","Total","zona","santa cruz","municipio","total municipios","Años",IF([1]ACTUALIZACIÓN!$C$1="enero",[1]ACTUALIZACIÓN!$C$2-3,[1]ACTUALIZACIÓN!$C$2)-1)-1</f>
        <v>0.89671987504285888</v>
      </c>
      <c r="H181" s="218">
        <f>GETPIVOTDATA("Suma de turistas",'[1]TTDD DATOS'!$B$49,"País",$C181,"categoría","Total","tipología","Total","zona","la laguna-bajamar-la punta","municipio","total municipios","Años",IF([1]ACTUALIZACIÓN!$C$1="enero",[1]ACTUALIZACIÓN!$C$2-1,[1]ACTUALIZACIÓN!$C$2))</f>
        <v>13337</v>
      </c>
      <c r="I181" s="219">
        <f>GETPIVOTDATA("Suma de turistas",'[1]TTDD DATOS'!$B$49,"País",$C181,"categoría","Total","tipología","Total","zona","la laguna-bajamar-la punta","municipio","total municipios","Años",IF([1]ACTUALIZACIÓN!$C$1="enero",[1]ACTUALIZACIÓN!$C$2-1,[1]ACTUALIZACIÓN!$C$2))/GETPIVOTDATA("Suma de turistas",'[1]TTDD DATOS'!$B$49,"País",$C181,"categoría","Total","tipología","Total","zona","la laguna-bajamar-la punta","municipio","total municipios","Años",IF([1]ACTUALIZACIÓN!$C$1="enero",[1]ACTUALIZACIÓN!$C$2-1,[1]ACTUALIZACIÓN!$C$2)-1)-1</f>
        <v>1.6567729083665337</v>
      </c>
      <c r="J181" s="218">
        <f>GETPIVOTDATA("Suma de turistas",'[1]TTDD DATOS'!$B$49,"País",$C181,"categoría","Total","tipología","Total","zona","norte","municipio","total municipios","Años",IF([1]ACTUALIZACIÓN!$C$1="enero",[1]ACTUALIZACIÓN!$C$2-1,[1]ACTUALIZACIÓN!$C$2))</f>
        <v>144978</v>
      </c>
      <c r="K181" s="219">
        <f>GETPIVOTDATA("Suma de turistas",'[1]TTDD DATOS'!$B$49,"País",$C181,"categoría","Total","tipología","Total","zona","norte","municipio","total municipios","Años",IF([1]ACTUALIZACIÓN!$C$1="enero",[1]ACTUALIZACIÓN!$C$2-1,[1]ACTUALIZACIÓN!$C$2))/GETPIVOTDATA("Suma de turistas",'[1]TTDD DATOS'!$B$49,"País",$C181,"categoría","Total","tipología","Total","zona","norte","municipio","total municipios","Años",IF([1]ACTUALIZACIÓN!$C$1="enero",[1]ACTUALIZACIÓN!$C$2-1,[1]ACTUALIZACIÓN!$C$2)-1)-1</f>
        <v>3.4914030794014685</v>
      </c>
      <c r="L181" s="220">
        <f>GETPIVOTDATA("Suma de turistas",'[1]TTDD DATOS'!$B$49,"País",$C181,"categoría","Total","tipología","Total","zona","sur","municipio","total municipios","Años",IF([1]ACTUALIZACIÓN!$C$1="enero",[1]ACTUALIZACIÓN!$C$2-1,[1]ACTUALIZACIÓN!$C$2))</f>
        <v>722545</v>
      </c>
      <c r="M181" s="219">
        <f>GETPIVOTDATA("Suma de turistas",'[1]TTDD DATOS'!$B$49,"País",$C181,"categoría","Total","tipología","Total","zona","sur","municipio","total municipios","Años",IF([1]ACTUALIZACIÓN!$C$1="enero",[1]ACTUALIZACIÓN!$C$2-1,[1]ACTUALIZACIÓN!$C$2))/GETPIVOTDATA("Suma de turistas",'[1]TTDD DATOS'!$B$49,"País",$C181,"categoría","Total","tipología","Total","zona","sur","municipio","total municipios","Años",IF([1]ACTUALIZACIÓN!$C$1="enero",[1]ACTUALIZACIÓN!$C$2-1,[1]ACTUALIZACIÓN!$C$2)-1)-1</f>
        <v>4.5393325615805091</v>
      </c>
    </row>
    <row r="182" spans="3:18" ht="18" customHeight="1" x14ac:dyDescent="0.2"/>
    <row r="183" spans="3:18" ht="17.25" hidden="1" customHeight="1" x14ac:dyDescent="0.2">
      <c r="C183" s="228"/>
      <c r="D183" s="229"/>
      <c r="E183" s="229"/>
      <c r="F183" s="229"/>
      <c r="G183" s="229"/>
      <c r="H183" s="229"/>
      <c r="I183" s="229"/>
      <c r="J183" s="229"/>
      <c r="K183" s="229"/>
      <c r="L183" s="229"/>
      <c r="M183" s="230"/>
    </row>
    <row r="184" spans="3:18" ht="21.75" hidden="1" customHeight="1" x14ac:dyDescent="0.2">
      <c r="C184" s="168"/>
      <c r="D184" s="169"/>
      <c r="E184" s="231" t="str">
        <f>$E$1</f>
        <v>INDICADORES TURÍSTICOS DE TENERIFE definitivo</v>
      </c>
      <c r="F184" s="232"/>
      <c r="G184" s="232"/>
      <c r="H184" s="232"/>
      <c r="I184" s="232"/>
      <c r="J184" s="232"/>
      <c r="K184" s="233"/>
      <c r="L184" s="169"/>
      <c r="M184" s="171"/>
    </row>
    <row r="185" spans="3:18" ht="21.75" hidden="1" customHeight="1" x14ac:dyDescent="0.2">
      <c r="C185" s="168"/>
      <c r="D185" s="169"/>
      <c r="E185" s="170"/>
      <c r="F185" s="170"/>
      <c r="G185" s="170"/>
      <c r="H185" s="170"/>
      <c r="I185" s="170"/>
      <c r="J185" s="170"/>
      <c r="K185" s="170"/>
      <c r="L185" s="169"/>
      <c r="M185" s="171"/>
    </row>
    <row r="186" spans="3:18" ht="33" hidden="1" customHeight="1" x14ac:dyDescent="0.2">
      <c r="C186" s="234" t="s">
        <v>28</v>
      </c>
      <c r="D186" s="235"/>
      <c r="E186" s="235"/>
      <c r="F186" s="235"/>
      <c r="G186" s="235"/>
      <c r="H186" s="235"/>
      <c r="I186" s="235"/>
      <c r="J186" s="235"/>
      <c r="K186" s="235"/>
      <c r="L186" s="235"/>
      <c r="M186" s="235"/>
      <c r="N186" s="235"/>
      <c r="O186" s="235"/>
      <c r="P186" s="235"/>
      <c r="Q186" s="235"/>
      <c r="R186" s="236"/>
    </row>
    <row r="187" spans="3:18" ht="20.100000000000001" hidden="1" customHeight="1" x14ac:dyDescent="0.2">
      <c r="C187" s="237">
        <f>E3</f>
        <v>0</v>
      </c>
      <c r="D187" s="238"/>
      <c r="E187" s="238"/>
      <c r="F187" s="238"/>
      <c r="G187" s="238"/>
      <c r="H187" s="238"/>
      <c r="I187" s="238"/>
      <c r="J187" s="238"/>
      <c r="K187" s="238"/>
      <c r="L187" s="238"/>
      <c r="M187" s="238"/>
      <c r="N187" s="238"/>
      <c r="O187" s="238"/>
      <c r="P187" s="238"/>
      <c r="Q187" s="238"/>
    </row>
    <row r="188" spans="3:18" ht="17.25" hidden="1" customHeight="1" x14ac:dyDescent="0.2">
      <c r="C188" s="239"/>
      <c r="D188" s="240" t="s">
        <v>24</v>
      </c>
      <c r="E188" s="241"/>
      <c r="F188" s="240" t="s">
        <v>23</v>
      </c>
      <c r="G188" s="241"/>
      <c r="H188" s="240" t="s">
        <v>22</v>
      </c>
      <c r="I188" s="241"/>
      <c r="J188" s="240" t="s">
        <v>21</v>
      </c>
      <c r="K188" s="241"/>
      <c r="L188" s="240" t="s">
        <v>20</v>
      </c>
      <c r="M188" s="241"/>
      <c r="N188" s="240" t="s">
        <v>62</v>
      </c>
      <c r="O188" s="241"/>
      <c r="P188" s="240" t="s">
        <v>63</v>
      </c>
      <c r="Q188" s="241"/>
    </row>
    <row r="189" spans="3:18" ht="28.5" hidden="1" customHeight="1" x14ac:dyDescent="0.2">
      <c r="C189" s="239"/>
      <c r="D189" s="242" t="s">
        <v>34</v>
      </c>
      <c r="E189" s="242" t="s">
        <v>33</v>
      </c>
      <c r="F189" s="242" t="s">
        <v>34</v>
      </c>
      <c r="G189" s="242"/>
      <c r="H189" s="242" t="s">
        <v>34</v>
      </c>
      <c r="I189" s="242" t="s">
        <v>33</v>
      </c>
      <c r="J189" s="242" t="s">
        <v>34</v>
      </c>
      <c r="K189" s="242" t="s">
        <v>33</v>
      </c>
      <c r="L189" s="242" t="s">
        <v>34</v>
      </c>
      <c r="M189" s="242" t="s">
        <v>33</v>
      </c>
      <c r="N189" s="242" t="s">
        <v>34</v>
      </c>
      <c r="O189" s="242" t="s">
        <v>33</v>
      </c>
      <c r="P189" s="242" t="s">
        <v>34</v>
      </c>
      <c r="Q189" s="242" t="s">
        <v>33</v>
      </c>
    </row>
    <row r="190" spans="3:18" ht="24" hidden="1" customHeight="1" x14ac:dyDescent="0.2">
      <c r="C190" s="243" t="s">
        <v>35</v>
      </c>
      <c r="D190" s="244" t="e">
        <f>VLOOKUP("españa",#REF!,6,FALSE)/VLOOKUP("españa",#REF!,6,FALSE)-1</f>
        <v>#REF!</v>
      </c>
      <c r="E190" s="245" t="e">
        <f>VLOOKUP("españa",#REF!,6,FALSE)</f>
        <v>#REF!</v>
      </c>
      <c r="F190" s="244" t="e">
        <f>VLOOKUP("españa",#REF!,5,FALSE)/VLOOKUP("españa",#REF!,5,FALSE)-1</f>
        <v>#REF!</v>
      </c>
      <c r="G190" s="244"/>
      <c r="H190" s="244" t="e">
        <f>VLOOKUP("españa",#REF!,4,FALSE)/VLOOKUP("españa",#REF!,4,FALSE)-1</f>
        <v>#REF!</v>
      </c>
      <c r="I190" s="245" t="e">
        <f>VLOOKUP("españa",#REF!,4,FALSE)</f>
        <v>#REF!</v>
      </c>
      <c r="J190" s="244" t="e">
        <f>VLOOKUP("españa",#REF!,3,FALSE)/VLOOKUP("españa",#REF!,3,FALSE)-1</f>
        <v>#REF!</v>
      </c>
      <c r="K190" s="245" t="e">
        <f>VLOOKUP("españa",#REF!,3,FALSE)</f>
        <v>#REF!</v>
      </c>
      <c r="L190" s="244" t="e">
        <f>VLOOKUP("españa",#REF!,2,FALSE)/VLOOKUP("españa",#REF!,2,FALSE)-1</f>
        <v>#REF!</v>
      </c>
      <c r="M190" s="245" t="e">
        <f>VLOOKUP("españa",#REF!,2,FALSE)</f>
        <v>#REF!</v>
      </c>
      <c r="N190" s="244" t="e">
        <f>VLOOKUP("españa",#REF!,7,FALSE)/VLOOKUP("españa",#REF!,7,FALSE)-1</f>
        <v>#REF!</v>
      </c>
      <c r="O190" s="245" t="e">
        <f>VLOOKUP("españa",#REF!,7,FALSE)</f>
        <v>#REF!</v>
      </c>
      <c r="P190" s="244" t="e">
        <f>VLOOKUP("españa",#REF!,8,FALSE)/VLOOKUP("españa",#REF!,8,FALSE)-1</f>
        <v>#REF!</v>
      </c>
      <c r="Q190" s="245" t="e">
        <f>VLOOKUP("españa",#REF!,8,FALSE)</f>
        <v>#REF!</v>
      </c>
    </row>
    <row r="191" spans="3:18" ht="24" hidden="1" customHeight="1" x14ac:dyDescent="0.2">
      <c r="C191" s="243" t="s">
        <v>40</v>
      </c>
      <c r="D191" s="244" t="e">
        <f>VLOOKUP("holanda",#REF!,6,FALSE)/VLOOKUP("holanda",#REF!,6,FALSE)-1</f>
        <v>#REF!</v>
      </c>
      <c r="E191" s="245" t="e">
        <f>VLOOKUP("holanda",#REF!,6,FALSE)</f>
        <v>#REF!</v>
      </c>
      <c r="F191" s="244" t="e">
        <f>VLOOKUP("holanda",#REF!,5,FALSE)/VLOOKUP("holanda",#REF!,5,FALSE)-1</f>
        <v>#REF!</v>
      </c>
      <c r="G191" s="244"/>
      <c r="H191" s="244" t="e">
        <f>VLOOKUP("holanda",#REF!,4,FALSE)/VLOOKUP("holanda",#REF!,4,FALSE)-1</f>
        <v>#REF!</v>
      </c>
      <c r="I191" s="245" t="e">
        <f>VLOOKUP("holanda",#REF!,4,FALSE)</f>
        <v>#REF!</v>
      </c>
      <c r="J191" s="244" t="e">
        <f>VLOOKUP("holanda",#REF!,3,FALSE)/VLOOKUP("holanda",#REF!,3,FALSE)-1</f>
        <v>#REF!</v>
      </c>
      <c r="K191" s="245" t="e">
        <f>VLOOKUP("holanda",#REF!,3,FALSE)</f>
        <v>#REF!</v>
      </c>
      <c r="L191" s="244" t="e">
        <f>VLOOKUP("holanda",#REF!,2,FALSE)/VLOOKUP("holanda",#REF!,2,FALSE)-1</f>
        <v>#REF!</v>
      </c>
      <c r="M191" s="245" t="e">
        <f>VLOOKUP("holanda",#REF!,2,FALSE)</f>
        <v>#REF!</v>
      </c>
      <c r="N191" s="244" t="e">
        <f>VLOOKUP("holanda",#REF!,7,FALSE)/VLOOKUP("holanda",#REF!,7,FALSE)-1</f>
        <v>#REF!</v>
      </c>
      <c r="O191" s="245" t="e">
        <f>VLOOKUP("holanda",#REF!,7,FALSE)</f>
        <v>#REF!</v>
      </c>
      <c r="P191" s="244" t="e">
        <f>VLOOKUP("holanda",#REF!,8,FALSE)/VLOOKUP("holanda",#REF!,8,FALSE)-1</f>
        <v>#REF!</v>
      </c>
      <c r="Q191" s="245" t="e">
        <f>VLOOKUP("holanda",#REF!,8,FALSE)</f>
        <v>#REF!</v>
      </c>
    </row>
    <row r="192" spans="3:18" ht="24" hidden="1" customHeight="1" x14ac:dyDescent="0.2">
      <c r="C192" s="243" t="s">
        <v>41</v>
      </c>
      <c r="D192" s="244" t="e">
        <f>VLOOKUP("belgica",#REF!,6,FALSE)/VLOOKUP("belgica",#REF!,6,FALSE)-1</f>
        <v>#REF!</v>
      </c>
      <c r="E192" s="245" t="e">
        <f>VLOOKUP("belgica",#REF!,6,FALSE)</f>
        <v>#REF!</v>
      </c>
      <c r="F192" s="244" t="e">
        <f>VLOOKUP("belgica",#REF!,5,FALSE)/VLOOKUP("belgica",#REF!,5,FALSE)-1</f>
        <v>#REF!</v>
      </c>
      <c r="G192" s="244"/>
      <c r="H192" s="244" t="e">
        <f>VLOOKUP("belgica",#REF!,4,FALSE)/VLOOKUP("belgica",#REF!,4,FALSE)-1</f>
        <v>#REF!</v>
      </c>
      <c r="I192" s="245" t="e">
        <f>VLOOKUP("belgica",#REF!,4,FALSE)</f>
        <v>#REF!</v>
      </c>
      <c r="J192" s="244" t="e">
        <f>VLOOKUP("belgica",#REF!,3,FALSE)/VLOOKUP("belgica",#REF!,3,FALSE)-1</f>
        <v>#REF!</v>
      </c>
      <c r="K192" s="245" t="e">
        <f>VLOOKUP("belgica",#REF!,3,FALSE)</f>
        <v>#REF!</v>
      </c>
      <c r="L192" s="244" t="e">
        <f>VLOOKUP("belgica",#REF!,2,FALSE)/VLOOKUP("belgica",#REF!,2,FALSE)-1</f>
        <v>#REF!</v>
      </c>
      <c r="M192" s="245" t="e">
        <f>VLOOKUP("belgica",#REF!,2,FALSE)</f>
        <v>#REF!</v>
      </c>
      <c r="N192" s="244" t="e">
        <f>VLOOKUP("belgica",#REF!,7,FALSE)/VLOOKUP("belgica",#REF!,7,FALSE)-1</f>
        <v>#REF!</v>
      </c>
      <c r="O192" s="245" t="e">
        <f>VLOOKUP("belgica",#REF!,7,FALSE)</f>
        <v>#REF!</v>
      </c>
      <c r="P192" s="244" t="e">
        <f>VLOOKUP("belgica",#REF!,8,FALSE)/VLOOKUP("belgica",#REF!,8,FALSE)-1</f>
        <v>#REF!</v>
      </c>
      <c r="Q192" s="245" t="e">
        <f>VLOOKUP("belgica",#REF!,8,FALSE)</f>
        <v>#REF!</v>
      </c>
    </row>
    <row r="193" spans="3:17" ht="24" hidden="1" customHeight="1" x14ac:dyDescent="0.2">
      <c r="C193" s="243" t="s">
        <v>42</v>
      </c>
      <c r="D193" s="244" t="e">
        <f>VLOOKUP("alemania",#REF!,6,FALSE)/VLOOKUP("alemania",#REF!,6,FALSE)-1</f>
        <v>#REF!</v>
      </c>
      <c r="E193" s="245" t="e">
        <f>VLOOKUP("alemania",#REF!,6,FALSE)</f>
        <v>#REF!</v>
      </c>
      <c r="F193" s="244" t="e">
        <f>VLOOKUP("alemania",#REF!,5,FALSE)/VLOOKUP("alemania",#REF!,5,FALSE)-1</f>
        <v>#REF!</v>
      </c>
      <c r="G193" s="244"/>
      <c r="H193" s="244" t="e">
        <f>VLOOKUP("alemania",#REF!,4,FALSE)/VLOOKUP("alemania",#REF!,4,FALSE)-1</f>
        <v>#REF!</v>
      </c>
      <c r="I193" s="245" t="e">
        <f>VLOOKUP("alemania",#REF!,4,FALSE)</f>
        <v>#REF!</v>
      </c>
      <c r="J193" s="244" t="e">
        <f>VLOOKUP("alemania",#REF!,3,FALSE)/VLOOKUP("alemania",#REF!,3,FALSE)-1</f>
        <v>#REF!</v>
      </c>
      <c r="K193" s="245" t="e">
        <f>VLOOKUP("alemania",#REF!,3,FALSE)</f>
        <v>#REF!</v>
      </c>
      <c r="L193" s="244" t="e">
        <f>VLOOKUP("alemania",#REF!,2,FALSE)/VLOOKUP("alemania",#REF!,2,FALSE)-1</f>
        <v>#REF!</v>
      </c>
      <c r="M193" s="245" t="e">
        <f>VLOOKUP("alemania",#REF!,2,FALSE)</f>
        <v>#REF!</v>
      </c>
      <c r="N193" s="244" t="e">
        <f>VLOOKUP("alemania",#REF!,7,FALSE)/VLOOKUP("alemania",#REF!,7,FALSE)-1</f>
        <v>#REF!</v>
      </c>
      <c r="O193" s="245" t="e">
        <f>VLOOKUP("alemania",#REF!,7,FALSE)</f>
        <v>#REF!</v>
      </c>
      <c r="P193" s="244" t="e">
        <f>VLOOKUP("alemania",#REF!,8,FALSE)/VLOOKUP("alemania",#REF!,8,FALSE)-1</f>
        <v>#REF!</v>
      </c>
      <c r="Q193" s="245" t="e">
        <f>VLOOKUP("alemania",#REF!,8,FALSE)</f>
        <v>#REF!</v>
      </c>
    </row>
    <row r="194" spans="3:17" ht="24" hidden="1" customHeight="1" x14ac:dyDescent="0.2">
      <c r="C194" s="243" t="s">
        <v>43</v>
      </c>
      <c r="D194" s="244" t="e">
        <f>VLOOKUP("francia",#REF!,6,FALSE)/VLOOKUP("francia",#REF!,6,FALSE)-1</f>
        <v>#REF!</v>
      </c>
      <c r="E194" s="245" t="e">
        <f>VLOOKUP("francia",#REF!,6,FALSE)</f>
        <v>#REF!</v>
      </c>
      <c r="F194" s="244" t="e">
        <f>VLOOKUP("francia",#REF!,5,FALSE)/VLOOKUP("francia",#REF!,5,FALSE)-1</f>
        <v>#REF!</v>
      </c>
      <c r="G194" s="244"/>
      <c r="H194" s="244" t="e">
        <f>VLOOKUP("francia",#REF!,4,FALSE)/VLOOKUP("francia",#REF!,4,FALSE)-1</f>
        <v>#REF!</v>
      </c>
      <c r="I194" s="245" t="e">
        <f>VLOOKUP("francia",#REF!,4,FALSE)</f>
        <v>#REF!</v>
      </c>
      <c r="J194" s="244" t="e">
        <f>VLOOKUP("francia",#REF!,3,FALSE)/VLOOKUP("francia",#REF!,3,FALSE)-1</f>
        <v>#REF!</v>
      </c>
      <c r="K194" s="245" t="e">
        <f>VLOOKUP("francia",#REF!,3,FALSE)</f>
        <v>#REF!</v>
      </c>
      <c r="L194" s="244" t="e">
        <f>VLOOKUP("francia",#REF!,2,FALSE)/VLOOKUP("francia",#REF!,2,FALSE)-1</f>
        <v>#REF!</v>
      </c>
      <c r="M194" s="245" t="e">
        <f>VLOOKUP("francia",#REF!,2,FALSE)</f>
        <v>#REF!</v>
      </c>
      <c r="N194" s="244" t="e">
        <f>VLOOKUP("francia",#REF!,7,FALSE)/VLOOKUP("francia",#REF!,7,FALSE)-1</f>
        <v>#REF!</v>
      </c>
      <c r="O194" s="245" t="e">
        <f>VLOOKUP("francia",#REF!,7,FALSE)</f>
        <v>#REF!</v>
      </c>
      <c r="P194" s="244" t="e">
        <f>VLOOKUP("francia",#REF!,8,FALSE)/VLOOKUP("francia",#REF!,8,FALSE)-1</f>
        <v>#REF!</v>
      </c>
      <c r="Q194" s="245" t="e">
        <f>VLOOKUP("francia",#REF!,8,FALSE)</f>
        <v>#REF!</v>
      </c>
    </row>
    <row r="195" spans="3:17" ht="24" hidden="1" customHeight="1" x14ac:dyDescent="0.2">
      <c r="C195" s="243" t="s">
        <v>44</v>
      </c>
      <c r="D195" s="244" t="e">
        <f>VLOOKUP("reino unido",#REF!,6,FALSE)/VLOOKUP("reino unido",#REF!,6,FALSE)-1</f>
        <v>#REF!</v>
      </c>
      <c r="E195" s="245" t="e">
        <f>VLOOKUP("reino unido",#REF!,6,FALSE)</f>
        <v>#REF!</v>
      </c>
      <c r="F195" s="244" t="e">
        <f>VLOOKUP("reino unido",#REF!,5,FALSE)/VLOOKUP("reino unido",#REF!,5,FALSE)-1</f>
        <v>#REF!</v>
      </c>
      <c r="G195" s="244"/>
      <c r="H195" s="244" t="e">
        <f>VLOOKUP("reino unido",#REF!,4,FALSE)/VLOOKUP("reino unido",#REF!,4,FALSE)-1</f>
        <v>#REF!</v>
      </c>
      <c r="I195" s="245" t="e">
        <f>VLOOKUP("reino unido",#REF!,4,FALSE)</f>
        <v>#REF!</v>
      </c>
      <c r="J195" s="244" t="e">
        <f>VLOOKUP("reino unido",#REF!,3,FALSE)/VLOOKUP("reino unido",#REF!,3,FALSE)-1</f>
        <v>#REF!</v>
      </c>
      <c r="K195" s="245" t="e">
        <f>VLOOKUP("reino unido",#REF!,3,FALSE)</f>
        <v>#REF!</v>
      </c>
      <c r="L195" s="244" t="e">
        <f>VLOOKUP("reino unido",#REF!,2,FALSE)/VLOOKUP("reino unido",#REF!,2,FALSE)-1</f>
        <v>#REF!</v>
      </c>
      <c r="M195" s="245" t="e">
        <f>VLOOKUP("reino unido",#REF!,2,FALSE)</f>
        <v>#REF!</v>
      </c>
      <c r="N195" s="244" t="e">
        <f>VLOOKUP("reino unido",#REF!,7,FALSE)/VLOOKUP("reino unido",#REF!,7,FALSE)-1</f>
        <v>#REF!</v>
      </c>
      <c r="O195" s="245" t="e">
        <f>VLOOKUP("reino unido",#REF!,7,FALSE)</f>
        <v>#REF!</v>
      </c>
      <c r="P195" s="244" t="e">
        <f>VLOOKUP("reino unido",#REF!,8,FALSE)/VLOOKUP("reino unido",#REF!,8,FALSE)-1</f>
        <v>#REF!</v>
      </c>
      <c r="Q195" s="245" t="e">
        <f>VLOOKUP("reino unido",#REF!,8,FALSE)</f>
        <v>#REF!</v>
      </c>
    </row>
    <row r="196" spans="3:17" ht="24" hidden="1" customHeight="1" x14ac:dyDescent="0.2">
      <c r="C196" s="243" t="s">
        <v>45</v>
      </c>
      <c r="D196" s="244" t="e">
        <f>VLOOKUP("irlanda",#REF!,6,FALSE)/VLOOKUP("irlanda",#REF!,6,FALSE)-1</f>
        <v>#REF!</v>
      </c>
      <c r="E196" s="245" t="e">
        <f>VLOOKUP("irlanda",#REF!,6,FALSE)</f>
        <v>#REF!</v>
      </c>
      <c r="F196" s="244" t="e">
        <f>VLOOKUP("irlanda",#REF!,5,FALSE)/VLOOKUP("irlanda",#REF!,5,FALSE)-1</f>
        <v>#REF!</v>
      </c>
      <c r="G196" s="244"/>
      <c r="H196" s="244" t="e">
        <f>VLOOKUP("irlanda",#REF!,4,FALSE)/VLOOKUP("irlanda",#REF!,4,FALSE)-1</f>
        <v>#REF!</v>
      </c>
      <c r="I196" s="245" t="e">
        <f>VLOOKUP("irlanda",#REF!,4,FALSE)</f>
        <v>#REF!</v>
      </c>
      <c r="J196" s="244" t="e">
        <f>VLOOKUP("irlanda",#REF!,3,FALSE)/VLOOKUP("irlanda",#REF!,3,FALSE)-1</f>
        <v>#REF!</v>
      </c>
      <c r="K196" s="245" t="e">
        <f>VLOOKUP("irlanda",#REF!,3,FALSE)</f>
        <v>#REF!</v>
      </c>
      <c r="L196" s="244" t="e">
        <f>VLOOKUP("irlanda",#REF!,2,FALSE)/VLOOKUP("irlanda",#REF!,2,FALSE)-1</f>
        <v>#REF!</v>
      </c>
      <c r="M196" s="245" t="e">
        <f>VLOOKUP("irlanda",#REF!,2,FALSE)</f>
        <v>#REF!</v>
      </c>
      <c r="N196" s="244" t="e">
        <f>VLOOKUP("irlanda",#REF!,7,FALSE)/VLOOKUP("irlanda",#REF!,7,FALSE)-1</f>
        <v>#REF!</v>
      </c>
      <c r="O196" s="245" t="e">
        <f>VLOOKUP("irlanda",#REF!,7,FALSE)</f>
        <v>#REF!</v>
      </c>
      <c r="P196" s="244" t="e">
        <f>VLOOKUP("irlanda",#REF!,8,FALSE)/VLOOKUP("irlanda",#REF!,8,FALSE)-1</f>
        <v>#REF!</v>
      </c>
      <c r="Q196" s="245" t="e">
        <f>VLOOKUP("irlanda",#REF!,8,FALSE)</f>
        <v>#REF!</v>
      </c>
    </row>
    <row r="197" spans="3:17" ht="24" hidden="1" customHeight="1" x14ac:dyDescent="0.2">
      <c r="C197" s="243" t="s">
        <v>46</v>
      </c>
      <c r="D197" s="244" t="e">
        <f>VLOOKUP("italia",#REF!,6,FALSE)/VLOOKUP("italia",#REF!,6,FALSE)-1</f>
        <v>#REF!</v>
      </c>
      <c r="E197" s="245" t="e">
        <f>VLOOKUP("italia",#REF!,6,FALSE)</f>
        <v>#REF!</v>
      </c>
      <c r="F197" s="244" t="e">
        <f>VLOOKUP("italia",#REF!,5,FALSE)/VLOOKUP("italia",#REF!,5,FALSE)-1</f>
        <v>#REF!</v>
      </c>
      <c r="G197" s="244"/>
      <c r="H197" s="244" t="e">
        <f>VLOOKUP("italia",#REF!,4,FALSE)/VLOOKUP("italia",#REF!,4,FALSE)-1</f>
        <v>#REF!</v>
      </c>
      <c r="I197" s="245" t="e">
        <f>VLOOKUP("italia",#REF!,4,FALSE)</f>
        <v>#REF!</v>
      </c>
      <c r="J197" s="244" t="e">
        <f>VLOOKUP("italia",#REF!,3,FALSE)/VLOOKUP("italia",#REF!,3,FALSE)-1</f>
        <v>#REF!</v>
      </c>
      <c r="K197" s="245" t="e">
        <f>VLOOKUP("italia",#REF!,3,FALSE)</f>
        <v>#REF!</v>
      </c>
      <c r="L197" s="244" t="e">
        <f>VLOOKUP("italia",#REF!,2,FALSE)/VLOOKUP("italia",#REF!,2,FALSE)-1</f>
        <v>#REF!</v>
      </c>
      <c r="M197" s="245" t="e">
        <f>VLOOKUP("italia",#REF!,2,FALSE)</f>
        <v>#REF!</v>
      </c>
      <c r="N197" s="244" t="e">
        <f>VLOOKUP("italia",#REF!,7,FALSE)/VLOOKUP("italia",#REF!,7,FALSE)-1</f>
        <v>#REF!</v>
      </c>
      <c r="O197" s="245" t="e">
        <f>VLOOKUP("italia",#REF!,7,FALSE)</f>
        <v>#REF!</v>
      </c>
      <c r="P197" s="244" t="e">
        <f>VLOOKUP("italia",#REF!,8,FALSE)/VLOOKUP("italia",#REF!,8,FALSE)-1</f>
        <v>#REF!</v>
      </c>
      <c r="Q197" s="245" t="e">
        <f>VLOOKUP("italia",#REF!,8,FALSE)</f>
        <v>#REF!</v>
      </c>
    </row>
    <row r="198" spans="3:17" ht="24" hidden="1" customHeight="1" x14ac:dyDescent="0.2">
      <c r="C198" s="243" t="s">
        <v>47</v>
      </c>
      <c r="D198" s="244" t="e">
        <f>(VLOOKUP("suecia",#REF!,6,FALSE)+VLOOKUP("noruega",#REF!,6,FALSE)+VLOOKUP("dinamarca",#REF!,6,FALSE)+VLOOKUP("finlandia",#REF!,6,FALSE))/(VLOOKUP("suecia",#REF!,6,FALSE)+VLOOKUP("noruega",#REF!,6,FALSE)+VLOOKUP("dinamarca",#REF!,6,FALSE)+VLOOKUP("finlandia",#REF!,6,FALSE))-1</f>
        <v>#REF!</v>
      </c>
      <c r="E198" s="245" t="e">
        <f>(VLOOKUP("suecia",#REF!,6,FALSE)+VLOOKUP("noruega",#REF!,6,FALSE)+VLOOKUP("dinamarca",#REF!,6,FALSE)+VLOOKUP("finlandia",#REF!,6,FALSE))</f>
        <v>#REF!</v>
      </c>
      <c r="F198" s="244" t="e">
        <f>(VLOOKUP("suecia",#REF!,5,FALSE)+VLOOKUP("noruega",#REF!,5,FALSE)+VLOOKUP("dinamarca",#REF!,5,FALSE)+VLOOKUP("finlandia",#REF!,5,FALSE))/(VLOOKUP("suecia",#REF!,5,FALSE)+VLOOKUP("noruega",#REF!,5,FALSE)+VLOOKUP("dinamarca",#REF!,5,FALSE)+VLOOKUP("finlandia",#REF!,5,FALSE))-1</f>
        <v>#REF!</v>
      </c>
      <c r="G198" s="244"/>
      <c r="H198" s="244" t="e">
        <f>(VLOOKUP("suecia",#REF!,4,FALSE)+VLOOKUP("noruega",#REF!,4,FALSE)+VLOOKUP("dinamarca",#REF!,4,FALSE)+VLOOKUP("finlandia",#REF!,4,FALSE))/(VLOOKUP("suecia",#REF!,4,FALSE)+VLOOKUP("noruega",#REF!,4,FALSE)+VLOOKUP("dinamarca",#REF!,4,FALSE)+VLOOKUP("finlandia",#REF!,4,FALSE))-1</f>
        <v>#REF!</v>
      </c>
      <c r="I198" s="245" t="e">
        <f>(VLOOKUP("suecia",#REF!,4,FALSE)+VLOOKUP("noruega",#REF!,4,FALSE)+VLOOKUP("dinamarca",#REF!,4,FALSE)+VLOOKUP("finlandia",#REF!,4,FALSE))</f>
        <v>#REF!</v>
      </c>
      <c r="J198" s="244" t="e">
        <f>(VLOOKUP("suecia",#REF!,3,FALSE)+VLOOKUP("noruega",#REF!,3,FALSE)+VLOOKUP("dinamarca",#REF!,3,FALSE)+VLOOKUP("finlandia",#REF!,3,FALSE))/(VLOOKUP("suecia",#REF!,3,FALSE)+VLOOKUP("noruega",#REF!,3,FALSE)+VLOOKUP("dinamarca",#REF!,3,FALSE)+VLOOKUP("finlandia",#REF!,3,FALSE))-1</f>
        <v>#REF!</v>
      </c>
      <c r="K198" s="245" t="e">
        <f>(VLOOKUP("suecia",#REF!,3,FALSE)+VLOOKUP("noruega",#REF!,3,FALSE)+VLOOKUP("dinamarca",#REF!,3,FALSE)+VLOOKUP("finlandia",#REF!,3,FALSE))</f>
        <v>#REF!</v>
      </c>
      <c r="L198" s="244" t="e">
        <f>(VLOOKUP("suecia",#REF!,2,FALSE)+VLOOKUP("noruega",#REF!,2,FALSE)+VLOOKUP("dinamarca",#REF!,2,FALSE)+VLOOKUP("finlandia",#REF!,2,FALSE))/(VLOOKUP("suecia",#REF!,2,FALSE)+VLOOKUP("noruega",#REF!,2,FALSE)+VLOOKUP("dinamarca",#REF!,2,FALSE)+VLOOKUP("finlandia",#REF!,2,FALSE))-1</f>
        <v>#REF!</v>
      </c>
      <c r="M198" s="245" t="e">
        <f>(VLOOKUP("suecia",#REF!,2,FALSE)+VLOOKUP("noruega",#REF!,2,FALSE)+VLOOKUP("dinamarca",#REF!,2,FALSE)+VLOOKUP("finlandia",#REF!,2,FALSE))</f>
        <v>#REF!</v>
      </c>
      <c r="N198" s="244" t="e">
        <f>(VLOOKUP("suecia",#REF!,7,FALSE)+VLOOKUP("noruega",#REF!,7,FALSE)+VLOOKUP("dinamarca",#REF!,7,FALSE)+VLOOKUP("finlandia",#REF!,7,FALSE))/(VLOOKUP("suecia",#REF!,7,FALSE)+VLOOKUP("noruega",#REF!,7,FALSE)+VLOOKUP("dinamarca",#REF!,7,FALSE)+VLOOKUP("finlandia",#REF!,7,FALSE))-1</f>
        <v>#REF!</v>
      </c>
      <c r="O198" s="245" t="e">
        <f>(VLOOKUP("suecia",#REF!,7,FALSE)+VLOOKUP("noruega",#REF!,7,FALSE)+VLOOKUP("dinamarca",#REF!,7,FALSE)+VLOOKUP("finlandia",#REF!,7,FALSE))</f>
        <v>#REF!</v>
      </c>
      <c r="P198" s="244" t="e">
        <f>(VLOOKUP("suecia",#REF!,8,FALSE)+VLOOKUP("noruega",#REF!,8,FALSE)+VLOOKUP("dinamarca",#REF!,8,FALSE)+VLOOKUP("finlandia",#REF!,8,FALSE))/(VLOOKUP("suecia",#REF!,8,FALSE)+VLOOKUP("noruega",#REF!,8,FALSE)+VLOOKUP("dinamarca",#REF!,8,FALSE)+VLOOKUP("finlandia",#REF!,8,FALSE))-1</f>
        <v>#REF!</v>
      </c>
      <c r="Q198" s="245" t="e">
        <f>(VLOOKUP("suecia",#REF!,8,FALSE)+VLOOKUP("noruega",#REF!,8,FALSE)+VLOOKUP("dinamarca",#REF!,8,FALSE)+VLOOKUP("finlandia",#REF!,8,FALSE))</f>
        <v>#REF!</v>
      </c>
    </row>
    <row r="199" spans="3:17" ht="24" hidden="1" customHeight="1" x14ac:dyDescent="0.2">
      <c r="C199" s="246" t="s">
        <v>48</v>
      </c>
      <c r="D199" s="244" t="e">
        <f>VLOOKUP("suecia",#REF!,6,FALSE)/VLOOKUP("suecia",#REF!,6,FALSE)-1</f>
        <v>#REF!</v>
      </c>
      <c r="E199" s="245" t="e">
        <f>VLOOKUP("suecia",#REF!,6,FALSE)</f>
        <v>#REF!</v>
      </c>
      <c r="F199" s="244" t="e">
        <f>VLOOKUP("suecia",#REF!,5,FALSE)/VLOOKUP("suecia",#REF!,5,FALSE)-1</f>
        <v>#REF!</v>
      </c>
      <c r="G199" s="244"/>
      <c r="H199" s="244" t="e">
        <f>VLOOKUP("suecia",#REF!,4,FALSE)/VLOOKUP("suecia",#REF!,4,FALSE)-1</f>
        <v>#REF!</v>
      </c>
      <c r="I199" s="245" t="e">
        <f>VLOOKUP("suecia",#REF!,4,FALSE)</f>
        <v>#REF!</v>
      </c>
      <c r="J199" s="244" t="e">
        <f>VLOOKUP("suecia",#REF!,3,FALSE)/VLOOKUP("suecia",#REF!,3,FALSE)-1</f>
        <v>#REF!</v>
      </c>
      <c r="K199" s="245" t="e">
        <f>VLOOKUP("suecia",#REF!,3,FALSE)</f>
        <v>#REF!</v>
      </c>
      <c r="L199" s="244" t="e">
        <f>VLOOKUP("suecia",#REF!,2,FALSE)/VLOOKUP("suecia",#REF!,2,FALSE)-1</f>
        <v>#REF!</v>
      </c>
      <c r="M199" s="245" t="e">
        <f>VLOOKUP("suecia",#REF!,2,FALSE)</f>
        <v>#REF!</v>
      </c>
      <c r="N199" s="244" t="e">
        <f>VLOOKUP("suecia",#REF!,7,FALSE)/VLOOKUP("suecia",#REF!,7,FALSE)-1</f>
        <v>#REF!</v>
      </c>
      <c r="O199" s="245" t="e">
        <f>VLOOKUP("suecia",#REF!,7,FALSE)</f>
        <v>#REF!</v>
      </c>
      <c r="P199" s="244" t="e">
        <f>VLOOKUP("suecia",#REF!,8,FALSE)/VLOOKUP("suecia",#REF!,8,FALSE)-1</f>
        <v>#REF!</v>
      </c>
      <c r="Q199" s="245" t="e">
        <f>VLOOKUP("suecia",#REF!,8,FALSE)</f>
        <v>#REF!</v>
      </c>
    </row>
    <row r="200" spans="3:17" ht="24" hidden="1" customHeight="1" x14ac:dyDescent="0.2">
      <c r="C200" s="246" t="s">
        <v>49</v>
      </c>
      <c r="D200" s="244" t="e">
        <f>VLOOKUP("noruega",#REF!,6,FALSE)/VLOOKUP("noruega",#REF!,6,FALSE)-1</f>
        <v>#REF!</v>
      </c>
      <c r="E200" s="245" t="e">
        <f>VLOOKUP("noruega",#REF!,6,FALSE)</f>
        <v>#REF!</v>
      </c>
      <c r="F200" s="244" t="e">
        <f>VLOOKUP("noruega",#REF!,5,FALSE)/VLOOKUP("noruega",#REF!,5,FALSE)-1</f>
        <v>#REF!</v>
      </c>
      <c r="G200" s="244"/>
      <c r="H200" s="244" t="e">
        <f>VLOOKUP("noruega",#REF!,4,FALSE)/VLOOKUP("noruega",#REF!,4,FALSE)-1</f>
        <v>#REF!</v>
      </c>
      <c r="I200" s="245" t="e">
        <f>VLOOKUP("noruega",#REF!,4,FALSE)</f>
        <v>#REF!</v>
      </c>
      <c r="J200" s="244" t="e">
        <f>VLOOKUP("noruega",#REF!,3,FALSE)/VLOOKUP("noruega",#REF!,3,FALSE)-1</f>
        <v>#REF!</v>
      </c>
      <c r="K200" s="245" t="e">
        <f>VLOOKUP("noruega",#REF!,3,FALSE)</f>
        <v>#REF!</v>
      </c>
      <c r="L200" s="244" t="e">
        <f>VLOOKUP("noruega",#REF!,2,FALSE)/VLOOKUP("noruega",#REF!,2,FALSE)-1</f>
        <v>#REF!</v>
      </c>
      <c r="M200" s="245" t="e">
        <f>VLOOKUP("noruega",#REF!,2,FALSE)</f>
        <v>#REF!</v>
      </c>
      <c r="N200" s="244" t="e">
        <f>VLOOKUP("noruega",#REF!,7,FALSE)/VLOOKUP("noruega",#REF!,7,FALSE)-1</f>
        <v>#REF!</v>
      </c>
      <c r="O200" s="245" t="e">
        <f>VLOOKUP("noruega",#REF!,7,FALSE)</f>
        <v>#REF!</v>
      </c>
      <c r="P200" s="244" t="e">
        <f>VLOOKUP("noruega",#REF!,8,FALSE)/VLOOKUP("noruega",#REF!,8,FALSE)-1</f>
        <v>#REF!</v>
      </c>
      <c r="Q200" s="245" t="e">
        <f>VLOOKUP("noruega",#REF!,8,FALSE)</f>
        <v>#REF!</v>
      </c>
    </row>
    <row r="201" spans="3:17" ht="24" hidden="1" customHeight="1" x14ac:dyDescent="0.2">
      <c r="C201" s="246" t="s">
        <v>50</v>
      </c>
      <c r="D201" s="244" t="e">
        <f>VLOOKUP("dinamarca",#REF!,6,FALSE)/VLOOKUP("dinamarca",#REF!,6,FALSE)-1</f>
        <v>#REF!</v>
      </c>
      <c r="E201" s="245" t="e">
        <f>VLOOKUP("dinamarca",#REF!,6,FALSE)</f>
        <v>#REF!</v>
      </c>
      <c r="F201" s="244" t="e">
        <f>VLOOKUP("dinamarca",#REF!,5,FALSE)/VLOOKUP("dinamarca",#REF!,5,FALSE)-1</f>
        <v>#REF!</v>
      </c>
      <c r="G201" s="244"/>
      <c r="H201" s="244" t="e">
        <f>VLOOKUP("dinamarca",#REF!,4,FALSE)/VLOOKUP("dinamarca",#REF!,4,FALSE)-1</f>
        <v>#REF!</v>
      </c>
      <c r="I201" s="245" t="e">
        <f>VLOOKUP("dinamarca",#REF!,4,FALSE)</f>
        <v>#REF!</v>
      </c>
      <c r="J201" s="244" t="e">
        <f>VLOOKUP("dinamarca",#REF!,3,FALSE)/VLOOKUP("dinamarca",#REF!,3,FALSE)-1</f>
        <v>#REF!</v>
      </c>
      <c r="K201" s="245" t="e">
        <f>VLOOKUP("dinamarca",#REF!,3,FALSE)</f>
        <v>#REF!</v>
      </c>
      <c r="L201" s="244" t="e">
        <f>VLOOKUP("dinamarca",#REF!,2,FALSE)/VLOOKUP("dinamarca",#REF!,2,FALSE)-1</f>
        <v>#REF!</v>
      </c>
      <c r="M201" s="245" t="e">
        <f>VLOOKUP("dinamarca",#REF!,2,FALSE)</f>
        <v>#REF!</v>
      </c>
      <c r="N201" s="244" t="e">
        <f>VLOOKUP("dinamarca",#REF!,7,FALSE)/VLOOKUP("dinamarca",#REF!,7,FALSE)-1</f>
        <v>#REF!</v>
      </c>
      <c r="O201" s="245" t="e">
        <f>VLOOKUP("dinamarca",#REF!,7,FALSE)</f>
        <v>#REF!</v>
      </c>
      <c r="P201" s="244" t="e">
        <f>VLOOKUP("dinamarca",#REF!,8,FALSE)/VLOOKUP("dinamarca",#REF!,8,FALSE)-1</f>
        <v>#REF!</v>
      </c>
      <c r="Q201" s="245" t="e">
        <f>VLOOKUP("dinamarca",#REF!,8,FALSE)</f>
        <v>#REF!</v>
      </c>
    </row>
    <row r="202" spans="3:17" ht="24" hidden="1" customHeight="1" x14ac:dyDescent="0.2">
      <c r="C202" s="246" t="s">
        <v>51</v>
      </c>
      <c r="D202" s="244" t="s">
        <v>37</v>
      </c>
      <c r="E202" s="245" t="e">
        <f>VLOOKUP("finlandia",#REF!,6,FALSE)</f>
        <v>#REF!</v>
      </c>
      <c r="F202" s="244" t="e">
        <f>VLOOKUP("finlandia",#REF!,5,FALSE)/VLOOKUP("finlandia",#REF!,5,FALSE)-1</f>
        <v>#REF!</v>
      </c>
      <c r="G202" s="244"/>
      <c r="H202" s="244" t="e">
        <f>VLOOKUP("finlandia",#REF!,4,FALSE)/VLOOKUP("finlandia",#REF!,4,FALSE)-1</f>
        <v>#REF!</v>
      </c>
      <c r="I202" s="245" t="e">
        <f>VLOOKUP("finlandia",#REF!,4,FALSE)</f>
        <v>#REF!</v>
      </c>
      <c r="J202" s="244" t="e">
        <f>VLOOKUP("finlandia",#REF!,3,FALSE)/VLOOKUP("finlandia",#REF!,3,FALSE)-1</f>
        <v>#REF!</v>
      </c>
      <c r="K202" s="245" t="e">
        <f>VLOOKUP("finlandia",#REF!,3,FALSE)</f>
        <v>#REF!</v>
      </c>
      <c r="L202" s="244" t="s">
        <v>37</v>
      </c>
      <c r="M202" s="245" t="e">
        <f>VLOOKUP("finlandia",#REF!,2,FALSE)</f>
        <v>#REF!</v>
      </c>
      <c r="N202" s="244" t="e">
        <f>VLOOKUP("finlandia",#REF!,7,FALSE)/VLOOKUP("finlandia",#REF!,7,FALSE)-1</f>
        <v>#REF!</v>
      </c>
      <c r="O202" s="245" t="e">
        <f>VLOOKUP("finlandia",#REF!,7,FALSE)</f>
        <v>#REF!</v>
      </c>
      <c r="P202" s="244" t="e">
        <f>VLOOKUP("finlandia",#REF!,8,FALSE)/VLOOKUP("finlandia",#REF!,8,FALSE)-1</f>
        <v>#REF!</v>
      </c>
      <c r="Q202" s="245" t="e">
        <f>VLOOKUP("finlandia",#REF!,8,FALSE)</f>
        <v>#REF!</v>
      </c>
    </row>
    <row r="203" spans="3:17" ht="24" hidden="1" customHeight="1" x14ac:dyDescent="0.2">
      <c r="C203" s="243" t="s">
        <v>52</v>
      </c>
      <c r="D203" s="244" t="e">
        <f>VLOOKUP("suiza",#REF!,6,FALSE)/VLOOKUP("suiza",#REF!,6,FALSE)-1</f>
        <v>#REF!</v>
      </c>
      <c r="E203" s="245" t="e">
        <f>VLOOKUP("suiza",#REF!,6,FALSE)</f>
        <v>#REF!</v>
      </c>
      <c r="F203" s="244" t="e">
        <f>VLOOKUP("suiza",#REF!,5,FALSE)/VLOOKUP("suiza",#REF!,5,FALSE)-1</f>
        <v>#REF!</v>
      </c>
      <c r="G203" s="244"/>
      <c r="H203" s="244" t="e">
        <f>VLOOKUP("suiza",#REF!,4,FALSE)/VLOOKUP("suiza",#REF!,4,FALSE)-1</f>
        <v>#REF!</v>
      </c>
      <c r="I203" s="245" t="e">
        <f>VLOOKUP("suiza",#REF!,4,FALSE)</f>
        <v>#REF!</v>
      </c>
      <c r="J203" s="244" t="e">
        <f>VLOOKUP("suiza",#REF!,3,FALSE)/VLOOKUP("suiza",#REF!,3,FALSE)-1</f>
        <v>#REF!</v>
      </c>
      <c r="K203" s="245" t="e">
        <f>VLOOKUP("suiza",#REF!,3,FALSE)</f>
        <v>#REF!</v>
      </c>
      <c r="L203" s="244" t="e">
        <f>VLOOKUP("suiza",#REF!,2,FALSE)/VLOOKUP("suiza",#REF!,2,FALSE)-1</f>
        <v>#REF!</v>
      </c>
      <c r="M203" s="245" t="e">
        <f>VLOOKUP("suiza",#REF!,2,FALSE)</f>
        <v>#REF!</v>
      </c>
      <c r="N203" s="244" t="e">
        <f>VLOOKUP("suiza",#REF!,7,FALSE)/VLOOKUP("suiza",#REF!,7,FALSE)-1</f>
        <v>#REF!</v>
      </c>
      <c r="O203" s="245" t="e">
        <f>VLOOKUP("suiza",#REF!,7,FALSE)</f>
        <v>#REF!</v>
      </c>
      <c r="P203" s="244" t="e">
        <f>VLOOKUP("suiza",#REF!,8,FALSE)/VLOOKUP("suiza",#REF!,8,FALSE)-1</f>
        <v>#REF!</v>
      </c>
      <c r="Q203" s="245" t="e">
        <f>VLOOKUP("suiza",#REF!,8,FALSE)</f>
        <v>#REF!</v>
      </c>
    </row>
    <row r="204" spans="3:17" ht="24" hidden="1" customHeight="1" x14ac:dyDescent="0.2">
      <c r="C204" s="243" t="s">
        <v>53</v>
      </c>
      <c r="D204" s="244" t="e">
        <f>VLOOKUP("austria",#REF!,6,FALSE)/VLOOKUP("austria",#REF!,6,FALSE)-1</f>
        <v>#REF!</v>
      </c>
      <c r="E204" s="245" t="e">
        <f>VLOOKUP("austria",#REF!,6,FALSE)</f>
        <v>#REF!</v>
      </c>
      <c r="F204" s="244" t="e">
        <f>VLOOKUP("austria",#REF!,5,FALSE)/VLOOKUP("austria",#REF!,5,FALSE)-1</f>
        <v>#REF!</v>
      </c>
      <c r="G204" s="244"/>
      <c r="H204" s="244" t="e">
        <f>VLOOKUP("austria",#REF!,4,FALSE)/VLOOKUP("austria",#REF!,4,FALSE)-1</f>
        <v>#REF!</v>
      </c>
      <c r="I204" s="245" t="e">
        <f>VLOOKUP("austria",#REF!,4,FALSE)</f>
        <v>#REF!</v>
      </c>
      <c r="J204" s="244" t="e">
        <f>VLOOKUP("austria",#REF!,3,FALSE)/VLOOKUP("austria",#REF!,3,FALSE)-1</f>
        <v>#REF!</v>
      </c>
      <c r="K204" s="245" t="e">
        <f>VLOOKUP("austria",#REF!,3,FALSE)</f>
        <v>#REF!</v>
      </c>
      <c r="L204" s="244" t="e">
        <f>VLOOKUP("austria",#REF!,2,FALSE)/VLOOKUP("austria",#REF!,2,FALSE)-1</f>
        <v>#REF!</v>
      </c>
      <c r="M204" s="245" t="e">
        <f>VLOOKUP("austria",#REF!,2,FALSE)</f>
        <v>#REF!</v>
      </c>
      <c r="N204" s="244" t="e">
        <f>VLOOKUP("austria",#REF!,7,FALSE)/VLOOKUP("austria",#REF!,7,FALSE)-1</f>
        <v>#REF!</v>
      </c>
      <c r="O204" s="245" t="e">
        <f>VLOOKUP("austria",#REF!,7,FALSE)</f>
        <v>#REF!</v>
      </c>
      <c r="P204" s="244" t="e">
        <f>VLOOKUP("austria",#REF!,8,FALSE)/VLOOKUP("austria",#REF!,8,FALSE)-1</f>
        <v>#REF!</v>
      </c>
      <c r="Q204" s="245" t="e">
        <f>VLOOKUP("austria",#REF!,8,FALSE)</f>
        <v>#REF!</v>
      </c>
    </row>
    <row r="205" spans="3:17" ht="24" hidden="1" customHeight="1" x14ac:dyDescent="0.2">
      <c r="C205" s="243" t="s">
        <v>54</v>
      </c>
      <c r="D205" s="244" t="e">
        <f>VLOOKUP("rusia",#REF!,6,FALSE)/VLOOKUP("rusia",#REF!,6,FALSE)-1</f>
        <v>#REF!</v>
      </c>
      <c r="E205" s="245" t="e">
        <f>VLOOKUP("rusia",#REF!,6,FALSE)</f>
        <v>#REF!</v>
      </c>
      <c r="F205" s="244" t="e">
        <f>VLOOKUP("rusia",#REF!,5,FALSE)/VLOOKUP("rusia",#REF!,5,FALSE)-1</f>
        <v>#REF!</v>
      </c>
      <c r="G205" s="244"/>
      <c r="H205" s="244" t="e">
        <f>VLOOKUP("rusia",#REF!,4,FALSE)/VLOOKUP("rusia",#REF!,4,FALSE)-1</f>
        <v>#REF!</v>
      </c>
      <c r="I205" s="245" t="e">
        <f>VLOOKUP("rusia",#REF!,4,FALSE)</f>
        <v>#REF!</v>
      </c>
      <c r="J205" s="244" t="e">
        <f>VLOOKUP("rusia",#REF!,3,FALSE)/VLOOKUP("rusia",#REF!,3,FALSE)-1</f>
        <v>#REF!</v>
      </c>
      <c r="K205" s="245" t="e">
        <f>VLOOKUP("rusia",#REF!,3,FALSE)</f>
        <v>#REF!</v>
      </c>
      <c r="L205" s="244" t="e">
        <f>VLOOKUP("rusia",#REF!,2,FALSE)/VLOOKUP("rusia",#REF!,2,FALSE)-1</f>
        <v>#REF!</v>
      </c>
      <c r="M205" s="245" t="e">
        <f>VLOOKUP("rusia",#REF!,2,FALSE)</f>
        <v>#REF!</v>
      </c>
      <c r="N205" s="244" t="e">
        <f>VLOOKUP("rusia",#REF!,7,FALSE)/VLOOKUP("rusia",#REF!,7,FALSE)-1</f>
        <v>#REF!</v>
      </c>
      <c r="O205" s="245" t="e">
        <f>VLOOKUP("rusia",#REF!,7,FALSE)</f>
        <v>#REF!</v>
      </c>
      <c r="P205" s="244" t="e">
        <f>VLOOKUP("rusia",#REF!,8,FALSE)/VLOOKUP("rusia",#REF!,8,FALSE)-1</f>
        <v>#REF!</v>
      </c>
      <c r="Q205" s="245" t="e">
        <f>VLOOKUP("rusia",#REF!,8,FALSE)</f>
        <v>#REF!</v>
      </c>
    </row>
    <row r="206" spans="3:17" ht="24" hidden="1" customHeight="1" x14ac:dyDescent="0.2">
      <c r="C206" s="243" t="s">
        <v>55</v>
      </c>
      <c r="D206" s="244" t="e">
        <f>VLOOKUP("paises del este",#REF!,6,FALSE)/VLOOKUP("paises del este",#REF!,6,FALSE)-1</f>
        <v>#REF!</v>
      </c>
      <c r="E206" s="245" t="e">
        <f>VLOOKUP("paises del este",#REF!,6,FALSE)</f>
        <v>#REF!</v>
      </c>
      <c r="F206" s="244" t="e">
        <f>VLOOKUP("paises del este",#REF!,5,FALSE)/VLOOKUP("paises del este",#REF!,5,FALSE)-1</f>
        <v>#REF!</v>
      </c>
      <c r="G206" s="244"/>
      <c r="H206" s="244" t="e">
        <f>VLOOKUP("paises del este",#REF!,4,FALSE)/VLOOKUP("paises del este",#REF!,4,FALSE)-1</f>
        <v>#REF!</v>
      </c>
      <c r="I206" s="245" t="e">
        <f>VLOOKUP("paises del este",#REF!,4,FALSE)</f>
        <v>#REF!</v>
      </c>
      <c r="J206" s="244" t="e">
        <f>VLOOKUP("paises del este",#REF!,3,FALSE)/VLOOKUP("paises del este",#REF!,3,FALSE)-1</f>
        <v>#REF!</v>
      </c>
      <c r="K206" s="245" t="e">
        <f>VLOOKUP("paises del este",#REF!,3,FALSE)</f>
        <v>#REF!</v>
      </c>
      <c r="L206" s="244" t="e">
        <f>VLOOKUP("paises del este",#REF!,2,FALSE)/VLOOKUP("paises del este",#REF!,2,FALSE)-1</f>
        <v>#REF!</v>
      </c>
      <c r="M206" s="245" t="e">
        <f>VLOOKUP("paises del este",#REF!,2,FALSE)</f>
        <v>#REF!</v>
      </c>
      <c r="N206" s="244" t="e">
        <f>VLOOKUP("paises del este",#REF!,7,FALSE)/VLOOKUP("paises del este",#REF!,7,FALSE)-1</f>
        <v>#REF!</v>
      </c>
      <c r="O206" s="245" t="e">
        <f>VLOOKUP("paises del este",#REF!,7,FALSE)</f>
        <v>#REF!</v>
      </c>
      <c r="P206" s="244" t="e">
        <f>VLOOKUP("paises del este",#REF!,8,FALSE)/VLOOKUP("paises del este",#REF!,8,FALSE)-1</f>
        <v>#REF!</v>
      </c>
      <c r="Q206" s="245" t="e">
        <f>VLOOKUP("paises del este",#REF!,8,FALSE)</f>
        <v>#REF!</v>
      </c>
    </row>
    <row r="207" spans="3:17" ht="24" hidden="1" customHeight="1" x14ac:dyDescent="0.2">
      <c r="C207" s="243" t="s">
        <v>56</v>
      </c>
      <c r="D207" s="244" t="e">
        <f>VLOOKUP("resto de europa",#REF!,6,FALSE)/VLOOKUP("resto de europa",#REF!,6,FALSE)-1</f>
        <v>#REF!</v>
      </c>
      <c r="E207" s="245" t="e">
        <f>VLOOKUP("resto de europa",#REF!,6,FALSE)</f>
        <v>#REF!</v>
      </c>
      <c r="F207" s="244" t="e">
        <f>VLOOKUP("resto de europa",#REF!,5,FALSE)/VLOOKUP("resto de europa",#REF!,5,FALSE)-1</f>
        <v>#REF!</v>
      </c>
      <c r="G207" s="244"/>
      <c r="H207" s="244" t="e">
        <f>VLOOKUP("resto de europa",#REF!,4,FALSE)/VLOOKUP("resto de europa",#REF!,4,FALSE)-1</f>
        <v>#REF!</v>
      </c>
      <c r="I207" s="245" t="e">
        <f>VLOOKUP("resto de europa",#REF!,4,FALSE)</f>
        <v>#REF!</v>
      </c>
      <c r="J207" s="244" t="e">
        <f>VLOOKUP("resto de europa",#REF!,3,FALSE)/VLOOKUP("resto de europa",#REF!,3,FALSE)-1</f>
        <v>#REF!</v>
      </c>
      <c r="K207" s="245" t="e">
        <f>VLOOKUP("resto de europa",#REF!,3,FALSE)</f>
        <v>#REF!</v>
      </c>
      <c r="L207" s="244" t="e">
        <f>VLOOKUP("resto de europa",#REF!,2,FALSE)/VLOOKUP("resto de europa",#REF!,2,FALSE)-1</f>
        <v>#REF!</v>
      </c>
      <c r="M207" s="245" t="e">
        <f>VLOOKUP("resto de europa",#REF!,2,FALSE)</f>
        <v>#REF!</v>
      </c>
      <c r="N207" s="244" t="e">
        <f>VLOOKUP("resto de europa",#REF!,7,FALSE)/VLOOKUP("resto de europa",#REF!,7,FALSE)-1</f>
        <v>#REF!</v>
      </c>
      <c r="O207" s="245" t="e">
        <f>VLOOKUP("resto de europa",#REF!,7,FALSE)</f>
        <v>#REF!</v>
      </c>
      <c r="P207" s="244" t="e">
        <f>VLOOKUP("resto de europa",#REF!,8,FALSE)/VLOOKUP("resto de europa",#REF!,8,FALSE)-1</f>
        <v>#REF!</v>
      </c>
      <c r="Q207" s="245" t="e">
        <f>VLOOKUP("resto de europa",#REF!,8,FALSE)</f>
        <v>#REF!</v>
      </c>
    </row>
    <row r="208" spans="3:17" ht="24" hidden="1" customHeight="1" x14ac:dyDescent="0.2">
      <c r="C208" s="243" t="s">
        <v>57</v>
      </c>
      <c r="D208" s="244" t="e">
        <f>VLOOKUP("usa",#REF!,6,FALSE)/VLOOKUP("usa",#REF!,6,FALSE)-1</f>
        <v>#REF!</v>
      </c>
      <c r="E208" s="245" t="e">
        <f>VLOOKUP("usa",#REF!,6,FALSE)</f>
        <v>#REF!</v>
      </c>
      <c r="F208" s="244" t="e">
        <f>VLOOKUP("usa",#REF!,5,FALSE)/VLOOKUP("usa",#REF!,5,FALSE)-1</f>
        <v>#REF!</v>
      </c>
      <c r="G208" s="244"/>
      <c r="H208" s="244" t="e">
        <f>VLOOKUP("usa",#REF!,4,FALSE)/VLOOKUP("usa",#REF!,4,FALSE)-1</f>
        <v>#REF!</v>
      </c>
      <c r="I208" s="245" t="e">
        <f>VLOOKUP("usa",#REF!,4,FALSE)</f>
        <v>#REF!</v>
      </c>
      <c r="J208" s="244" t="e">
        <f>VLOOKUP("usa",#REF!,3,FALSE)/VLOOKUP("usa",#REF!,3,FALSE)-1</f>
        <v>#REF!</v>
      </c>
      <c r="K208" s="245" t="e">
        <f>VLOOKUP("usa",#REF!,3,FALSE)</f>
        <v>#REF!</v>
      </c>
      <c r="L208" s="244" t="e">
        <f>VLOOKUP("usa",#REF!,2,FALSE)/VLOOKUP("usa",#REF!,2,FALSE)-1</f>
        <v>#REF!</v>
      </c>
      <c r="M208" s="245" t="e">
        <f>VLOOKUP("usa",#REF!,2,FALSE)</f>
        <v>#REF!</v>
      </c>
      <c r="N208" s="244" t="e">
        <f>VLOOKUP("usa",#REF!,7,FALSE)/VLOOKUP("usa",#REF!,7,FALSE)-1</f>
        <v>#REF!</v>
      </c>
      <c r="O208" s="245" t="e">
        <f>VLOOKUP("usa",#REF!,7,FALSE)</f>
        <v>#REF!</v>
      </c>
      <c r="P208" s="244" t="e">
        <f>VLOOKUP("usa",#REF!,8,FALSE)/VLOOKUP("usa",#REF!,8,FALSE)-1</f>
        <v>#REF!</v>
      </c>
      <c r="Q208" s="245" t="e">
        <f>VLOOKUP("usa",#REF!,8,FALSE)</f>
        <v>#REF!</v>
      </c>
    </row>
    <row r="209" spans="3:18" ht="24" hidden="1" customHeight="1" x14ac:dyDescent="0.2">
      <c r="C209" s="243" t="s">
        <v>58</v>
      </c>
      <c r="D209" s="244" t="e">
        <f>VLOOKUP("resto de america",#REF!,6,FALSE)/VLOOKUP("resto de america",#REF!,6,FALSE)-1</f>
        <v>#REF!</v>
      </c>
      <c r="E209" s="245" t="e">
        <f>VLOOKUP("resto de america",#REF!,6,FALSE)</f>
        <v>#REF!</v>
      </c>
      <c r="F209" s="244" t="e">
        <f>VLOOKUP("resto de america",#REF!,5,FALSE)/VLOOKUP("resto de america",#REF!,5,FALSE)-1</f>
        <v>#REF!</v>
      </c>
      <c r="G209" s="244"/>
      <c r="H209" s="244" t="e">
        <f>VLOOKUP("resto de america",#REF!,4,FALSE)/VLOOKUP("resto de america",#REF!,4,FALSE)-1</f>
        <v>#REF!</v>
      </c>
      <c r="I209" s="245" t="e">
        <f>VLOOKUP("resto de america",#REF!,4,FALSE)</f>
        <v>#REF!</v>
      </c>
      <c r="J209" s="244" t="e">
        <f>VLOOKUP("resto de america",#REF!,3,FALSE)/VLOOKUP("resto de america",#REF!,3,FALSE)-1</f>
        <v>#REF!</v>
      </c>
      <c r="K209" s="245" t="e">
        <f>VLOOKUP("resto de america",#REF!,3,FALSE)</f>
        <v>#REF!</v>
      </c>
      <c r="L209" s="244" t="e">
        <f>VLOOKUP("resto de america",#REF!,2,FALSE)/VLOOKUP("resto de america",#REF!,2,FALSE)-1</f>
        <v>#REF!</v>
      </c>
      <c r="M209" s="245" t="e">
        <f>VLOOKUP("resto de america",#REF!,2,FALSE)</f>
        <v>#REF!</v>
      </c>
      <c r="N209" s="244" t="e">
        <f>VLOOKUP("resto de america",#REF!,7,FALSE)/VLOOKUP("resto de america",#REF!,7,FALSE)-1</f>
        <v>#REF!</v>
      </c>
      <c r="O209" s="245" t="e">
        <f>VLOOKUP("resto de america",#REF!,7,FALSE)</f>
        <v>#REF!</v>
      </c>
      <c r="P209" s="244" t="e">
        <f>VLOOKUP("resto de america",#REF!,8,FALSE)/VLOOKUP("resto de america",#REF!,8,FALSE)-1</f>
        <v>#REF!</v>
      </c>
      <c r="Q209" s="245" t="e">
        <f>VLOOKUP("resto de america",#REF!,8,FALSE)</f>
        <v>#REF!</v>
      </c>
    </row>
    <row r="210" spans="3:18" ht="24" hidden="1" customHeight="1" x14ac:dyDescent="0.2">
      <c r="C210" s="243" t="s">
        <v>59</v>
      </c>
      <c r="D210" s="244" t="e">
        <f>VLOOKUP("resto del mundo",#REF!,6,FALSE)/VLOOKUP("resto del mundo",#REF!,6,FALSE)-1</f>
        <v>#REF!</v>
      </c>
      <c r="E210" s="245" t="e">
        <f>VLOOKUP("resto del mundo",#REF!,6,FALSE)</f>
        <v>#REF!</v>
      </c>
      <c r="F210" s="244" t="e">
        <f>VLOOKUP("resto del mundo",#REF!,5,FALSE)/VLOOKUP("resto del mundo",#REF!,5,FALSE)-1</f>
        <v>#REF!</v>
      </c>
      <c r="G210" s="244"/>
      <c r="H210" s="244" t="e">
        <f>VLOOKUP("resto del mundo",#REF!,4,FALSE)/VLOOKUP("resto del mundo",#REF!,4,FALSE)-1</f>
        <v>#REF!</v>
      </c>
      <c r="I210" s="245" t="e">
        <f>VLOOKUP("resto del mundo",#REF!,4,FALSE)</f>
        <v>#REF!</v>
      </c>
      <c r="J210" s="244" t="e">
        <f>VLOOKUP("resto del mundo",#REF!,3,FALSE)/VLOOKUP("resto del mundo",#REF!,3,FALSE)-1</f>
        <v>#REF!</v>
      </c>
      <c r="K210" s="245" t="e">
        <f>VLOOKUP("resto del mundo",#REF!,3,FALSE)</f>
        <v>#REF!</v>
      </c>
      <c r="L210" s="244" t="e">
        <f>VLOOKUP("resto del mundo",#REF!,2,FALSE)/VLOOKUP("resto del mundo",#REF!,2,FALSE)-1</f>
        <v>#REF!</v>
      </c>
      <c r="M210" s="245" t="e">
        <f>VLOOKUP("resto del mundo",#REF!,2,FALSE)</f>
        <v>#REF!</v>
      </c>
      <c r="N210" s="244" t="e">
        <f>VLOOKUP("resto del mundo",#REF!,7,FALSE)/VLOOKUP("resto del mundo",#REF!,7,FALSE)-1</f>
        <v>#REF!</v>
      </c>
      <c r="O210" s="245" t="e">
        <f>VLOOKUP("resto del mundo",#REF!,7,FALSE)</f>
        <v>#REF!</v>
      </c>
      <c r="P210" s="244" t="e">
        <f>VLOOKUP("resto del mundo",#REF!,8,FALSE)/VLOOKUP("resto del mundo",#REF!,8,FALSE)-1</f>
        <v>#REF!</v>
      </c>
      <c r="Q210" s="245" t="e">
        <f>VLOOKUP("resto del mundo",#REF!,8,FALSE)</f>
        <v>#REF!</v>
      </c>
    </row>
    <row r="211" spans="3:18" ht="24" hidden="1" customHeight="1" x14ac:dyDescent="0.2">
      <c r="C211" s="243" t="s">
        <v>60</v>
      </c>
      <c r="D211" s="244" t="e">
        <f>(VLOOKUP("total",#REF!,6,FALSE)-VLOOKUP("españa",#REF!,6,FALSE))/(VLOOKUP("total",#REF!,6,FALSE)-VLOOKUP("españa",#REF!,6,FALSE))-1</f>
        <v>#REF!</v>
      </c>
      <c r="E211" s="245" t="e">
        <f>VLOOKUP("total",#REF!,6,FALSE)-VLOOKUP("españa",#REF!,6,FALSE)</f>
        <v>#REF!</v>
      </c>
      <c r="F211" s="244" t="e">
        <f>(VLOOKUP("total",#REF!,5,FALSE)-VLOOKUP("españa",#REF!,5,FALSE))/(VLOOKUP("total",#REF!,5,FALSE)-VLOOKUP("españa",#REF!,5,FALSE))-1</f>
        <v>#REF!</v>
      </c>
      <c r="G211" s="244"/>
      <c r="H211" s="244" t="e">
        <f>(VLOOKUP("total",#REF!,4,FALSE)-VLOOKUP("españa",#REF!,4,FALSE))/(VLOOKUP("total",#REF!,4,FALSE)-VLOOKUP("españa",#REF!,4,FALSE))-1</f>
        <v>#REF!</v>
      </c>
      <c r="I211" s="245" t="e">
        <f>VLOOKUP("total",#REF!,4,FALSE)-VLOOKUP("españa",#REF!,4,FALSE)</f>
        <v>#REF!</v>
      </c>
      <c r="J211" s="244" t="e">
        <f>(VLOOKUP("total",#REF!,3,FALSE)-VLOOKUP("españa",#REF!,3,FALSE))/(VLOOKUP("total",#REF!,3,FALSE)-VLOOKUP("españa",#REF!,3,FALSE))-1</f>
        <v>#REF!</v>
      </c>
      <c r="K211" s="245" t="e">
        <f>VLOOKUP("total",#REF!,3,FALSE)-VLOOKUP("españa",#REF!,3,FALSE)</f>
        <v>#REF!</v>
      </c>
      <c r="L211" s="244" t="e">
        <f>(VLOOKUP("total",#REF!,2,FALSE)-VLOOKUP("españa",#REF!,2,FALSE))/(VLOOKUP("total",#REF!,2,FALSE)-VLOOKUP("españa",#REF!,2,FALSE))-1</f>
        <v>#REF!</v>
      </c>
      <c r="M211" s="245" t="e">
        <f>VLOOKUP("total",#REF!,2,FALSE)-VLOOKUP("españa",#REF!,2,FALSE)</f>
        <v>#REF!</v>
      </c>
      <c r="N211" s="244" t="e">
        <f>(VLOOKUP("total",#REF!,7,FALSE)-VLOOKUP("españa",#REF!,7,FALSE))/(VLOOKUP("total",#REF!,7,FALSE)-VLOOKUP("españa",#REF!,7,FALSE))-1</f>
        <v>#REF!</v>
      </c>
      <c r="O211" s="245" t="e">
        <f>VLOOKUP("total",#REF!,7,FALSE)-VLOOKUP("españa",#REF!,7,FALSE)</f>
        <v>#REF!</v>
      </c>
      <c r="P211" s="244" t="e">
        <f>(VLOOKUP("total",#REF!,8,FALSE)-VLOOKUP("españa",#REF!,8,FALSE))/(VLOOKUP("total",#REF!,8,FALSE)-VLOOKUP("españa",#REF!,8,FALSE))-1</f>
        <v>#REF!</v>
      </c>
      <c r="Q211" s="245" t="e">
        <f>VLOOKUP("total",#REF!,8,FALSE)-VLOOKUP("españa",#REF!,8,FALSE)</f>
        <v>#REF!</v>
      </c>
    </row>
    <row r="212" spans="3:18" ht="24" hidden="1" customHeight="1" x14ac:dyDescent="0.2">
      <c r="C212" s="243" t="s">
        <v>8</v>
      </c>
      <c r="D212" s="244" t="e">
        <f>VLOOKUP("total",#REF!,6,FALSE)/VLOOKUP("total",#REF!,6,FALSE)-1</f>
        <v>#REF!</v>
      </c>
      <c r="E212" s="245" t="e">
        <f>VLOOKUP("total",#REF!,6,FALSE)</f>
        <v>#REF!</v>
      </c>
      <c r="F212" s="244" t="e">
        <f>VLOOKUP("total",#REF!,5,FALSE)/VLOOKUP("total",#REF!,5,FALSE)-1</f>
        <v>#REF!</v>
      </c>
      <c r="G212" s="244"/>
      <c r="H212" s="244" t="e">
        <f>VLOOKUP("total",#REF!,4,FALSE)/VLOOKUP("total",#REF!,4,FALSE)-1</f>
        <v>#REF!</v>
      </c>
      <c r="I212" s="245" t="e">
        <f>VLOOKUP("total",#REF!,4,FALSE)</f>
        <v>#REF!</v>
      </c>
      <c r="J212" s="244" t="e">
        <f>VLOOKUP("total",#REF!,3,FALSE)/VLOOKUP("total",#REF!,3,FALSE)-1</f>
        <v>#REF!</v>
      </c>
      <c r="K212" s="245" t="e">
        <f>VLOOKUP("total",#REF!,3,FALSE)</f>
        <v>#REF!</v>
      </c>
      <c r="L212" s="244" t="e">
        <f>VLOOKUP("total",#REF!,2,FALSE)/VLOOKUP("total",#REF!,2,FALSE)-1</f>
        <v>#REF!</v>
      </c>
      <c r="M212" s="245" t="e">
        <f>VLOOKUP("total",#REF!,2,FALSE)</f>
        <v>#REF!</v>
      </c>
      <c r="N212" s="244" t="e">
        <f>VLOOKUP("total",#REF!,7,FALSE)/VLOOKUP("total",#REF!,7,FALSE)-1</f>
        <v>#REF!</v>
      </c>
      <c r="O212" s="245" t="e">
        <f>VLOOKUP("total",#REF!,7,FALSE)</f>
        <v>#REF!</v>
      </c>
      <c r="P212" s="244" t="e">
        <f>VLOOKUP("total",#REF!,8,FALSE)/VLOOKUP("total",#REF!,8,FALSE)-1</f>
        <v>#REF!</v>
      </c>
      <c r="Q212" s="245" t="e">
        <f>VLOOKUP("total",#REF!,8,FALSE)</f>
        <v>#REF!</v>
      </c>
    </row>
    <row r="213" spans="3:18" ht="12.75" hidden="1" customHeight="1" x14ac:dyDescent="0.2">
      <c r="C213" s="168"/>
      <c r="D213" s="169"/>
      <c r="E213" s="169"/>
      <c r="F213" s="169"/>
      <c r="G213" s="169"/>
      <c r="H213" s="169"/>
      <c r="I213" s="169"/>
      <c r="J213" s="169"/>
      <c r="K213" s="169"/>
      <c r="L213" s="169"/>
      <c r="M213" s="171"/>
    </row>
    <row r="214" spans="3:18" ht="35.25" hidden="1" customHeight="1" x14ac:dyDescent="0.2">
      <c r="C214" s="234" t="s">
        <v>28</v>
      </c>
      <c r="D214" s="235"/>
      <c r="E214" s="235"/>
      <c r="F214" s="235"/>
      <c r="G214" s="235"/>
      <c r="H214" s="235"/>
      <c r="I214" s="235"/>
      <c r="J214" s="235"/>
      <c r="K214" s="235"/>
      <c r="L214" s="235"/>
      <c r="M214" s="235"/>
      <c r="N214" s="235"/>
      <c r="O214" s="235"/>
      <c r="P214" s="235"/>
      <c r="Q214" s="235"/>
      <c r="R214" s="236"/>
    </row>
    <row r="215" spans="3:18" ht="20.100000000000001" hidden="1" customHeight="1" x14ac:dyDescent="0.2">
      <c r="C215" s="247" t="str">
        <f>I2</f>
        <v>acumulado marzo 2022</v>
      </c>
      <c r="D215" s="248"/>
      <c r="E215" s="248"/>
      <c r="F215" s="248"/>
      <c r="G215" s="248"/>
      <c r="H215" s="248"/>
      <c r="I215" s="248"/>
      <c r="J215" s="248"/>
      <c r="K215" s="248"/>
      <c r="L215" s="248"/>
      <c r="M215" s="248"/>
      <c r="N215" s="248"/>
      <c r="O215" s="248"/>
      <c r="P215" s="248"/>
      <c r="Q215" s="248"/>
      <c r="R215" s="249"/>
    </row>
    <row r="216" spans="3:18" ht="13.5" hidden="1" customHeight="1" x14ac:dyDescent="0.2">
      <c r="C216" s="239"/>
      <c r="D216" s="240" t="s">
        <v>24</v>
      </c>
      <c r="E216" s="241"/>
      <c r="F216" s="240" t="s">
        <v>23</v>
      </c>
      <c r="G216" s="241"/>
      <c r="H216" s="240" t="s">
        <v>22</v>
      </c>
      <c r="I216" s="241"/>
      <c r="J216" s="240" t="s">
        <v>21</v>
      </c>
      <c r="K216" s="241"/>
      <c r="L216" s="240" t="s">
        <v>20</v>
      </c>
      <c r="M216" s="241"/>
      <c r="N216" s="240" t="s">
        <v>62</v>
      </c>
      <c r="O216" s="241"/>
      <c r="P216" s="240" t="s">
        <v>63</v>
      </c>
      <c r="Q216" s="241"/>
    </row>
    <row r="217" spans="3:18" ht="28.5" hidden="1" customHeight="1" x14ac:dyDescent="0.2">
      <c r="C217" s="239"/>
      <c r="D217" s="242" t="s">
        <v>64</v>
      </c>
      <c r="E217" s="242" t="s">
        <v>65</v>
      </c>
      <c r="F217" s="242" t="s">
        <v>64</v>
      </c>
      <c r="G217" s="242"/>
      <c r="H217" s="242" t="s">
        <v>64</v>
      </c>
      <c r="I217" s="242" t="s">
        <v>65</v>
      </c>
      <c r="J217" s="242" t="s">
        <v>64</v>
      </c>
      <c r="K217" s="242" t="s">
        <v>65</v>
      </c>
      <c r="L217" s="242" t="s">
        <v>64</v>
      </c>
      <c r="M217" s="242" t="s">
        <v>65</v>
      </c>
      <c r="N217" s="242" t="s">
        <v>64</v>
      </c>
      <c r="O217" s="242" t="s">
        <v>65</v>
      </c>
      <c r="P217" s="242" t="s">
        <v>64</v>
      </c>
      <c r="Q217" s="242" t="s">
        <v>65</v>
      </c>
    </row>
    <row r="218" spans="3:18" ht="24" hidden="1" customHeight="1" x14ac:dyDescent="0.2">
      <c r="C218" s="243" t="s">
        <v>35</v>
      </c>
      <c r="D218" s="244" t="e">
        <f>VLOOKUP("españa",#REF!,6,FALSE)/VLOOKUP("españa",#REF!,6,FALSE)-1</f>
        <v>#REF!</v>
      </c>
      <c r="E218" s="245" t="e">
        <f>VLOOKUP("españa",#REF!,6,FALSE)</f>
        <v>#REF!</v>
      </c>
      <c r="F218" s="244" t="e">
        <f>VLOOKUP("españa",#REF!,5,FALSE)/VLOOKUP("españa",#REF!,5,FALSE)-1</f>
        <v>#REF!</v>
      </c>
      <c r="G218" s="244"/>
      <c r="H218" s="244" t="e">
        <f>VLOOKUP("españa",#REF!,4,FALSE)/VLOOKUP("españa",#REF!,4,FALSE)-1</f>
        <v>#REF!</v>
      </c>
      <c r="I218" s="245" t="e">
        <f>VLOOKUP("españa",#REF!,4,FALSE)</f>
        <v>#REF!</v>
      </c>
      <c r="J218" s="244" t="e">
        <f>VLOOKUP("españa",#REF!,3,FALSE)/VLOOKUP("españa",#REF!,3,FALSE)-1</f>
        <v>#REF!</v>
      </c>
      <c r="K218" s="245" t="e">
        <f>VLOOKUP("españa",#REF!,3,FALSE)</f>
        <v>#REF!</v>
      </c>
      <c r="L218" s="244" t="e">
        <f>VLOOKUP("españa",#REF!,2,FALSE)/VLOOKUP("españa",#REF!,2,FALSE)-1</f>
        <v>#REF!</v>
      </c>
      <c r="M218" s="245" t="e">
        <f>VLOOKUP("españa",#REF!,2,FALSE)</f>
        <v>#REF!</v>
      </c>
      <c r="N218" s="244" t="e">
        <f>VLOOKUP("españa",#REF!,7,FALSE)/VLOOKUP("españa",#REF!,7,FALSE)-1</f>
        <v>#REF!</v>
      </c>
      <c r="O218" s="245" t="e">
        <f>VLOOKUP("españa",#REF!,7,FALSE)</f>
        <v>#REF!</v>
      </c>
      <c r="P218" s="244" t="e">
        <f>VLOOKUP("españa",#REF!,8,FALSE)/VLOOKUP("españa",#REF!,8,FALSE)-1</f>
        <v>#REF!</v>
      </c>
      <c r="Q218" s="245" t="e">
        <f>VLOOKUP("españa",#REF!,8,FALSE)</f>
        <v>#REF!</v>
      </c>
    </row>
    <row r="219" spans="3:18" ht="24" hidden="1" customHeight="1" x14ac:dyDescent="0.2">
      <c r="C219" s="243" t="s">
        <v>40</v>
      </c>
      <c r="D219" s="244" t="e">
        <f>VLOOKUP("holanda",#REF!,6,FALSE)/VLOOKUP("holanda",#REF!,6,FALSE)-1</f>
        <v>#REF!</v>
      </c>
      <c r="E219" s="245" t="e">
        <f>VLOOKUP("holanda",#REF!,6,FALSE)</f>
        <v>#REF!</v>
      </c>
      <c r="F219" s="244" t="e">
        <f>VLOOKUP("holanda",#REF!,5,FALSE)/VLOOKUP("holanda",#REF!,5,FALSE)-1</f>
        <v>#REF!</v>
      </c>
      <c r="G219" s="244"/>
      <c r="H219" s="244" t="e">
        <f>VLOOKUP("holanda",#REF!,4,FALSE)/VLOOKUP("holanda",#REF!,4,FALSE)-1</f>
        <v>#REF!</v>
      </c>
      <c r="I219" s="245" t="e">
        <f>VLOOKUP("holanda",#REF!,4,FALSE)</f>
        <v>#REF!</v>
      </c>
      <c r="J219" s="244" t="e">
        <f>VLOOKUP("holanda",#REF!,3,FALSE)/VLOOKUP("holanda",#REF!,3,FALSE)-1</f>
        <v>#REF!</v>
      </c>
      <c r="K219" s="245" t="e">
        <f>VLOOKUP("holanda",#REF!,3,FALSE)</f>
        <v>#REF!</v>
      </c>
      <c r="L219" s="244" t="e">
        <f>VLOOKUP("holanda",#REF!,2,FALSE)/VLOOKUP("holanda",#REF!,2,FALSE)-1</f>
        <v>#REF!</v>
      </c>
      <c r="M219" s="245" t="e">
        <f>VLOOKUP("holanda",#REF!,2,FALSE)</f>
        <v>#REF!</v>
      </c>
      <c r="N219" s="244" t="e">
        <f>VLOOKUP("holanda",#REF!,7,FALSE)/VLOOKUP("holanda",#REF!,7,FALSE)-1</f>
        <v>#REF!</v>
      </c>
      <c r="O219" s="245" t="e">
        <f>VLOOKUP("holanda",#REF!,7,FALSE)</f>
        <v>#REF!</v>
      </c>
      <c r="P219" s="244" t="e">
        <f>VLOOKUP("holanda",#REF!,8,FALSE)/VLOOKUP("holanda",#REF!,8,FALSE)-1</f>
        <v>#REF!</v>
      </c>
      <c r="Q219" s="245" t="e">
        <f>VLOOKUP("holanda",#REF!,8,FALSE)</f>
        <v>#REF!</v>
      </c>
    </row>
    <row r="220" spans="3:18" ht="24" hidden="1" customHeight="1" x14ac:dyDescent="0.2">
      <c r="C220" s="243" t="s">
        <v>41</v>
      </c>
      <c r="D220" s="244" t="e">
        <f>VLOOKUP("belgica",#REF!,6,FALSE)/VLOOKUP("belgica",#REF!,6,FALSE)-1</f>
        <v>#REF!</v>
      </c>
      <c r="E220" s="245" t="e">
        <f>VLOOKUP("belgica",#REF!,6,FALSE)</f>
        <v>#REF!</v>
      </c>
      <c r="F220" s="244" t="e">
        <f>VLOOKUP("belgica",#REF!,5,FALSE)/VLOOKUP("belgica",#REF!,5,FALSE)-1</f>
        <v>#REF!</v>
      </c>
      <c r="G220" s="244"/>
      <c r="H220" s="244" t="e">
        <f>VLOOKUP("belgica",#REF!,4,FALSE)/VLOOKUP("belgica",#REF!,4,FALSE)-1</f>
        <v>#REF!</v>
      </c>
      <c r="I220" s="245" t="e">
        <f>VLOOKUP("belgica",#REF!,4,FALSE)</f>
        <v>#REF!</v>
      </c>
      <c r="J220" s="244" t="e">
        <f>VLOOKUP("belgica",#REF!,3,FALSE)/VLOOKUP("belgica",#REF!,3,FALSE)-1</f>
        <v>#REF!</v>
      </c>
      <c r="K220" s="245" t="e">
        <f>VLOOKUP("belgica",#REF!,3,FALSE)</f>
        <v>#REF!</v>
      </c>
      <c r="L220" s="244" t="e">
        <f>VLOOKUP("belgica",#REF!,2,FALSE)/VLOOKUP("belgica",#REF!,2,FALSE)-1</f>
        <v>#REF!</v>
      </c>
      <c r="M220" s="245" t="e">
        <f>VLOOKUP("belgica",#REF!,2,FALSE)</f>
        <v>#REF!</v>
      </c>
      <c r="N220" s="244" t="e">
        <f>VLOOKUP("belgica",#REF!,7,FALSE)/VLOOKUP("belgica",#REF!,7,FALSE)-1</f>
        <v>#REF!</v>
      </c>
      <c r="O220" s="245" t="e">
        <f>VLOOKUP("belgica",#REF!,7,FALSE)</f>
        <v>#REF!</v>
      </c>
      <c r="P220" s="244" t="e">
        <f>VLOOKUP("belgica",#REF!,8,FALSE)/VLOOKUP("belgica",#REF!,8,FALSE)-1</f>
        <v>#REF!</v>
      </c>
      <c r="Q220" s="245" t="e">
        <f>VLOOKUP("belgica",#REF!,8,FALSE)</f>
        <v>#REF!</v>
      </c>
    </row>
    <row r="221" spans="3:18" ht="24" hidden="1" customHeight="1" x14ac:dyDescent="0.2">
      <c r="C221" s="243" t="s">
        <v>42</v>
      </c>
      <c r="D221" s="244" t="e">
        <f>VLOOKUP("alemania",#REF!,6,FALSE)/VLOOKUP("alemania",#REF!,6,FALSE)-1</f>
        <v>#REF!</v>
      </c>
      <c r="E221" s="245" t="e">
        <f>VLOOKUP("alemania",#REF!,6,FALSE)</f>
        <v>#REF!</v>
      </c>
      <c r="F221" s="244" t="e">
        <f>VLOOKUP("alemania",#REF!,5,FALSE)/VLOOKUP("alemania",#REF!,5,FALSE)-1</f>
        <v>#REF!</v>
      </c>
      <c r="G221" s="244"/>
      <c r="H221" s="244" t="e">
        <f>VLOOKUP("alemania",#REF!,4,FALSE)/VLOOKUP("alemania",#REF!,4,FALSE)-1</f>
        <v>#REF!</v>
      </c>
      <c r="I221" s="245" t="e">
        <f>VLOOKUP("alemania",#REF!,4,FALSE)</f>
        <v>#REF!</v>
      </c>
      <c r="J221" s="244" t="e">
        <f>VLOOKUP("alemania",#REF!,3,FALSE)/VLOOKUP("alemania",#REF!,3,FALSE)-1</f>
        <v>#REF!</v>
      </c>
      <c r="K221" s="245" t="e">
        <f>VLOOKUP("alemania",#REF!,3,FALSE)</f>
        <v>#REF!</v>
      </c>
      <c r="L221" s="244" t="e">
        <f>VLOOKUP("alemania",#REF!,2,FALSE)/VLOOKUP("alemania",#REF!,2,FALSE)-1</f>
        <v>#REF!</v>
      </c>
      <c r="M221" s="245" t="e">
        <f>VLOOKUP("alemania",#REF!,2,FALSE)</f>
        <v>#REF!</v>
      </c>
      <c r="N221" s="244" t="e">
        <f>VLOOKUP("alemania",#REF!,7,FALSE)/VLOOKUP("alemania",#REF!,7,FALSE)-1</f>
        <v>#REF!</v>
      </c>
      <c r="O221" s="245" t="e">
        <f>VLOOKUP("alemania",#REF!,7,FALSE)</f>
        <v>#REF!</v>
      </c>
      <c r="P221" s="244" t="e">
        <f>VLOOKUP("alemania",#REF!,8,FALSE)/VLOOKUP("alemania",#REF!,8,FALSE)-1</f>
        <v>#REF!</v>
      </c>
      <c r="Q221" s="245" t="e">
        <f>VLOOKUP("alemania",#REF!,8,FALSE)</f>
        <v>#REF!</v>
      </c>
    </row>
    <row r="222" spans="3:18" ht="24" hidden="1" customHeight="1" x14ac:dyDescent="0.2">
      <c r="C222" s="243" t="s">
        <v>43</v>
      </c>
      <c r="D222" s="244" t="e">
        <f>VLOOKUP("francia",#REF!,6,FALSE)/VLOOKUP("francia",#REF!,6,FALSE)-1</f>
        <v>#REF!</v>
      </c>
      <c r="E222" s="245" t="e">
        <f>VLOOKUP("francia",#REF!,6,FALSE)</f>
        <v>#REF!</v>
      </c>
      <c r="F222" s="244" t="e">
        <f>VLOOKUP("francia",#REF!,5,FALSE)/VLOOKUP("francia",#REF!,5,FALSE)-1</f>
        <v>#REF!</v>
      </c>
      <c r="G222" s="244"/>
      <c r="H222" s="244" t="e">
        <f>VLOOKUP("francia",#REF!,4,FALSE)/VLOOKUP("francia",#REF!,4,FALSE)-1</f>
        <v>#REF!</v>
      </c>
      <c r="I222" s="245" t="e">
        <f>VLOOKUP("francia",#REF!,4,FALSE)</f>
        <v>#REF!</v>
      </c>
      <c r="J222" s="244" t="e">
        <f>VLOOKUP("francia",#REF!,3,FALSE)/VLOOKUP("francia",#REF!,3,FALSE)-1</f>
        <v>#REF!</v>
      </c>
      <c r="K222" s="245" t="e">
        <f>VLOOKUP("francia",#REF!,3,FALSE)</f>
        <v>#REF!</v>
      </c>
      <c r="L222" s="244" t="e">
        <f>VLOOKUP("francia",#REF!,2,FALSE)/VLOOKUP("francia",#REF!,2,FALSE)-1</f>
        <v>#REF!</v>
      </c>
      <c r="M222" s="245" t="e">
        <f>VLOOKUP("francia",#REF!,2,FALSE)</f>
        <v>#REF!</v>
      </c>
      <c r="N222" s="244" t="e">
        <f>VLOOKUP("francia",#REF!,7,FALSE)/VLOOKUP("francia",#REF!,7,FALSE)-1</f>
        <v>#REF!</v>
      </c>
      <c r="O222" s="245" t="e">
        <f>VLOOKUP("francia",#REF!,7,FALSE)</f>
        <v>#REF!</v>
      </c>
      <c r="P222" s="244" t="e">
        <f>VLOOKUP("francia",#REF!,8,FALSE)/VLOOKUP("francia",#REF!,8,FALSE)-1</f>
        <v>#REF!</v>
      </c>
      <c r="Q222" s="245" t="e">
        <f>VLOOKUP("francia",#REF!,8,FALSE)</f>
        <v>#REF!</v>
      </c>
    </row>
    <row r="223" spans="3:18" ht="24" hidden="1" customHeight="1" x14ac:dyDescent="0.2">
      <c r="C223" s="243" t="s">
        <v>44</v>
      </c>
      <c r="D223" s="244" t="e">
        <f>VLOOKUP("reino unido",#REF!,6,FALSE)/VLOOKUP("reino unido",#REF!,6,FALSE)-1</f>
        <v>#REF!</v>
      </c>
      <c r="E223" s="245" t="e">
        <f>VLOOKUP("reino unido",#REF!,6,FALSE)</f>
        <v>#REF!</v>
      </c>
      <c r="F223" s="244" t="e">
        <f>VLOOKUP("reino unido",#REF!,5,FALSE)/VLOOKUP("reino unido",#REF!,5,FALSE)-1</f>
        <v>#REF!</v>
      </c>
      <c r="G223" s="244"/>
      <c r="H223" s="244" t="e">
        <f>VLOOKUP("reino unido",#REF!,4,FALSE)/VLOOKUP("reino unido",#REF!,4,FALSE)-1</f>
        <v>#REF!</v>
      </c>
      <c r="I223" s="245" t="e">
        <f>VLOOKUP("reino unido",#REF!,4,FALSE)</f>
        <v>#REF!</v>
      </c>
      <c r="J223" s="244" t="e">
        <f>VLOOKUP("reino unido",#REF!,3,FALSE)/VLOOKUP("reino unido",#REF!,3,FALSE)-1</f>
        <v>#REF!</v>
      </c>
      <c r="K223" s="245" t="e">
        <f>VLOOKUP("reino unido",#REF!,3,FALSE)</f>
        <v>#REF!</v>
      </c>
      <c r="L223" s="244" t="e">
        <f>VLOOKUP("reino unido",#REF!,2,FALSE)/VLOOKUP("reino unido",#REF!,2,FALSE)-1</f>
        <v>#REF!</v>
      </c>
      <c r="M223" s="245" t="e">
        <f>VLOOKUP("reino unido",#REF!,2,FALSE)</f>
        <v>#REF!</v>
      </c>
      <c r="N223" s="244" t="e">
        <f>VLOOKUP("reino unido",#REF!,7,FALSE)/VLOOKUP("reino unido",#REF!,7,FALSE)-1</f>
        <v>#REF!</v>
      </c>
      <c r="O223" s="245" t="e">
        <f>VLOOKUP("reino unido",#REF!,7,FALSE)</f>
        <v>#REF!</v>
      </c>
      <c r="P223" s="244" t="e">
        <f>VLOOKUP("reino unido",#REF!,8,FALSE)/VLOOKUP("reino unido",#REF!,8,FALSE)-1</f>
        <v>#REF!</v>
      </c>
      <c r="Q223" s="245" t="e">
        <f>VLOOKUP("reino unido",#REF!,8,FALSE)</f>
        <v>#REF!</v>
      </c>
    </row>
    <row r="224" spans="3:18" ht="24" hidden="1" customHeight="1" x14ac:dyDescent="0.2">
      <c r="C224" s="243" t="s">
        <v>45</v>
      </c>
      <c r="D224" s="244" t="e">
        <f>VLOOKUP("irlanda",#REF!,6,FALSE)/VLOOKUP("irlanda",#REF!,6,FALSE)-1</f>
        <v>#REF!</v>
      </c>
      <c r="E224" s="245" t="e">
        <f>VLOOKUP("irlanda",#REF!,6,FALSE)</f>
        <v>#REF!</v>
      </c>
      <c r="F224" s="244" t="e">
        <f>VLOOKUP("irlanda",#REF!,5,FALSE)/VLOOKUP("irlanda",#REF!,5,FALSE)-1</f>
        <v>#REF!</v>
      </c>
      <c r="G224" s="244"/>
      <c r="H224" s="244" t="e">
        <f>VLOOKUP("irlanda",#REF!,4,FALSE)/VLOOKUP("irlanda",#REF!,4,FALSE)-1</f>
        <v>#REF!</v>
      </c>
      <c r="I224" s="245" t="e">
        <f>VLOOKUP("irlanda",#REF!,4,FALSE)</f>
        <v>#REF!</v>
      </c>
      <c r="J224" s="244" t="e">
        <f>VLOOKUP("irlanda",#REF!,3,FALSE)/VLOOKUP("irlanda",#REF!,3,FALSE)-1</f>
        <v>#REF!</v>
      </c>
      <c r="K224" s="245" t="e">
        <f>VLOOKUP("irlanda",#REF!,3,FALSE)</f>
        <v>#REF!</v>
      </c>
      <c r="L224" s="244" t="e">
        <f>VLOOKUP("irlanda",#REF!,2,FALSE)/VLOOKUP("irlanda",#REF!,2,FALSE)-1</f>
        <v>#REF!</v>
      </c>
      <c r="M224" s="245" t="e">
        <f>VLOOKUP("irlanda",#REF!,2,FALSE)</f>
        <v>#REF!</v>
      </c>
      <c r="N224" s="244" t="e">
        <f>VLOOKUP("irlanda",#REF!,7,FALSE)/VLOOKUP("irlanda",#REF!,7,FALSE)-1</f>
        <v>#REF!</v>
      </c>
      <c r="O224" s="245" t="e">
        <f>VLOOKUP("irlanda",#REF!,7,FALSE)</f>
        <v>#REF!</v>
      </c>
      <c r="P224" s="244" t="e">
        <f>VLOOKUP("irlanda",#REF!,8,FALSE)/VLOOKUP("irlanda",#REF!,8,FALSE)-1</f>
        <v>#REF!</v>
      </c>
      <c r="Q224" s="245" t="e">
        <f>VLOOKUP("irlanda",#REF!,8,FALSE)</f>
        <v>#REF!</v>
      </c>
    </row>
    <row r="225" spans="3:17" ht="24" hidden="1" customHeight="1" x14ac:dyDescent="0.2">
      <c r="C225" s="243" t="s">
        <v>46</v>
      </c>
      <c r="D225" s="244" t="e">
        <f>VLOOKUP("italia",#REF!,6,FALSE)/VLOOKUP("italia",#REF!,6,FALSE)-1</f>
        <v>#REF!</v>
      </c>
      <c r="E225" s="245" t="e">
        <f>VLOOKUP("italia",#REF!,6,FALSE)</f>
        <v>#REF!</v>
      </c>
      <c r="F225" s="244" t="e">
        <f>VLOOKUP("italia",#REF!,5,FALSE)/VLOOKUP("italia",#REF!,5,FALSE)-1</f>
        <v>#REF!</v>
      </c>
      <c r="G225" s="244"/>
      <c r="H225" s="244" t="e">
        <f>VLOOKUP("italia",#REF!,4,FALSE)/VLOOKUP("italia",#REF!,4,FALSE)-1</f>
        <v>#REF!</v>
      </c>
      <c r="I225" s="245" t="e">
        <f>VLOOKUP("italia",#REF!,4,FALSE)</f>
        <v>#REF!</v>
      </c>
      <c r="J225" s="244" t="e">
        <f>VLOOKUP("italia",#REF!,3,FALSE)/VLOOKUP("italia",#REF!,3,FALSE)-1</f>
        <v>#REF!</v>
      </c>
      <c r="K225" s="245" t="e">
        <f>VLOOKUP("italia",#REF!,3,FALSE)</f>
        <v>#REF!</v>
      </c>
      <c r="L225" s="244" t="e">
        <f>VLOOKUP("italia",#REF!,2,FALSE)/VLOOKUP("italia",#REF!,2,FALSE)-1</f>
        <v>#REF!</v>
      </c>
      <c r="M225" s="245" t="e">
        <f>VLOOKUP("italia",#REF!,2,FALSE)</f>
        <v>#REF!</v>
      </c>
      <c r="N225" s="244" t="e">
        <f>VLOOKUP("italia",#REF!,7,FALSE)/VLOOKUP("italia",#REF!,7,FALSE)-1</f>
        <v>#REF!</v>
      </c>
      <c r="O225" s="245" t="e">
        <f>VLOOKUP("italia",#REF!,7,FALSE)</f>
        <v>#REF!</v>
      </c>
      <c r="P225" s="244" t="e">
        <f>VLOOKUP("italia",#REF!,8,FALSE)/VLOOKUP("italia",#REF!,8,FALSE)-1</f>
        <v>#REF!</v>
      </c>
      <c r="Q225" s="245" t="e">
        <f>VLOOKUP("italia",#REF!,8,FALSE)</f>
        <v>#REF!</v>
      </c>
    </row>
    <row r="226" spans="3:17" ht="24" hidden="1" customHeight="1" x14ac:dyDescent="0.2">
      <c r="C226" s="243" t="s">
        <v>47</v>
      </c>
      <c r="D226" s="244" t="e">
        <f>(VLOOKUP("suecia",#REF!,6,FALSE)+VLOOKUP("noruega",#REF!,6,FALSE)+VLOOKUP("dinamarca",#REF!,6,FALSE)+VLOOKUP("finlandia",#REF!,6,FALSE))/(VLOOKUP("suecia",#REF!,6,FALSE)+VLOOKUP("noruega",#REF!,6,FALSE)+VLOOKUP("dinamarca",#REF!,6,FALSE)+VLOOKUP("finlandia",#REF!,6,FALSE))-1</f>
        <v>#REF!</v>
      </c>
      <c r="E226" s="245" t="e">
        <f>(VLOOKUP("suecia",#REF!,6,FALSE)+VLOOKUP("noruega",#REF!,6,FALSE)+VLOOKUP("dinamarca",#REF!,6,FALSE)+VLOOKUP("finlandia",#REF!,6,FALSE))</f>
        <v>#REF!</v>
      </c>
      <c r="F226" s="244" t="e">
        <f>(VLOOKUP("suecia",#REF!,5,FALSE)+VLOOKUP("noruega",#REF!,5,FALSE)+VLOOKUP("dinamarca",#REF!,5,FALSE)+VLOOKUP("finlandia",#REF!,5,FALSE))/(VLOOKUP("suecia",#REF!,5,FALSE)+VLOOKUP("noruega",#REF!,5,FALSE)+VLOOKUP("dinamarca",#REF!,5,FALSE)+VLOOKUP("finlandia",#REF!,5,FALSE))-1</f>
        <v>#REF!</v>
      </c>
      <c r="G226" s="244"/>
      <c r="H226" s="244" t="e">
        <f>(VLOOKUP("suecia",#REF!,4,FALSE)+VLOOKUP("noruega",#REF!,4,FALSE)+VLOOKUP("dinamarca",#REF!,4,FALSE)+VLOOKUP("finlandia",#REF!,4,FALSE))/(VLOOKUP("suecia",#REF!,4,FALSE)+VLOOKUP("noruega",#REF!,4,FALSE)+VLOOKUP("dinamarca",#REF!,4,FALSE)+VLOOKUP("finlandia",#REF!,4,FALSE))-1</f>
        <v>#REF!</v>
      </c>
      <c r="I226" s="245" t="e">
        <f>(VLOOKUP("suecia",#REF!,4,FALSE)+VLOOKUP("noruega",#REF!,4,FALSE)+VLOOKUP("dinamarca",#REF!,4,FALSE)+VLOOKUP("finlandia",#REF!,4,FALSE))</f>
        <v>#REF!</v>
      </c>
      <c r="J226" s="244" t="e">
        <f>(VLOOKUP("suecia",#REF!,3,FALSE)+VLOOKUP("noruega",#REF!,3,FALSE)+VLOOKUP("dinamarca",#REF!,3,FALSE)+VLOOKUP("finlandia",#REF!,3,FALSE))/(VLOOKUP("suecia",#REF!,3,FALSE)+VLOOKUP("noruega",#REF!,3,FALSE)+VLOOKUP("dinamarca",#REF!,3,FALSE)+VLOOKUP("finlandia",#REF!,3,FALSE))-1</f>
        <v>#REF!</v>
      </c>
      <c r="K226" s="245" t="e">
        <f>(VLOOKUP("suecia",#REF!,3,FALSE)+VLOOKUP("noruega",#REF!,3,FALSE)+VLOOKUP("dinamarca",#REF!,3,FALSE)+VLOOKUP("finlandia",#REF!,3,FALSE))</f>
        <v>#REF!</v>
      </c>
      <c r="L226" s="244" t="e">
        <f>(VLOOKUP("suecia",#REF!,2,FALSE)+VLOOKUP("noruega",#REF!,2,FALSE)+VLOOKUP("dinamarca",#REF!,2,FALSE)+VLOOKUP("finlandia",#REF!,2,FALSE))/(VLOOKUP("suecia",#REF!,2,FALSE)+VLOOKUP("noruega",#REF!,2,FALSE)+VLOOKUP("dinamarca",#REF!,2,FALSE)+VLOOKUP("finlandia",#REF!,2,FALSE))-1</f>
        <v>#REF!</v>
      </c>
      <c r="M226" s="245" t="e">
        <f>(VLOOKUP("suecia",#REF!,2,FALSE)+VLOOKUP("noruega",#REF!,2,FALSE)+VLOOKUP("dinamarca",#REF!,2,FALSE)+VLOOKUP("finlandia",#REF!,2,FALSE))</f>
        <v>#REF!</v>
      </c>
      <c r="N226" s="244" t="e">
        <f>(VLOOKUP("suecia",#REF!,7,FALSE)+VLOOKUP("noruega",#REF!,7,FALSE)+VLOOKUP("dinamarca",#REF!,7,FALSE)+VLOOKUP("finlandia",#REF!,7,FALSE))/(VLOOKUP("suecia",#REF!,7,FALSE)+VLOOKUP("noruega",#REF!,7,FALSE)+VLOOKUP("dinamarca",#REF!,7,FALSE)+VLOOKUP("finlandia",#REF!,7,FALSE))-1</f>
        <v>#REF!</v>
      </c>
      <c r="O226" s="245" t="e">
        <f>(VLOOKUP("suecia",#REF!,7,FALSE)+VLOOKUP("noruega",#REF!,7,FALSE)+VLOOKUP("dinamarca",#REF!,7,FALSE)+VLOOKUP("finlandia",#REF!,7,FALSE))</f>
        <v>#REF!</v>
      </c>
      <c r="P226" s="244" t="e">
        <f>(VLOOKUP("suecia",#REF!,8,FALSE)+VLOOKUP("noruega",#REF!,8,FALSE)+VLOOKUP("dinamarca",#REF!,8,FALSE)+VLOOKUP("finlandia",#REF!,8,FALSE))/(VLOOKUP("suecia",#REF!,8,FALSE)+VLOOKUP("noruega",#REF!,8,FALSE)+VLOOKUP("dinamarca",#REF!,8,FALSE)+VLOOKUP("finlandia",#REF!,8,FALSE))-1</f>
        <v>#REF!</v>
      </c>
      <c r="Q226" s="245" t="e">
        <f>(VLOOKUP("suecia",#REF!,8,FALSE)+VLOOKUP("noruega",#REF!,8,FALSE)+VLOOKUP("dinamarca",#REF!,8,FALSE)+VLOOKUP("finlandia",#REF!,8,FALSE))</f>
        <v>#REF!</v>
      </c>
    </row>
    <row r="227" spans="3:17" ht="24" hidden="1" customHeight="1" x14ac:dyDescent="0.2">
      <c r="C227" s="246" t="s">
        <v>48</v>
      </c>
      <c r="D227" s="244" t="e">
        <f>VLOOKUP("suecia",#REF!,6,FALSE)/VLOOKUP("suecia",#REF!,6,FALSE)-1</f>
        <v>#REF!</v>
      </c>
      <c r="E227" s="245" t="e">
        <f>VLOOKUP("suecia",#REF!,6,FALSE)</f>
        <v>#REF!</v>
      </c>
      <c r="F227" s="244" t="e">
        <f>VLOOKUP("suecia",#REF!,5,FALSE)/VLOOKUP("suecia",#REF!,5,FALSE)-1</f>
        <v>#REF!</v>
      </c>
      <c r="G227" s="244"/>
      <c r="H227" s="244" t="e">
        <f>VLOOKUP("suecia",#REF!,4,FALSE)/VLOOKUP("suecia",#REF!,4,FALSE)-1</f>
        <v>#REF!</v>
      </c>
      <c r="I227" s="245" t="e">
        <f>VLOOKUP("suecia",#REF!,4,FALSE)</f>
        <v>#REF!</v>
      </c>
      <c r="J227" s="244" t="e">
        <f>VLOOKUP("suecia",#REF!,3,FALSE)/VLOOKUP("suecia",#REF!,3,FALSE)-1</f>
        <v>#REF!</v>
      </c>
      <c r="K227" s="245" t="e">
        <f>VLOOKUP("suecia",#REF!,3,FALSE)</f>
        <v>#REF!</v>
      </c>
      <c r="L227" s="244" t="e">
        <f>VLOOKUP("suecia",#REF!,2,FALSE)/VLOOKUP("suecia",#REF!,2,FALSE)-1</f>
        <v>#REF!</v>
      </c>
      <c r="M227" s="245" t="e">
        <f>VLOOKUP("suecia",#REF!,2,FALSE)</f>
        <v>#REF!</v>
      </c>
      <c r="N227" s="244" t="e">
        <f>VLOOKUP("suecia",#REF!,7,FALSE)/VLOOKUP("suecia",#REF!,7,FALSE)-1</f>
        <v>#REF!</v>
      </c>
      <c r="O227" s="245" t="e">
        <f>VLOOKUP("suecia",#REF!,7,FALSE)</f>
        <v>#REF!</v>
      </c>
      <c r="P227" s="244" t="e">
        <f>VLOOKUP("suecia",#REF!,8,FALSE)/VLOOKUP("suecia",#REF!,8,FALSE)-1</f>
        <v>#REF!</v>
      </c>
      <c r="Q227" s="245" t="e">
        <f>VLOOKUP("suecia",#REF!,8,FALSE)</f>
        <v>#REF!</v>
      </c>
    </row>
    <row r="228" spans="3:17" ht="24" hidden="1" customHeight="1" x14ac:dyDescent="0.2">
      <c r="C228" s="246" t="s">
        <v>49</v>
      </c>
      <c r="D228" s="244" t="e">
        <f>VLOOKUP("noruega",#REF!,6,FALSE)/VLOOKUP("noruega",#REF!,6,FALSE)-1</f>
        <v>#REF!</v>
      </c>
      <c r="E228" s="245" t="e">
        <f>VLOOKUP("noruega",#REF!,6,FALSE)</f>
        <v>#REF!</v>
      </c>
      <c r="F228" s="244" t="e">
        <f>VLOOKUP("noruega",#REF!,5,FALSE)/VLOOKUP("noruega",#REF!,5,FALSE)-1</f>
        <v>#REF!</v>
      </c>
      <c r="G228" s="244"/>
      <c r="H228" s="244" t="e">
        <f>VLOOKUP("noruega",#REF!,4,FALSE)/VLOOKUP("noruega",#REF!,4,FALSE)-1</f>
        <v>#REF!</v>
      </c>
      <c r="I228" s="245" t="e">
        <f>VLOOKUP("noruega",#REF!,4,FALSE)</f>
        <v>#REF!</v>
      </c>
      <c r="J228" s="244" t="e">
        <f>VLOOKUP("noruega",#REF!,3,FALSE)/VLOOKUP("noruega",#REF!,3,FALSE)-1</f>
        <v>#REF!</v>
      </c>
      <c r="K228" s="245" t="e">
        <f>VLOOKUP("noruega",#REF!,3,FALSE)</f>
        <v>#REF!</v>
      </c>
      <c r="L228" s="244" t="e">
        <f>VLOOKUP("noruega",#REF!,2,FALSE)/VLOOKUP("noruega",#REF!,2,FALSE)-1</f>
        <v>#REF!</v>
      </c>
      <c r="M228" s="245" t="e">
        <f>VLOOKUP("noruega",#REF!,2,FALSE)</f>
        <v>#REF!</v>
      </c>
      <c r="N228" s="244" t="e">
        <f>VLOOKUP("noruega",#REF!,7,FALSE)/VLOOKUP("noruega",#REF!,7,FALSE)-1</f>
        <v>#REF!</v>
      </c>
      <c r="O228" s="245" t="e">
        <f>VLOOKUP("noruega",#REF!,7,FALSE)</f>
        <v>#REF!</v>
      </c>
      <c r="P228" s="244" t="e">
        <f>VLOOKUP("noruega",#REF!,8,FALSE)/VLOOKUP("noruega",#REF!,8,FALSE)-1</f>
        <v>#REF!</v>
      </c>
      <c r="Q228" s="245" t="e">
        <f>VLOOKUP("noruega",#REF!,8,FALSE)</f>
        <v>#REF!</v>
      </c>
    </row>
    <row r="229" spans="3:17" ht="24" hidden="1" customHeight="1" x14ac:dyDescent="0.2">
      <c r="C229" s="246" t="s">
        <v>50</v>
      </c>
      <c r="D229" s="244" t="e">
        <f>VLOOKUP("dinamarca",#REF!,6,FALSE)/VLOOKUP("dinamarca",#REF!,6,FALSE)-1</f>
        <v>#REF!</v>
      </c>
      <c r="E229" s="245" t="e">
        <f>VLOOKUP("dinamarca",#REF!,6,FALSE)</f>
        <v>#REF!</v>
      </c>
      <c r="F229" s="244" t="e">
        <f>VLOOKUP("dinamarca",#REF!,5,FALSE)/VLOOKUP("dinamarca",#REF!,5,FALSE)-1</f>
        <v>#REF!</v>
      </c>
      <c r="G229" s="244"/>
      <c r="H229" s="244" t="e">
        <f>VLOOKUP("dinamarca",#REF!,4,FALSE)/VLOOKUP("dinamarca",#REF!,4,FALSE)-1</f>
        <v>#REF!</v>
      </c>
      <c r="I229" s="245" t="e">
        <f>VLOOKUP("dinamarca",#REF!,4,FALSE)</f>
        <v>#REF!</v>
      </c>
      <c r="J229" s="244" t="e">
        <f>VLOOKUP("dinamarca",#REF!,3,FALSE)/VLOOKUP("dinamarca",#REF!,3,FALSE)-1</f>
        <v>#REF!</v>
      </c>
      <c r="K229" s="245" t="e">
        <f>VLOOKUP("dinamarca",#REF!,3,FALSE)</f>
        <v>#REF!</v>
      </c>
      <c r="L229" s="244" t="e">
        <f>VLOOKUP("dinamarca",#REF!,2,FALSE)/VLOOKUP("dinamarca",#REF!,2,FALSE)-1</f>
        <v>#REF!</v>
      </c>
      <c r="M229" s="245" t="e">
        <f>VLOOKUP("dinamarca",#REF!,2,FALSE)</f>
        <v>#REF!</v>
      </c>
      <c r="N229" s="244" t="e">
        <f>VLOOKUP("dinamarca",#REF!,7,FALSE)/VLOOKUP("dinamarca",#REF!,7,FALSE)-1</f>
        <v>#REF!</v>
      </c>
      <c r="O229" s="245" t="e">
        <f>VLOOKUP("dinamarca",#REF!,7,FALSE)</f>
        <v>#REF!</v>
      </c>
      <c r="P229" s="244" t="e">
        <f>VLOOKUP("dinamarca",#REF!,8,FALSE)/VLOOKUP("dinamarca",#REF!,8,FALSE)-1</f>
        <v>#REF!</v>
      </c>
      <c r="Q229" s="245" t="e">
        <f>VLOOKUP("dinamarca",#REF!,8,FALSE)</f>
        <v>#REF!</v>
      </c>
    </row>
    <row r="230" spans="3:17" ht="24" hidden="1" customHeight="1" x14ac:dyDescent="0.2">
      <c r="C230" s="246" t="s">
        <v>51</v>
      </c>
      <c r="D230" s="244" t="s">
        <v>37</v>
      </c>
      <c r="E230" s="245" t="e">
        <f>VLOOKUP("finlandia",#REF!,6,FALSE)</f>
        <v>#REF!</v>
      </c>
      <c r="F230" s="244" t="e">
        <f>VLOOKUP("finlandia",#REF!,5,FALSE)/VLOOKUP("finlandia",#REF!,5,FALSE)-1</f>
        <v>#REF!</v>
      </c>
      <c r="G230" s="244"/>
      <c r="H230" s="244" t="e">
        <f>VLOOKUP("finlandia",#REF!,4,FALSE)/VLOOKUP("finlandia",#REF!,4,FALSE)-1</f>
        <v>#REF!</v>
      </c>
      <c r="I230" s="245" t="e">
        <f>VLOOKUP("finlandia",#REF!,4,FALSE)</f>
        <v>#REF!</v>
      </c>
      <c r="J230" s="244" t="e">
        <f>VLOOKUP("finlandia",#REF!,3,FALSE)/VLOOKUP("finlandia",#REF!,3,FALSE)-1</f>
        <v>#REF!</v>
      </c>
      <c r="K230" s="245" t="e">
        <f>VLOOKUP("finlandia",#REF!,3,FALSE)</f>
        <v>#REF!</v>
      </c>
      <c r="L230" s="244" t="s">
        <v>37</v>
      </c>
      <c r="M230" s="245" t="e">
        <f>VLOOKUP("finlandia",#REF!,2,FALSE)</f>
        <v>#REF!</v>
      </c>
      <c r="N230" s="244" t="e">
        <f>VLOOKUP("finlandia",#REF!,7,FALSE)/VLOOKUP("finlandia",#REF!,7,FALSE)-1</f>
        <v>#REF!</v>
      </c>
      <c r="O230" s="245" t="e">
        <f>VLOOKUP("finlandia",#REF!,7,FALSE)</f>
        <v>#REF!</v>
      </c>
      <c r="P230" s="244" t="e">
        <f>VLOOKUP("finlandia",#REF!,8,FALSE)/VLOOKUP("finlandia",#REF!,8,FALSE)-1</f>
        <v>#REF!</v>
      </c>
      <c r="Q230" s="245" t="e">
        <f>VLOOKUP("finlandia",#REF!,8,FALSE)</f>
        <v>#REF!</v>
      </c>
    </row>
    <row r="231" spans="3:17" ht="24" hidden="1" customHeight="1" x14ac:dyDescent="0.2">
      <c r="C231" s="243" t="s">
        <v>52</v>
      </c>
      <c r="D231" s="244" t="e">
        <f>VLOOKUP("suiza",#REF!,6,FALSE)/VLOOKUP("suiza",#REF!,6,FALSE)-1</f>
        <v>#REF!</v>
      </c>
      <c r="E231" s="245" t="e">
        <f>VLOOKUP("suiza",#REF!,6,FALSE)</f>
        <v>#REF!</v>
      </c>
      <c r="F231" s="244" t="e">
        <f>VLOOKUP("suiza",#REF!,5,FALSE)/VLOOKUP("suiza",#REF!,5,FALSE)-1</f>
        <v>#REF!</v>
      </c>
      <c r="G231" s="244"/>
      <c r="H231" s="244" t="e">
        <f>VLOOKUP("suiza",#REF!,4,FALSE)/VLOOKUP("suiza",#REF!,4,FALSE)-1</f>
        <v>#REF!</v>
      </c>
      <c r="I231" s="245" t="e">
        <f>VLOOKUP("suiza",#REF!,4,FALSE)</f>
        <v>#REF!</v>
      </c>
      <c r="J231" s="244" t="e">
        <f>VLOOKUP("suiza",#REF!,3,FALSE)/VLOOKUP("suiza",#REF!,3,FALSE)-1</f>
        <v>#REF!</v>
      </c>
      <c r="K231" s="245" t="e">
        <f>VLOOKUP("suiza",#REF!,3,FALSE)</f>
        <v>#REF!</v>
      </c>
      <c r="L231" s="244" t="e">
        <f>VLOOKUP("suiza",#REF!,2,FALSE)/VLOOKUP("suiza",#REF!,2,FALSE)-1</f>
        <v>#REF!</v>
      </c>
      <c r="M231" s="245" t="e">
        <f>VLOOKUP("suiza",#REF!,2,FALSE)</f>
        <v>#REF!</v>
      </c>
      <c r="N231" s="244" t="e">
        <f>VLOOKUP("suiza",#REF!,7,FALSE)/VLOOKUP("suiza",#REF!,7,FALSE)-1</f>
        <v>#REF!</v>
      </c>
      <c r="O231" s="245" t="e">
        <f>VLOOKUP("suiza",#REF!,7,FALSE)</f>
        <v>#REF!</v>
      </c>
      <c r="P231" s="244" t="e">
        <f>VLOOKUP("suiza",#REF!,8,FALSE)/VLOOKUP("suiza",#REF!,8,FALSE)-1</f>
        <v>#REF!</v>
      </c>
      <c r="Q231" s="245" t="e">
        <f>VLOOKUP("suiza",#REF!,8,FALSE)</f>
        <v>#REF!</v>
      </c>
    </row>
    <row r="232" spans="3:17" ht="24" hidden="1" customHeight="1" x14ac:dyDescent="0.2">
      <c r="C232" s="243" t="s">
        <v>53</v>
      </c>
      <c r="D232" s="244" t="e">
        <f>VLOOKUP("austria",#REF!,6,FALSE)/VLOOKUP("austria",#REF!,6,FALSE)-1</f>
        <v>#REF!</v>
      </c>
      <c r="E232" s="245" t="e">
        <f>VLOOKUP("austria",#REF!,6,FALSE)</f>
        <v>#REF!</v>
      </c>
      <c r="F232" s="244" t="e">
        <f>VLOOKUP("austria",#REF!,5,FALSE)/VLOOKUP("austria",#REF!,5,FALSE)-1</f>
        <v>#REF!</v>
      </c>
      <c r="G232" s="244"/>
      <c r="H232" s="244" t="e">
        <f>VLOOKUP("austria",#REF!,4,FALSE)/VLOOKUP("austria",#REF!,4,FALSE)-1</f>
        <v>#REF!</v>
      </c>
      <c r="I232" s="245" t="e">
        <f>VLOOKUP("austria",#REF!,4,FALSE)</f>
        <v>#REF!</v>
      </c>
      <c r="J232" s="244" t="e">
        <f>VLOOKUP("austria",#REF!,3,FALSE)/VLOOKUP("austria",#REF!,3,FALSE)-1</f>
        <v>#REF!</v>
      </c>
      <c r="K232" s="245" t="e">
        <f>VLOOKUP("austria",#REF!,3,FALSE)</f>
        <v>#REF!</v>
      </c>
      <c r="L232" s="244" t="e">
        <f>VLOOKUP("austria",#REF!,2,FALSE)/VLOOKUP("austria",#REF!,2,FALSE)-1</f>
        <v>#REF!</v>
      </c>
      <c r="M232" s="245" t="e">
        <f>VLOOKUP("austria",#REF!,2,FALSE)</f>
        <v>#REF!</v>
      </c>
      <c r="N232" s="244" t="e">
        <f>VLOOKUP("austria",#REF!,7,FALSE)/VLOOKUP("austria",#REF!,7,FALSE)-1</f>
        <v>#REF!</v>
      </c>
      <c r="O232" s="245" t="e">
        <f>VLOOKUP("austria",#REF!,7,FALSE)</f>
        <v>#REF!</v>
      </c>
      <c r="P232" s="244" t="e">
        <f>VLOOKUP("austria",#REF!,8,FALSE)/VLOOKUP("austria",#REF!,8,FALSE)-1</f>
        <v>#REF!</v>
      </c>
      <c r="Q232" s="245" t="e">
        <f>VLOOKUP("austria",#REF!,8,FALSE)</f>
        <v>#REF!</v>
      </c>
    </row>
    <row r="233" spans="3:17" ht="24" hidden="1" customHeight="1" x14ac:dyDescent="0.2">
      <c r="C233" s="243" t="s">
        <v>54</v>
      </c>
      <c r="D233" s="244" t="e">
        <f>VLOOKUP("rusia",#REF!,6,FALSE)/VLOOKUP("rusia",#REF!,6,FALSE)-1</f>
        <v>#REF!</v>
      </c>
      <c r="E233" s="245" t="e">
        <f>VLOOKUP("rusia",#REF!,6,FALSE)</f>
        <v>#REF!</v>
      </c>
      <c r="F233" s="244" t="e">
        <f>VLOOKUP("rusia",#REF!,5,FALSE)/VLOOKUP("rusia",#REF!,5,FALSE)-1</f>
        <v>#REF!</v>
      </c>
      <c r="G233" s="244"/>
      <c r="H233" s="244" t="e">
        <f>VLOOKUP("rusia",#REF!,4,FALSE)/VLOOKUP("rusia",#REF!,4,FALSE)-1</f>
        <v>#REF!</v>
      </c>
      <c r="I233" s="245" t="e">
        <f>VLOOKUP("rusia",#REF!,4,FALSE)</f>
        <v>#REF!</v>
      </c>
      <c r="J233" s="244" t="e">
        <f>VLOOKUP("rusia",#REF!,3,FALSE)/VLOOKUP("rusia",#REF!,3,FALSE)-1</f>
        <v>#REF!</v>
      </c>
      <c r="K233" s="245" t="e">
        <f>VLOOKUP("rusia",#REF!,3,FALSE)</f>
        <v>#REF!</v>
      </c>
      <c r="L233" s="244" t="e">
        <f>VLOOKUP("rusia",#REF!,2,FALSE)/VLOOKUP("rusia",#REF!,2,FALSE)-1</f>
        <v>#REF!</v>
      </c>
      <c r="M233" s="245" t="e">
        <f>VLOOKUP("rusia",#REF!,2,FALSE)</f>
        <v>#REF!</v>
      </c>
      <c r="N233" s="244" t="e">
        <f>VLOOKUP("rusia",#REF!,7,FALSE)/VLOOKUP("rusia",#REF!,7,FALSE)-1</f>
        <v>#REF!</v>
      </c>
      <c r="O233" s="245" t="e">
        <f>VLOOKUP("rusia",#REF!,7,FALSE)</f>
        <v>#REF!</v>
      </c>
      <c r="P233" s="244" t="e">
        <f>VLOOKUP("rusia",#REF!,8,FALSE)/VLOOKUP("rusia",#REF!,8,FALSE)-1</f>
        <v>#REF!</v>
      </c>
      <c r="Q233" s="245" t="e">
        <f>VLOOKUP("rusia",#REF!,8,FALSE)</f>
        <v>#REF!</v>
      </c>
    </row>
    <row r="234" spans="3:17" ht="24" hidden="1" customHeight="1" x14ac:dyDescent="0.2">
      <c r="C234" s="243" t="s">
        <v>55</v>
      </c>
      <c r="D234" s="244" t="e">
        <f>VLOOKUP("paises del este",#REF!,6,FALSE)/VLOOKUP("paises del este",#REF!,6,FALSE)-1</f>
        <v>#REF!</v>
      </c>
      <c r="E234" s="245" t="e">
        <f>VLOOKUP("paises del este",#REF!,6,FALSE)</f>
        <v>#REF!</v>
      </c>
      <c r="F234" s="244" t="e">
        <f>VLOOKUP("paises del este",#REF!,5,FALSE)/VLOOKUP("paises del este",#REF!,5,FALSE)-1</f>
        <v>#REF!</v>
      </c>
      <c r="G234" s="244"/>
      <c r="H234" s="244" t="e">
        <f>VLOOKUP("paises del este",#REF!,4,FALSE)/VLOOKUP("paises del este",#REF!,4,FALSE)-1</f>
        <v>#REF!</v>
      </c>
      <c r="I234" s="245" t="e">
        <f>VLOOKUP("paises del este",#REF!,4,FALSE)</f>
        <v>#REF!</v>
      </c>
      <c r="J234" s="244" t="e">
        <f>VLOOKUP("paises del este",#REF!,3,FALSE)/VLOOKUP("paises del este",#REF!,3,FALSE)-1</f>
        <v>#REF!</v>
      </c>
      <c r="K234" s="245" t="e">
        <f>VLOOKUP("paises del este",#REF!,3,FALSE)</f>
        <v>#REF!</v>
      </c>
      <c r="L234" s="244" t="e">
        <f>VLOOKUP("paises del este",#REF!,2,FALSE)/VLOOKUP("paises del este",#REF!,2,FALSE)-1</f>
        <v>#REF!</v>
      </c>
      <c r="M234" s="245" t="e">
        <f>VLOOKUP("paises del este",#REF!,2,FALSE)</f>
        <v>#REF!</v>
      </c>
      <c r="N234" s="244" t="e">
        <f>VLOOKUP("paises del este",#REF!,7,FALSE)/VLOOKUP("paises del este",#REF!,7,FALSE)-1</f>
        <v>#REF!</v>
      </c>
      <c r="O234" s="245" t="e">
        <f>VLOOKUP("paises del este",#REF!,7,FALSE)</f>
        <v>#REF!</v>
      </c>
      <c r="P234" s="244" t="e">
        <f>VLOOKUP("paises del este",#REF!,8,FALSE)/VLOOKUP("paises del este",#REF!,8,FALSE)-1</f>
        <v>#REF!</v>
      </c>
      <c r="Q234" s="245" t="e">
        <f>VLOOKUP("paises del este",#REF!,8,FALSE)</f>
        <v>#REF!</v>
      </c>
    </row>
    <row r="235" spans="3:17" ht="24" hidden="1" customHeight="1" x14ac:dyDescent="0.2">
      <c r="C235" s="243" t="s">
        <v>56</v>
      </c>
      <c r="D235" s="244" t="e">
        <f>VLOOKUP("resto de europa",#REF!,6,FALSE)/VLOOKUP("resto de europa",#REF!,6,FALSE)-1</f>
        <v>#REF!</v>
      </c>
      <c r="E235" s="245" t="e">
        <f>VLOOKUP("resto de europa",#REF!,6,FALSE)</f>
        <v>#REF!</v>
      </c>
      <c r="F235" s="244" t="e">
        <f>VLOOKUP("resto de europa",#REF!,5,FALSE)/VLOOKUP("resto de europa",#REF!,5,FALSE)-1</f>
        <v>#REF!</v>
      </c>
      <c r="G235" s="244"/>
      <c r="H235" s="244" t="e">
        <f>VLOOKUP("resto de europa",#REF!,4,FALSE)/VLOOKUP("resto de europa",#REF!,4,FALSE)-1</f>
        <v>#REF!</v>
      </c>
      <c r="I235" s="245" t="e">
        <f>VLOOKUP("resto de europa",#REF!,4,FALSE)</f>
        <v>#REF!</v>
      </c>
      <c r="J235" s="244" t="e">
        <f>VLOOKUP("resto de europa",#REF!,3,FALSE)/VLOOKUP("resto de europa",#REF!,3,FALSE)-1</f>
        <v>#REF!</v>
      </c>
      <c r="K235" s="245" t="e">
        <f>VLOOKUP("resto de europa",#REF!,3,FALSE)</f>
        <v>#REF!</v>
      </c>
      <c r="L235" s="244" t="e">
        <f>VLOOKUP("resto de europa",#REF!,2,FALSE)/VLOOKUP("resto de europa",#REF!,2,FALSE)-1</f>
        <v>#REF!</v>
      </c>
      <c r="M235" s="245" t="e">
        <f>VLOOKUP("resto de europa",#REF!,2,FALSE)</f>
        <v>#REF!</v>
      </c>
      <c r="N235" s="244" t="e">
        <f>VLOOKUP("resto de europa",#REF!,7,FALSE)/VLOOKUP("resto de europa",#REF!,7,FALSE)-1</f>
        <v>#REF!</v>
      </c>
      <c r="O235" s="245" t="e">
        <f>VLOOKUP("resto de europa",#REF!,7,FALSE)</f>
        <v>#REF!</v>
      </c>
      <c r="P235" s="244" t="e">
        <f>VLOOKUP("resto de europa",#REF!,8,FALSE)/VLOOKUP("resto de europa",#REF!,8,FALSE)-1</f>
        <v>#REF!</v>
      </c>
      <c r="Q235" s="245" t="e">
        <f>VLOOKUP("resto de europa",#REF!,8,FALSE)</f>
        <v>#REF!</v>
      </c>
    </row>
    <row r="236" spans="3:17" ht="24" hidden="1" customHeight="1" x14ac:dyDescent="0.2">
      <c r="C236" s="243" t="s">
        <v>57</v>
      </c>
      <c r="D236" s="244" t="e">
        <f>VLOOKUP("usa",#REF!,6,FALSE)/VLOOKUP("usa",#REF!,6,FALSE)-1</f>
        <v>#REF!</v>
      </c>
      <c r="E236" s="245" t="e">
        <f>VLOOKUP("usa",#REF!,6,FALSE)</f>
        <v>#REF!</v>
      </c>
      <c r="F236" s="244" t="e">
        <f>VLOOKUP("usa",#REF!,5,FALSE)/VLOOKUP("usa",#REF!,5,FALSE)-1</f>
        <v>#REF!</v>
      </c>
      <c r="G236" s="244"/>
      <c r="H236" s="244" t="e">
        <f>VLOOKUP("usa",#REF!,4,FALSE)/VLOOKUP("usa",#REF!,4,FALSE)-1</f>
        <v>#REF!</v>
      </c>
      <c r="I236" s="245" t="e">
        <f>VLOOKUP("usa",#REF!,4,FALSE)</f>
        <v>#REF!</v>
      </c>
      <c r="J236" s="244" t="e">
        <f>VLOOKUP("usa",#REF!,3,FALSE)/VLOOKUP("usa",#REF!,3,FALSE)-1</f>
        <v>#REF!</v>
      </c>
      <c r="K236" s="245" t="e">
        <f>VLOOKUP("usa",#REF!,3,FALSE)</f>
        <v>#REF!</v>
      </c>
      <c r="L236" s="244" t="e">
        <f>VLOOKUP("usa",#REF!,2,FALSE)/VLOOKUP("usa",#REF!,2,FALSE)-1</f>
        <v>#REF!</v>
      </c>
      <c r="M236" s="245" t="e">
        <f>VLOOKUP("usa",#REF!,2,FALSE)</f>
        <v>#REF!</v>
      </c>
      <c r="N236" s="244" t="e">
        <f>VLOOKUP("usa",#REF!,7,FALSE)/VLOOKUP("usa",#REF!,7,FALSE)-1</f>
        <v>#REF!</v>
      </c>
      <c r="O236" s="245" t="e">
        <f>VLOOKUP("usa",#REF!,7,FALSE)</f>
        <v>#REF!</v>
      </c>
      <c r="P236" s="244" t="e">
        <f>VLOOKUP("usa",#REF!,8,FALSE)/VLOOKUP("usa",#REF!,8,FALSE)-1</f>
        <v>#REF!</v>
      </c>
      <c r="Q236" s="245" t="e">
        <f>VLOOKUP("usa",#REF!,8,FALSE)</f>
        <v>#REF!</v>
      </c>
    </row>
    <row r="237" spans="3:17" ht="24" hidden="1" customHeight="1" x14ac:dyDescent="0.2">
      <c r="C237" s="243" t="s">
        <v>58</v>
      </c>
      <c r="D237" s="244" t="e">
        <f>VLOOKUP("resto de america",#REF!,6,FALSE)/VLOOKUP("resto de america",#REF!,6,FALSE)-1</f>
        <v>#REF!</v>
      </c>
      <c r="E237" s="245" t="e">
        <f>VLOOKUP("resto de america",#REF!,6,FALSE)</f>
        <v>#REF!</v>
      </c>
      <c r="F237" s="244" t="e">
        <f>VLOOKUP("resto de america",#REF!,5,FALSE)/VLOOKUP("resto de america",#REF!,5,FALSE)-1</f>
        <v>#REF!</v>
      </c>
      <c r="G237" s="244"/>
      <c r="H237" s="244" t="e">
        <f>VLOOKUP("resto de america",#REF!,4,FALSE)/VLOOKUP("resto de america",#REF!,4,FALSE)-1</f>
        <v>#REF!</v>
      </c>
      <c r="I237" s="245" t="e">
        <f>VLOOKUP("resto de america",#REF!,4,FALSE)</f>
        <v>#REF!</v>
      </c>
      <c r="J237" s="244" t="e">
        <f>VLOOKUP("resto de america",#REF!,3,FALSE)/VLOOKUP("resto de america",#REF!,3,FALSE)-1</f>
        <v>#REF!</v>
      </c>
      <c r="K237" s="245" t="e">
        <f>VLOOKUP("resto de america",#REF!,3,FALSE)</f>
        <v>#REF!</v>
      </c>
      <c r="L237" s="244" t="e">
        <f>VLOOKUP("resto de america",#REF!,2,FALSE)/VLOOKUP("resto de america",#REF!,2,FALSE)-1</f>
        <v>#REF!</v>
      </c>
      <c r="M237" s="245" t="e">
        <f>VLOOKUP("resto de america",#REF!,2,FALSE)</f>
        <v>#REF!</v>
      </c>
      <c r="N237" s="244" t="e">
        <f>VLOOKUP("resto de america",#REF!,7,FALSE)/VLOOKUP("resto de america",#REF!,7,FALSE)-1</f>
        <v>#REF!</v>
      </c>
      <c r="O237" s="245" t="e">
        <f>VLOOKUP("resto de america",#REF!,7,FALSE)</f>
        <v>#REF!</v>
      </c>
      <c r="P237" s="244" t="e">
        <f>VLOOKUP("resto de america",#REF!,8,FALSE)/VLOOKUP("resto de america",#REF!,8,FALSE)-1</f>
        <v>#REF!</v>
      </c>
      <c r="Q237" s="245" t="e">
        <f>VLOOKUP("resto de america",#REF!,8,FALSE)</f>
        <v>#REF!</v>
      </c>
    </row>
    <row r="238" spans="3:17" ht="24" hidden="1" customHeight="1" x14ac:dyDescent="0.2">
      <c r="C238" s="243" t="s">
        <v>59</v>
      </c>
      <c r="D238" s="244" t="e">
        <f>VLOOKUP("resto del mundo",#REF!,6,FALSE)/VLOOKUP("resto del mundo",#REF!,6,FALSE)-1</f>
        <v>#REF!</v>
      </c>
      <c r="E238" s="245" t="e">
        <f>VLOOKUP("resto del mundo",#REF!,6,FALSE)</f>
        <v>#REF!</v>
      </c>
      <c r="F238" s="244" t="e">
        <f>VLOOKUP("resto del mundo",#REF!,5,FALSE)/VLOOKUP("resto del mundo",#REF!,5,FALSE)-1</f>
        <v>#REF!</v>
      </c>
      <c r="G238" s="244"/>
      <c r="H238" s="244" t="e">
        <f>VLOOKUP("resto del mundo",#REF!,4,FALSE)/VLOOKUP("resto del mundo",#REF!,4,FALSE)-1</f>
        <v>#REF!</v>
      </c>
      <c r="I238" s="245" t="e">
        <f>VLOOKUP("resto del mundo",#REF!,4,FALSE)</f>
        <v>#REF!</v>
      </c>
      <c r="J238" s="244" t="e">
        <f>VLOOKUP("resto del mundo",#REF!,3,FALSE)/VLOOKUP("resto del mundo",#REF!,3,FALSE)-1</f>
        <v>#REF!</v>
      </c>
      <c r="K238" s="245" t="e">
        <f>VLOOKUP("resto del mundo",#REF!,3,FALSE)</f>
        <v>#REF!</v>
      </c>
      <c r="L238" s="244" t="e">
        <f>VLOOKUP("resto del mundo",#REF!,2,FALSE)/VLOOKUP("resto del mundo",#REF!,2,FALSE)-1</f>
        <v>#REF!</v>
      </c>
      <c r="M238" s="245" t="e">
        <f>VLOOKUP("resto del mundo",#REF!,2,FALSE)</f>
        <v>#REF!</v>
      </c>
      <c r="N238" s="244" t="e">
        <f>VLOOKUP("resto del mundo",#REF!,7,FALSE)/VLOOKUP("resto del mundo",#REF!,7,FALSE)-1</f>
        <v>#REF!</v>
      </c>
      <c r="O238" s="245" t="e">
        <f>VLOOKUP("resto del mundo",#REF!,7,FALSE)</f>
        <v>#REF!</v>
      </c>
      <c r="P238" s="244" t="e">
        <f>VLOOKUP("resto del mundo",#REF!,8,FALSE)/VLOOKUP("resto del mundo",#REF!,8,FALSE)-1</f>
        <v>#REF!</v>
      </c>
      <c r="Q238" s="245" t="e">
        <f>VLOOKUP("resto del mundo",#REF!,8,FALSE)</f>
        <v>#REF!</v>
      </c>
    </row>
    <row r="239" spans="3:17" ht="24" hidden="1" customHeight="1" x14ac:dyDescent="0.2">
      <c r="C239" s="243" t="s">
        <v>60</v>
      </c>
      <c r="D239" s="244" t="e">
        <f>(VLOOKUP("total",#REF!,6,FALSE)-VLOOKUP("españa",#REF!,6,FALSE))/(VLOOKUP("total",#REF!,6,FALSE)-VLOOKUP("españa",#REF!,6,FALSE))-1</f>
        <v>#REF!</v>
      </c>
      <c r="E239" s="245" t="e">
        <f>VLOOKUP("total",#REF!,6,FALSE)-VLOOKUP("españa",#REF!,6,FALSE)</f>
        <v>#REF!</v>
      </c>
      <c r="F239" s="244" t="e">
        <f>(VLOOKUP("total",#REF!,5,FALSE)-VLOOKUP("españa",#REF!,5,FALSE))/(VLOOKUP("total",#REF!,5,FALSE)-VLOOKUP("españa",#REF!,5,FALSE))-1</f>
        <v>#REF!</v>
      </c>
      <c r="G239" s="244"/>
      <c r="H239" s="244" t="e">
        <f>(VLOOKUP("total",#REF!,4,FALSE)-VLOOKUP("españa",#REF!,4,FALSE))/(VLOOKUP("total",#REF!,4,FALSE)-VLOOKUP("españa",#REF!,4,FALSE))-1</f>
        <v>#REF!</v>
      </c>
      <c r="I239" s="245" t="e">
        <f>VLOOKUP("total",#REF!,4,FALSE)-VLOOKUP("españa",#REF!,4,FALSE)</f>
        <v>#REF!</v>
      </c>
      <c r="J239" s="244" t="e">
        <f>(VLOOKUP("total",#REF!,3,FALSE)-VLOOKUP("españa",#REF!,3,FALSE))/(VLOOKUP("total",#REF!,3,FALSE)-VLOOKUP("españa",#REF!,3,FALSE))-1</f>
        <v>#REF!</v>
      </c>
      <c r="K239" s="245" t="e">
        <f>VLOOKUP("total",#REF!,3,FALSE)-VLOOKUP("españa",#REF!,3,FALSE)</f>
        <v>#REF!</v>
      </c>
      <c r="L239" s="244" t="e">
        <f>(VLOOKUP("total",#REF!,2,FALSE)-VLOOKUP("españa",#REF!,2,FALSE))/(VLOOKUP("total",#REF!,2,FALSE)-VLOOKUP("españa",#REF!,2,FALSE))-1</f>
        <v>#REF!</v>
      </c>
      <c r="M239" s="245" t="e">
        <f>VLOOKUP("total",#REF!,2,FALSE)-VLOOKUP("españa",#REF!,2,FALSE)</f>
        <v>#REF!</v>
      </c>
      <c r="N239" s="244" t="e">
        <f>(VLOOKUP("total",#REF!,7,FALSE)-VLOOKUP("españa",#REF!,7,FALSE))/(VLOOKUP("total",#REF!,7,FALSE)-VLOOKUP("españa",#REF!,7,FALSE))-1</f>
        <v>#REF!</v>
      </c>
      <c r="O239" s="245" t="e">
        <f>VLOOKUP("total",#REF!,7,FALSE)-VLOOKUP("españa",#REF!,7,FALSE)</f>
        <v>#REF!</v>
      </c>
      <c r="P239" s="244" t="e">
        <f>(VLOOKUP("total",#REF!,8,FALSE)-VLOOKUP("españa",#REF!,8,FALSE))/(VLOOKUP("total",#REF!,8,FALSE)-VLOOKUP("españa",#REF!,8,FALSE))-1</f>
        <v>#REF!</v>
      </c>
      <c r="Q239" s="245" t="e">
        <f>VLOOKUP("total",#REF!,8,FALSE)-VLOOKUP("españa",#REF!,8,FALSE)</f>
        <v>#REF!</v>
      </c>
    </row>
    <row r="240" spans="3:17" ht="24" hidden="1" customHeight="1" x14ac:dyDescent="0.2">
      <c r="C240" s="243" t="s">
        <v>8</v>
      </c>
      <c r="D240" s="244" t="e">
        <f>VLOOKUP("total",#REF!,6,FALSE)/VLOOKUP("total",#REF!,6,FALSE)-1</f>
        <v>#REF!</v>
      </c>
      <c r="E240" s="245" t="e">
        <f>VLOOKUP("total",#REF!,6,FALSE)</f>
        <v>#REF!</v>
      </c>
      <c r="F240" s="244" t="e">
        <f>VLOOKUP("total",#REF!,5,FALSE)/VLOOKUP("total",#REF!,5,FALSE)-1</f>
        <v>#REF!</v>
      </c>
      <c r="G240" s="244"/>
      <c r="H240" s="244" t="e">
        <f>VLOOKUP("total",#REF!,4,FALSE)/VLOOKUP("total",#REF!,4,FALSE)-1</f>
        <v>#REF!</v>
      </c>
      <c r="I240" s="245" t="e">
        <f>VLOOKUP("total",#REF!,4,FALSE)</f>
        <v>#REF!</v>
      </c>
      <c r="J240" s="244" t="e">
        <f>VLOOKUP("total",#REF!,3,FALSE)/VLOOKUP("total",#REF!,3,FALSE)-1</f>
        <v>#REF!</v>
      </c>
      <c r="K240" s="245" t="e">
        <f>VLOOKUP("total",#REF!,3,FALSE)</f>
        <v>#REF!</v>
      </c>
      <c r="L240" s="244" t="e">
        <f>VLOOKUP("total",#REF!,2,FALSE)/VLOOKUP("total",#REF!,2,FALSE)-1</f>
        <v>#REF!</v>
      </c>
      <c r="M240" s="245" t="e">
        <f>VLOOKUP("total",#REF!,2,FALSE)</f>
        <v>#REF!</v>
      </c>
      <c r="N240" s="244" t="e">
        <f>VLOOKUP("total",#REF!,7,FALSE)/VLOOKUP("total",#REF!,7,FALSE)-1</f>
        <v>#REF!</v>
      </c>
      <c r="O240" s="245" t="e">
        <f>VLOOKUP("total",#REF!,7,FALSE)</f>
        <v>#REF!</v>
      </c>
      <c r="P240" s="244" t="e">
        <f>VLOOKUP("total",#REF!,8,FALSE)/VLOOKUP("total",#REF!,8,FALSE)-1</f>
        <v>#REF!</v>
      </c>
      <c r="Q240" s="245" t="e">
        <f>VLOOKUP("total",#REF!,8,FALSE)</f>
        <v>#REF!</v>
      </c>
    </row>
    <row r="241" spans="3:13" ht="18" customHeight="1" thickBot="1" x14ac:dyDescent="0.25"/>
    <row r="242" spans="3:13" ht="50.25" customHeight="1" thickBot="1" x14ac:dyDescent="0.25">
      <c r="C242" s="1"/>
      <c r="D242" s="1"/>
      <c r="E242" s="2" t="str">
        <f>$E$1</f>
        <v>INDICADORES TURÍSTICOS DE TENERIFE definitivo</v>
      </c>
      <c r="F242" s="2"/>
      <c r="G242" s="2"/>
      <c r="H242" s="2"/>
      <c r="I242" s="2"/>
      <c r="J242" s="2"/>
      <c r="K242" s="2"/>
      <c r="L242" s="1"/>
      <c r="M242" s="1"/>
    </row>
    <row r="243" spans="3:13" ht="5.25" customHeight="1" thickBot="1" x14ac:dyDescent="0.25"/>
    <row r="244" spans="3:13" ht="28.5" customHeight="1" thickBot="1" x14ac:dyDescent="0.25">
      <c r="C244" s="250" t="s">
        <v>66</v>
      </c>
      <c r="D244" s="251"/>
      <c r="E244" s="251"/>
      <c r="F244" s="251"/>
      <c r="G244" s="251"/>
      <c r="H244" s="251"/>
      <c r="I244" s="251"/>
      <c r="J244" s="251"/>
      <c r="K244" s="251"/>
      <c r="L244" s="251"/>
      <c r="M244" s="252"/>
    </row>
    <row r="245" spans="3:13" ht="5.25" customHeight="1" thickBot="1" x14ac:dyDescent="0.25">
      <c r="C245" s="253"/>
      <c r="D245" s="254"/>
      <c r="E245" s="254"/>
      <c r="F245" s="254"/>
      <c r="G245" s="254"/>
      <c r="H245" s="255"/>
      <c r="I245" s="255"/>
      <c r="J245" s="254"/>
      <c r="K245" s="254"/>
      <c r="L245" s="254"/>
      <c r="M245" s="256"/>
    </row>
    <row r="246" spans="3:13" ht="32.25" customHeight="1" thickTop="1" thickBot="1" x14ac:dyDescent="0.25">
      <c r="C246" s="182"/>
      <c r="D246" s="183" t="s">
        <v>7</v>
      </c>
      <c r="E246" s="184"/>
      <c r="F246" s="183" t="s">
        <v>29</v>
      </c>
      <c r="G246" s="184"/>
      <c r="H246" s="183" t="s">
        <v>30</v>
      </c>
      <c r="I246" s="184"/>
      <c r="J246" s="183" t="s">
        <v>31</v>
      </c>
      <c r="K246" s="184"/>
      <c r="L246" s="183" t="s">
        <v>32</v>
      </c>
      <c r="M246" s="257"/>
    </row>
    <row r="247" spans="3:13" ht="31.5" customHeight="1" thickBot="1" x14ac:dyDescent="0.25">
      <c r="C247" s="185"/>
      <c r="D247" s="258" t="s">
        <v>67</v>
      </c>
      <c r="E247" s="259" t="s">
        <v>68</v>
      </c>
      <c r="F247" s="260" t="s">
        <v>67</v>
      </c>
      <c r="G247" s="259" t="s">
        <v>68</v>
      </c>
      <c r="H247" s="258" t="s">
        <v>67</v>
      </c>
      <c r="I247" s="259" t="s">
        <v>68</v>
      </c>
      <c r="J247" s="258" t="s">
        <v>67</v>
      </c>
      <c r="K247" s="259" t="s">
        <v>68</v>
      </c>
      <c r="L247" s="258" t="s">
        <v>67</v>
      </c>
      <c r="M247" s="261" t="s">
        <v>68</v>
      </c>
    </row>
    <row r="248" spans="3:13" ht="19.5" thickTop="1" thickBot="1" x14ac:dyDescent="0.25">
      <c r="C248" s="190" t="s">
        <v>35</v>
      </c>
      <c r="D248" s="262">
        <f>GETPIVOTDATA("Suma de turistas",'[1]TTDD DATOS'!$B$6,"País",$C248,"categoría","Total","tipología","Total","zona","tenerife","municipio","total municipios","Años",[1]ACTUALIZACIÓN!$C$2)/GETPIVOTDATA("Suma de turistas",'[1]TTDD DATOS'!$B$6,"País",$C273,"categoría","Total","tipología","Total","zona","tenerife","municipio","total municipios","Años",[1]ACTUALIZACIÓN!$C$2)</f>
        <v>0.17154548227134611</v>
      </c>
      <c r="E248" s="263">
        <f>GETPIVOTDATA("Suma de turistas",'[1]TTDD DATOS'!$B$49,"País",$C248,"categoría","Total","tipología","Total","zona","tenerife","municipio","total municipios","Años",IF([1]ACTUALIZACIÓN!$C$1="enero",[1]ACTUALIZACIÓN!$C$2-1,[1]ACTUALIZACIÓN!$C$2))/GETPIVOTDATA("Suma de turistas",'[1]TTDD DATOS'!$B$49,"País",$C273,"categoría","Total","tipología","Total","zona","tenerife","municipio","total municipios","Años",IF([1]ACTUALIZACIÓN!$C$1="enero",[1]ACTUALIZACIÓN!$C$2-1,[1]ACTUALIZACIÓN!$C$2))</f>
        <v>0.17530922035959928</v>
      </c>
      <c r="F248" s="264">
        <f>GETPIVOTDATA("Suma de turistas",'[1]TTDD DATOS'!$B$6,"País",$C248,"categoría","Total","tipología","Total","zona","santa cruz","municipio","total municipios","Años",[1]ACTUALIZACIÓN!$C$2)/GETPIVOTDATA("Suma de turistas",'[1]TTDD DATOS'!$B$6,"País",$C273,"categoría","Total","tipología","Total","zona","santa cruz","municipio","total municipios","Años",[1]ACTUALIZACIÓN!$C$2)</f>
        <v>0.63037458857948903</v>
      </c>
      <c r="G248" s="263">
        <f>GETPIVOTDATA("Suma de turistas",'[1]TTDD DATOS'!$B$49,"País",$C248,"categoría","Total","tipología","Total","zona","santa cruz","municipio","total municipios","Años",IF([1]ACTUALIZACIÓN!$C$1="enero",[1]ACTUALIZACIÓN!$C$2-3,[1]ACTUALIZACIÓN!$C$2))/GETPIVOTDATA("Suma de turistas",'[1]TTDD DATOS'!$B$49,"País",$C273,"categoría","Total","tipología","Total","zona","santa cruz","municipio","total municipios","Años",IF([1]ACTUALIZACIÓN!$C$1="enero",[1]ACTUALIZACIÓN!$C$2-3,[1]ACTUALIZACIÓN!$C$2))</f>
        <v>0.59425151143872901</v>
      </c>
      <c r="H248" s="262">
        <f>GETPIVOTDATA("Suma de turistas",'[1]TTDD DATOS'!$B$6,"País",$C248,"categoría","Total","tipología","Total","zona","la laguna-bajamar-la punta","municipio","total municipios","Años",[1]ACTUALIZACIÓN!$C$2)/GETPIVOTDATA("Suma de turistas",'[1]TTDD DATOS'!$B$6,"País",$C273,"categoría","Total","tipología","Total","zona","la laguna-bajamar-la punta","municipio","total municipios","Años",[1]ACTUALIZACIÓN!$C$2)</f>
        <v>0.49768378650553879</v>
      </c>
      <c r="I248" s="263">
        <f>GETPIVOTDATA("Suma de turistas",'[1]TTDD DATOS'!$B$49,"País",$C248,"categoría","Total","tipología","Total","zona","la laguna-bajamar-la punta","municipio","total municipios","Años",IF([1]ACTUALIZACIÓN!$C$1="enero",[1]ACTUALIZACIÓN!$C$2-1,[1]ACTUALIZACIÓN!$C$2))/GETPIVOTDATA("Suma de turistas",'[1]TTDD DATOS'!$B$49,"País",$C273,"categoría","Total","tipología","Total","zona","la laguna-bajamar-la punta","municipio","total municipios","Años",IF([1]ACTUALIZACIÓN!$C$1="enero",[1]ACTUALIZACIÓN!$C$2-1,[1]ACTUALIZACIÓN!$C$2))</f>
        <v>0.48054285071605307</v>
      </c>
      <c r="J248" s="262">
        <f>GETPIVOTDATA("Suma de turistas",'[1]TTDD DATOS'!$B$6,"País",$C248,"categoría","Total","tipología","Total","zona","norte","municipio","total municipios","Años",[1]ACTUALIZACIÓN!$C$2)/GETPIVOTDATA("Suma de turistas",'[1]TTDD DATOS'!$B$6,"País",$C273,"categoría","Total","tipología","Total","zona","norte","municipio","total municipios","Años",[1]ACTUALIZACIÓN!$C$2)</f>
        <v>0.39392439084768538</v>
      </c>
      <c r="K248" s="263">
        <f>GETPIVOTDATA("Suma de turistas",'[1]TTDD DATOS'!$B$49,"País",$C248,"categoría","Total","tipología","Total","zona","norte","municipio","total municipios","Años",IF([1]ACTUALIZACIÓN!$C$1="enero",[1]ACTUALIZACIÓN!$C$2-1,[1]ACTUALIZACIÓN!$C$2))/GETPIVOTDATA("Suma de turistas",'[1]TTDD DATOS'!$B$49,"País",$C273,"categoría","Total","tipología","Total","zona","norte","municipio","total municipios","Años",IF([1]ACTUALIZACIÓN!$C$1="enero",[1]ACTUALIZACIÓN!$C$2-1,[1]ACTUALIZACIÓN!$C$2))</f>
        <v>0.39474954820731423</v>
      </c>
      <c r="L248" s="265">
        <f>GETPIVOTDATA("Suma de turistas",'[1]TTDD DATOS'!$B$6,"País",$C248,"categoría","Total","tipología","Total","zona","sur","municipio","total municipios","Años",[1]ACTUALIZACIÓN!$C$2)/GETPIVOTDATA("Suma de turistas",'[1]TTDD DATOS'!$B$6,"País",$C273,"categoría","Total","tipología","Total","zona","sur","municipio","total municipios","Años",[1]ACTUALIZACIÓN!$C$2)</f>
        <v>8.7516821719033411E-2</v>
      </c>
      <c r="M248" s="266">
        <f>GETPIVOTDATA("Suma de turistas",'[1]TTDD DATOS'!$B$49,"País",$C248,"categoría","Total","tipología","Total","zona","sur","municipio","total municipios","Años",IF([1]ACTUALIZACIÓN!$C$1="enero",[1]ACTUALIZACIÓN!$C$2-1,[1]ACTUALIZACIÓN!$C$2))/GETPIVOTDATA("Suma de turistas",'[1]TTDD DATOS'!$B$49,"País",$C273,"categoría","Total","tipología","Total","zona","sur","municipio","total municipios","Años",IF([1]ACTUALIZACIÓN!$C$1="enero",[1]ACTUALIZACIÓN!$C$2-1,[1]ACTUALIZACIÓN!$C$2))</f>
        <v>9.677736334761157E-2</v>
      </c>
    </row>
    <row r="249" spans="3:13" ht="26.25" thickBot="1" x14ac:dyDescent="0.25">
      <c r="C249" s="267" t="s">
        <v>69</v>
      </c>
      <c r="D249" s="268">
        <f>GETPIVOTDATA("Suma de turistas",'[1]TTDD DATOS'!$B$6,"País","tenerife","categoría","Total","tipología","Total","zona","tenerife","municipio","total municipios","Años",[1]ACTUALIZACIÓN!$C$2)/GETPIVOTDATA("Suma de turistas",'[1]TTDD DATOS'!$B$6,"País",$C273,"categoría","Total","tipología","Total","zona","tenerife","municipio","total municipios","Años",[1]ACTUALIZACIÓN!$C$2)</f>
        <v>4.5340746765737613E-2</v>
      </c>
      <c r="E249" s="269">
        <f>GETPIVOTDATA("Suma de turistas",'[1]TTDD DATOS'!$B$49,"País","tenerife","categoría","Total","tipología","Total","zona","tenerife","municipio","total municipios","Años",IF([1]ACTUALIZACIÓN!$C$1="enero",[1]ACTUALIZACIÓN!$C$2-1,[1]ACTUALIZACIÓN!$C$2))/GETPIVOTDATA("Suma de turistas",'[1]TTDD DATOS'!$B$49,"País",$C273,"categoría","Total","tipología","Total","zona","tenerife","municipio","total municipios","Años",IF([1]ACTUALIZACIÓN!$C$1="enero",[1]ACTUALIZACIÓN!$C$2-1,[1]ACTUALIZACIÓN!$C$2))</f>
        <v>5.2266983943889754E-2</v>
      </c>
      <c r="F249" s="270"/>
      <c r="G249" s="269"/>
      <c r="H249" s="268"/>
      <c r="I249" s="269"/>
      <c r="J249" s="268"/>
      <c r="K249" s="269"/>
      <c r="L249" s="271"/>
      <c r="M249" s="272"/>
    </row>
    <row r="250" spans="3:13" ht="26.25" thickBot="1" x14ac:dyDescent="0.25">
      <c r="C250" s="267" t="s">
        <v>38</v>
      </c>
      <c r="D250" s="268">
        <f>GETPIVOTDATA("Suma de turistas",'[1]TTDD DATOS'!$B$6,"País","resto canarias","categoría","Total","tipología","Total","zona","tenerife","municipio","total municipios","Años",[1]ACTUALIZACIÓN!$C$2)/GETPIVOTDATA("Suma de turistas",'[1]TTDD DATOS'!$B$6,"País",$C273,"categoría","Total","tipología","Total","zona","tenerife","municipio","total municipios","Años",[1]ACTUALIZACIÓN!$C$2)</f>
        <v>2.0931362872283223E-2</v>
      </c>
      <c r="E250" s="269">
        <f>GETPIVOTDATA("Suma de turistas",'[1]TTDD DATOS'!$B$49,"País","resto canarias","categoría","Total","tipología","Total","zona","tenerife","municipio","total municipios","Años",IF([1]ACTUALIZACIÓN!$C$1="enero",[1]ACTUALIZACIÓN!$C$2-1,[1]ACTUALIZACIÓN!$C$2))/GETPIVOTDATA("Suma de turistas",'[1]TTDD DATOS'!$B$49,"País",$C273,"categoría","Total","tipología","Total","zona","tenerife","municipio","total municipios","Años",IF([1]ACTUALIZACIÓN!$C$1="enero",[1]ACTUALIZACIÓN!$C$2-1,[1]ACTUALIZACIÓN!$C$2))</f>
        <v>2.2388340487692133E-2</v>
      </c>
      <c r="F250" s="273"/>
      <c r="G250" s="269"/>
      <c r="H250" s="268"/>
      <c r="I250" s="269"/>
      <c r="J250" s="268"/>
      <c r="K250" s="269"/>
      <c r="L250" s="274"/>
      <c r="M250" s="272"/>
    </row>
    <row r="251" spans="3:13" ht="18.75" thickBot="1" x14ac:dyDescent="0.25">
      <c r="C251" s="267" t="s">
        <v>39</v>
      </c>
      <c r="D251" s="268">
        <f>GETPIVOTDATA("Suma de turistas",'[1]TTDD DATOS'!$B$6,"País","resto españa","categoría","Total","tipología","Total","zona","tenerife","municipio","total municipios","Años",[1]ACTUALIZACIÓN!$C$2)/GETPIVOTDATA("Suma de turistas",'[1]TTDD DATOS'!$B$6,"País",$C273,"categoría","Total","tipología","Total","zona","tenerife","municipio","total municipios","Años",[1]ACTUALIZACIÓN!$C$2)</f>
        <v>0.10527337263332527</v>
      </c>
      <c r="E251" s="269">
        <f>GETPIVOTDATA("Suma de turistas",'[1]TTDD DATOS'!$B$49,"País","resto españa","categoría","Total","tipología","Total","zona","tenerife","municipio","total municipios","Años",IF([1]ACTUALIZACIÓN!$C$1="enero",[1]ACTUALIZACIÓN!$C$2-1,[1]ACTUALIZACIÓN!$C$2))/GETPIVOTDATA("Suma de turistas",'[1]TTDD DATOS'!$B$49,"País",$C273,"categoría","Total","tipología","Total","zona","tenerife","municipio","total municipios","Años",IF([1]ACTUALIZACIÓN!$C$1="enero",[1]ACTUALIZACIÓN!$C$2-1,[1]ACTUALIZACIÓN!$C$2))</f>
        <v>0.10065389592795536</v>
      </c>
      <c r="F251" s="273"/>
      <c r="G251" s="269"/>
      <c r="H251" s="268"/>
      <c r="I251" s="269"/>
      <c r="J251" s="268"/>
      <c r="K251" s="269"/>
      <c r="L251" s="274"/>
      <c r="M251" s="272"/>
    </row>
    <row r="252" spans="3:13" ht="18.75" thickBot="1" x14ac:dyDescent="0.25">
      <c r="C252" s="275" t="s">
        <v>40</v>
      </c>
      <c r="D252" s="276">
        <f>GETPIVOTDATA("Suma de turistas",'[1]TTDD DATOS'!$B$6,"País",$C252,"categoría","Total","tipología","Total","zona","tenerife","municipio","total municipios","Años",[1]ACTUALIZACIÓN!$C$2)/GETPIVOTDATA("Suma de turistas",'[1]TTDD DATOS'!$B$6,"País",$C273,"categoría","Total","tipología","Total","zona","tenerife","municipio","total municipios","Años",[1]ACTUALIZACIÓN!$C$2)</f>
        <v>3.6917281342836811E-2</v>
      </c>
      <c r="E252" s="277">
        <f>GETPIVOTDATA("Suma de turistas",'[1]TTDD DATOS'!$B$49,"País",$C252,"categoría","Total","tipología","Total","zona","tenerife","municipio","total municipios","Años",IF([1]ACTUALIZACIÓN!$C$1="enero",[1]ACTUALIZACIÓN!$C$2-1,[1]ACTUALIZACIÓN!$C$2))/GETPIVOTDATA("Suma de turistas",'[1]TTDD DATOS'!$B$49,"País",$C273,"categoría","Total","tipología","Total","zona","tenerife","municipio","total municipios","Años",IF([1]ACTUALIZACIÓN!$C$1="enero",[1]ACTUALIZACIÓN!$C$2-1,[1]ACTUALIZACIÓN!$C$2))</f>
        <v>4.4759183664697784E-2</v>
      </c>
      <c r="F252" s="278">
        <f>GETPIVOTDATA("Suma de turistas",'[1]TTDD DATOS'!$B$6,"País",$C252,"categoría","Total","tipología","Total","zona","santa cruz","municipio","total municipios","Años",[1]ACTUALIZACIÓN!$C$2)/GETPIVOTDATA("Suma de turistas",'[1]TTDD DATOS'!$B$6,"País",$C273,"categoría","Total","tipología","Total","zona","santa cruz","municipio","total municipios","Años",[1]ACTUALIZACIÓN!$C$2)</f>
        <v>1.0553262629956638E-2</v>
      </c>
      <c r="G252" s="277">
        <f>GETPIVOTDATA("Suma de turistas",'[1]TTDD DATOS'!$B$49,"País",$C252,"categoría","Total","tipología","Total","zona","santa cruz","municipio","total municipios","Años",IF([1]ACTUALIZACIÓN!$C$1="enero",[1]ACTUALIZACIÓN!$C$2-3,[1]ACTUALIZACIÓN!$C$2))/GETPIVOTDATA("Suma de turistas",'[1]TTDD DATOS'!$B$49,"País",$C273,"categoría","Total","tipología","Total","zona","santa cruz","municipio","total municipios","Años",IF([1]ACTUALIZACIÓN!$C$1="enero",[1]ACTUALIZACIÓN!$C$2-3,[1]ACTUALIZACIÓN!$C$2))</f>
        <v>1.4441520878944302E-2</v>
      </c>
      <c r="H252" s="276">
        <f>GETPIVOTDATA("Suma de turistas",'[1]TTDD DATOS'!$B$6,"País",$C252,"categoría","Total","tipología","Total","zona","la laguna-bajamar-la punta","municipio","total municipios","Años",[1]ACTUALIZACIÓN!$C$2)/GETPIVOTDATA("Suma de turistas",'[1]TTDD DATOS'!$B$6,"País",$C273,"categoría","Total","tipología","Total","zona","la laguna-bajamar-la punta","municipio","total municipios","Años",[1]ACTUALIZACIÓN!$C$2)</f>
        <v>3.3836858006042296E-2</v>
      </c>
      <c r="I252" s="277">
        <f>GETPIVOTDATA("Suma de turistas",'[1]TTDD DATOS'!$B$49,"País",$C252,"categoría","Total","tipología","Total","zona","la laguna-bajamar-la punta","municipio","total municipios","Años",IF([1]ACTUALIZACIÓN!$C$1="enero",[1]ACTUALIZACIÓN!$C$2-1,[1]ACTUALIZACIÓN!$C$2))/GETPIVOTDATA("Suma de turistas",'[1]TTDD DATOS'!$B$49,"País",$C273,"categoría","Total","tipología","Total","zona","la laguna-bajamar-la punta","municipio","total municipios","Años",IF([1]ACTUALIZACIÓN!$C$1="enero",[1]ACTUALIZACIÓN!$C$2-1,[1]ACTUALIZACIÓN!$C$2))</f>
        <v>3.5015370773037416E-2</v>
      </c>
      <c r="J252" s="276">
        <f>GETPIVOTDATA("Suma de turistas",'[1]TTDD DATOS'!$B$6,"País",$C252,"categoría","Total","tipología","Total","zona","norte","municipio","total municipios","Años",[1]ACTUALIZACIÓN!$C$2)/GETPIVOTDATA("Suma de turistas",'[1]TTDD DATOS'!$B$6,"País",$C273,"categoría","Total","tipología","Total","zona","norte","municipio","total municipios","Años",[1]ACTUALIZACIÓN!$C$2)</f>
        <v>1.3456165788449976E-2</v>
      </c>
      <c r="K252" s="277">
        <f>GETPIVOTDATA("Suma de turistas",'[1]TTDD DATOS'!$B$49,"País",$C252,"categoría","Total","tipología","Total","zona","norte","municipio","total municipios","Años",IF([1]ACTUALIZACIÓN!$C$1="enero",[1]ACTUALIZACIÓN!$C$2-1,[1]ACTUALIZACIÓN!$C$2))/GETPIVOTDATA("Suma de turistas",'[1]TTDD DATOS'!$B$49,"País",$C273,"categoría","Total","tipología","Total","zona","norte","municipio","total municipios","Años",IF([1]ACTUALIZACIÓN!$C$1="enero",[1]ACTUALIZACIÓN!$C$2-1,[1]ACTUALIZACIÓN!$C$2))</f>
        <v>1.8064809833216074E-2</v>
      </c>
      <c r="L252" s="279">
        <f>GETPIVOTDATA("Suma de turistas",'[1]TTDD DATOS'!$B$6,"País",$C252,"categoría","Total","tipología","Total","zona","sur","municipio","total municipios","Años",[1]ACTUALIZACIÓN!$C$2)/GETPIVOTDATA("Suma de turistas",'[1]TTDD DATOS'!$B$6,"País",$C273,"categoría","Total","tipología","Total","zona","sur","municipio","total municipios","Años",[1]ACTUALIZACIÓN!$C$2)</f>
        <v>4.3670645368907614E-2</v>
      </c>
      <c r="M252" s="280">
        <f>GETPIVOTDATA("Suma de turistas",'[1]TTDD DATOS'!$B$49,"País",$C252,"categoría","Total","tipología","Total","zona","sur","municipio","total municipios","Años",IF([1]ACTUALIZACIÓN!$C$1="enero",[1]ACTUALIZACIÓN!$C$2-1,[1]ACTUALIZACIÓN!$C$2))/GETPIVOTDATA("Suma de turistas",'[1]TTDD DATOS'!$B$49,"País",$C273,"categoría","Total","tipología","Total","zona","sur","municipio","total municipios","Años",IF([1]ACTUALIZACIÓN!$C$1="enero",[1]ACTUALIZACIÓN!$C$2-1,[1]ACTUALIZACIÓN!$C$2))</f>
        <v>5.2384280563840313E-2</v>
      </c>
    </row>
    <row r="253" spans="3:13" ht="24" customHeight="1" thickBot="1" x14ac:dyDescent="0.25">
      <c r="C253" s="281" t="s">
        <v>41</v>
      </c>
      <c r="D253" s="268">
        <f>GETPIVOTDATA("Suma de turistas",'[1]TTDD DATOS'!$B$6,"País",$C253,"categoría","Total","tipología","Total","zona","tenerife","municipio","total municipios","Años",[1]ACTUALIZACIÓN!$C$2)/GETPIVOTDATA("Suma de turistas",'[1]TTDD DATOS'!$B$6,"País",$C273,"categoría","Total","tipología","Total","zona","tenerife","municipio","total municipios","Años",[1]ACTUALIZACIÓN!$C$2)</f>
        <v>3.3856137536852328E-2</v>
      </c>
      <c r="E253" s="269">
        <f>GETPIVOTDATA("Suma de turistas",'[1]TTDD DATOS'!$B$49,"País",$C253,"categoría","Total","tipología","Total","zona","tenerife","municipio","total municipios","Años",IF([1]ACTUALIZACIÓN!$C$1="enero",[1]ACTUALIZACIÓN!$C$2-1,[1]ACTUALIZACIÓN!$C$2))/GETPIVOTDATA("Suma de turistas",'[1]TTDD DATOS'!$B$49,"País",$C273,"categoría","Total","tipología","Total","zona","tenerife","municipio","total municipios","Años",IF([1]ACTUALIZACIÓN!$C$1="enero",[1]ACTUALIZACIÓN!$C$2-1,[1]ACTUALIZACIÓN!$C$2))</f>
        <v>3.9862590219492462E-2</v>
      </c>
      <c r="F253" s="273">
        <f>GETPIVOTDATA("Suma de turistas",'[1]TTDD DATOS'!$B$6,"País",$C253,"categoría","Total","tipología","Total","zona","santa cruz","municipio","total municipios","Años",[1]ACTUALIZACIÓN!$C$2)/GETPIVOTDATA("Suma de turistas",'[1]TTDD DATOS'!$B$6,"País",$C273,"categoría","Total","tipología","Total","zona","santa cruz","municipio","total municipios","Años",[1]ACTUALIZACIÓN!$C$2)</f>
        <v>9.9785800114936523E-3</v>
      </c>
      <c r="G253" s="269">
        <f>GETPIVOTDATA("Suma de turistas",'[1]TTDD DATOS'!$B$49,"País",$C253,"categoría","Total","tipología","Total","zona","santa cruz","municipio","total municipios","Años",IF([1]ACTUALIZACIÓN!$C$1="enero",[1]ACTUALIZACIÓN!$C$2-3,[1]ACTUALIZACIÓN!$C$2))/GETPIVOTDATA("Suma de turistas",'[1]TTDD DATOS'!$B$49,"País",$C273,"categoría","Total","tipología","Total","zona","santa cruz","municipio","total municipios","Años",IF([1]ACTUALIZACIÓN!$C$1="enero",[1]ACTUALIZACIÓN!$C$2-3,[1]ACTUALIZACIÓN!$C$2))</f>
        <v>1.0605178058529336E-2</v>
      </c>
      <c r="H253" s="268">
        <f>GETPIVOTDATA("Suma de turistas",'[1]TTDD DATOS'!$B$6,"País",$C253,"categoría","Total","tipología","Total","zona","la laguna-bajamar-la punta","municipio","total municipios","Años",[1]ACTUALIZACIÓN!$C$2)/GETPIVOTDATA("Suma de turistas",'[1]TTDD DATOS'!$B$6,"País",$C273,"categoría","Total","tipología","Total","zona","la laguna-bajamar-la punta","municipio","total municipios","Años",[1]ACTUALIZACIÓN!$C$2)</f>
        <v>1.6918429003021148E-2</v>
      </c>
      <c r="I253" s="269">
        <f>GETPIVOTDATA("Suma de turistas",'[1]TTDD DATOS'!$B$49,"País",$C253,"categoría","Total","tipología","Total","zona","la laguna-bajamar-la punta","municipio","total municipios","Años",IF([1]ACTUALIZACIÓN!$C$1="enero",[1]ACTUALIZACIÓN!$C$2-1,[1]ACTUALIZACIÓN!$C$2))/GETPIVOTDATA("Suma de turistas",'[1]TTDD DATOS'!$B$49,"País",$C273,"categoría","Total","tipología","Total","zona","la laguna-bajamar-la punta","municipio","total municipios","Años",IF([1]ACTUALIZACIÓN!$C$1="enero",[1]ACTUALIZACIÓN!$C$2-1,[1]ACTUALIZACIÓN!$C$2))</f>
        <v>2.1219164729699334E-2</v>
      </c>
      <c r="J253" s="268">
        <f>GETPIVOTDATA("Suma de turistas",'[1]TTDD DATOS'!$B$6,"País",$C253,"categoría","Total","tipología","Total","zona","norte","municipio","total municipios","Años",[1]ACTUALIZACIÓN!$C$2)/GETPIVOTDATA("Suma de turistas",'[1]TTDD DATOS'!$B$6,"País",$C273,"categoría","Total","tipología","Total","zona","norte","municipio","total municipios","Años",[1]ACTUALIZACIÓN!$C$2)</f>
        <v>1.0520918060614634E-2</v>
      </c>
      <c r="K253" s="269">
        <f>GETPIVOTDATA("Suma de turistas",'[1]TTDD DATOS'!$B$49,"País",$C253,"categoría","Total","tipología","Total","zona","norte","municipio","total municipios","Años",IF([1]ACTUALIZACIÓN!$C$1="enero",[1]ACTUALIZACIÓN!$C$2-1,[1]ACTUALIZACIÓN!$C$2))/GETPIVOTDATA("Suma de turistas",'[1]TTDD DATOS'!$B$49,"País",$C273,"categoría","Total","tipología","Total","zona","norte","municipio","total municipios","Años",IF([1]ACTUALIZACIÓN!$C$1="enero",[1]ACTUALIZACIÓN!$C$2-1,[1]ACTUALIZACIÓN!$C$2))</f>
        <v>1.4015919656775511E-2</v>
      </c>
      <c r="L253" s="274">
        <f>GETPIVOTDATA("Suma de turistas",'[1]TTDD DATOS'!$B$6,"País",$C253,"categoría","Total","tipología","Total","zona","sur","municipio","total municipios","Años",[1]ACTUALIZACIÓN!$C$2)/GETPIVOTDATA("Suma de turistas",'[1]TTDD DATOS'!$B$6,"País",$C273,"categoría","Total","tipología","Total","zona","sur","municipio","total municipios","Años",[1]ACTUALIZACIÓN!$C$2)</f>
        <v>4.0661020420104145E-2</v>
      </c>
      <c r="M253" s="272">
        <f>GETPIVOTDATA("Suma de turistas",'[1]TTDD DATOS'!$B$49,"País",$C253,"categoría","Total","tipología","Total","zona","sur","municipio","total municipios","Años",IF([1]ACTUALIZACIÓN!$C$1="enero",[1]ACTUALIZACIÓN!$C$2-1,[1]ACTUALIZACIÓN!$C$2))/GETPIVOTDATA("Suma de turistas",'[1]TTDD DATOS'!$B$49,"País",$C273,"categoría","Total","tipología","Total","zona","sur","municipio","total municipios","Años",IF([1]ACTUALIZACIÓN!$C$1="enero",[1]ACTUALIZACIÓN!$C$2-1,[1]ACTUALIZACIÓN!$C$2))</f>
        <v>4.7408811907908847E-2</v>
      </c>
    </row>
    <row r="254" spans="3:13" ht="24" customHeight="1" thickBot="1" x14ac:dyDescent="0.25">
      <c r="C254" s="275" t="s">
        <v>42</v>
      </c>
      <c r="D254" s="276">
        <f>GETPIVOTDATA("Suma de turistas",'[1]TTDD DATOS'!$B$6,"País",$C254,"categoría","Total","tipología","Total","zona","tenerife","municipio","total municipios","Años",[1]ACTUALIZACIÓN!$C$2)/GETPIVOTDATA("Suma de turistas",'[1]TTDD DATOS'!$B$6,"País",$C273,"categoría","Total","tipología","Total","zona","tenerife","municipio","total municipios","Años",[1]ACTUALIZACIÓN!$C$2)</f>
        <v>9.8244642998339529E-2</v>
      </c>
      <c r="E254" s="277">
        <f>GETPIVOTDATA("Suma de turistas",'[1]TTDD DATOS'!$B$49,"País",$C254,"categoría","Total","tipología","Total","zona","tenerife","municipio","total municipios","Años",IF([1]ACTUALIZACIÓN!$C$1="enero",[1]ACTUALIZACIÓN!$C$2-1,[1]ACTUALIZACIÓN!$C$2))/GETPIVOTDATA("Suma de turistas",'[1]TTDD DATOS'!$B$49,"País",$C273,"categoría","Total","tipología","Total","zona","tenerife","municipio","total municipios","Años",IF([1]ACTUALIZACIÓN!$C$1="enero",[1]ACTUALIZACIÓN!$C$2-1,[1]ACTUALIZACIÓN!$C$2))</f>
        <v>9.0909872379108303E-2</v>
      </c>
      <c r="F254" s="278">
        <f>GETPIVOTDATA("Suma de turistas",'[1]TTDD DATOS'!$B$6,"País",$C254,"categoría","Total","tipología","Total","zona","santa cruz","municipio","total municipios","Años",[1]ACTUALIZACIÓN!$C$2)/GETPIVOTDATA("Suma de turistas",'[1]TTDD DATOS'!$B$6,"País",$C273,"categoría","Total","tipología","Total","zona","santa cruz","municipio","total municipios","Años",[1]ACTUALIZACIÓN!$C$2)</f>
        <v>5.5169531372446581E-2</v>
      </c>
      <c r="G254" s="277">
        <f>GETPIVOTDATA("Suma de turistas",'[1]TTDD DATOS'!$B$49,"País",$C254,"categoría","Total","tipología","Total","zona","santa cruz","municipio","total municipios","Años",IF([1]ACTUALIZACIÓN!$C$1="enero",[1]ACTUALIZACIÓN!$C$2-3,[1]ACTUALIZACIÓN!$C$2))/GETPIVOTDATA("Suma de turistas",'[1]TTDD DATOS'!$B$49,"País",$C273,"categoría","Total","tipología","Total","zona","santa cruz","municipio","total municipios","Años",IF([1]ACTUALIZACIÓN!$C$1="enero",[1]ACTUALIZACIÓN!$C$2-3,[1]ACTUALIZACIÓN!$C$2))</f>
        <v>5.6922489806576014E-2</v>
      </c>
      <c r="H254" s="276">
        <f>GETPIVOTDATA("Suma de turistas",'[1]TTDD DATOS'!$B$6,"País",$C254,"categoría","Total","tipología","Total","zona","la laguna-bajamar-la punta","municipio","total municipios","Años",[1]ACTUALIZACIÓN!$C$2)/GETPIVOTDATA("Suma de turistas",'[1]TTDD DATOS'!$B$6,"País",$C273,"categoría","Total","tipología","Total","zona","la laguna-bajamar-la punta","municipio","total municipios","Años",[1]ACTUALIZACIÓN!$C$2)</f>
        <v>0.10694864048338369</v>
      </c>
      <c r="I254" s="277">
        <f>GETPIVOTDATA("Suma de turistas",'[1]TTDD DATOS'!$B$49,"País",$C254,"categoría","Total","tipología","Total","zona","la laguna-bajamar-la punta","municipio","total municipios","Años",IF([1]ACTUALIZACIÓN!$C$1="enero",[1]ACTUALIZACIÓN!$C$2-1,[1]ACTUALIZACIÓN!$C$2))/GETPIVOTDATA("Suma de turistas",'[1]TTDD DATOS'!$B$49,"País",$C273,"categoría","Total","tipología","Total","zona","la laguna-bajamar-la punta","municipio","total municipios","Años",IF([1]ACTUALIZACIÓN!$C$1="enero",[1]ACTUALIZACIÓN!$C$2-1,[1]ACTUALIZACIÓN!$C$2))</f>
        <v>0.10527105046112319</v>
      </c>
      <c r="J254" s="276">
        <f>GETPIVOTDATA("Suma de turistas",'[1]TTDD DATOS'!$B$6,"País",$C254,"categoría","Total","tipología","Total","zona","norte","municipio","total municipios","Años",[1]ACTUALIZACIÓN!$C$2)/GETPIVOTDATA("Suma de turistas",'[1]TTDD DATOS'!$B$6,"País",$C273,"categoría","Total","tipología","Total","zona","norte","municipio","total municipios","Años",[1]ACTUALIZACIÓN!$C$2)</f>
        <v>0.20698801145807547</v>
      </c>
      <c r="K254" s="277">
        <f>GETPIVOTDATA("Suma de turistas",'[1]TTDD DATOS'!$B$49,"País",$C254,"categoría","Total","tipología","Total","zona","norte","municipio","total municipios","Años",IF([1]ACTUALIZACIÓN!$C$1="enero",[1]ACTUALIZACIÓN!$C$2-1,[1]ACTUALIZACIÓN!$C$2))/GETPIVOTDATA("Suma de turistas",'[1]TTDD DATOS'!$B$49,"País",$C273,"categoría","Total","tipología","Total","zona","norte","municipio","total municipios","Años",IF([1]ACTUALIZACIÓN!$C$1="enero",[1]ACTUALIZACIÓN!$C$2-1,[1]ACTUALIZACIÓN!$C$2))</f>
        <v>0.18526948916387315</v>
      </c>
      <c r="L254" s="279">
        <f>GETPIVOTDATA("Suma de turistas",'[1]TTDD DATOS'!$B$6,"País",$C254,"categoría","Total","tipología","Total","zona","sur","municipio","total municipios","Años",[1]ACTUALIZACIÓN!$C$2)/GETPIVOTDATA("Suma de turistas",'[1]TTDD DATOS'!$B$6,"País",$C273,"categoría","Total","tipología","Total","zona","sur","municipio","total municipios","Años",[1]ACTUALIZACIÓN!$C$2)</f>
        <v>7.8612281317652563E-2</v>
      </c>
      <c r="M254" s="280">
        <f>GETPIVOTDATA("Suma de turistas",'[1]TTDD DATOS'!$B$49,"País",$C254,"categoría","Total","tipología","Total","zona","sur","municipio","total municipios","Años",IF([1]ACTUALIZACIÓN!$C$1="enero",[1]ACTUALIZACIÓN!$C$2-1,[1]ACTUALIZACIÓN!$C$2))/GETPIVOTDATA("Suma de turistas",'[1]TTDD DATOS'!$B$49,"País",$C273,"categoría","Total","tipología","Total","zona","sur","municipio","total municipios","Años",IF([1]ACTUALIZACIÓN!$C$1="enero",[1]ACTUALIZACIÓN!$C$2-1,[1]ACTUALIZACIÓN!$C$2))</f>
        <v>7.4053519157976325E-2</v>
      </c>
    </row>
    <row r="255" spans="3:13" ht="24" customHeight="1" thickBot="1" x14ac:dyDescent="0.25">
      <c r="C255" s="281" t="s">
        <v>43</v>
      </c>
      <c r="D255" s="268">
        <f>GETPIVOTDATA("Suma de turistas",'[1]TTDD DATOS'!$B$6,"País",$C255,"categoría","Total","tipología","Total","zona","tenerife","municipio","total municipios","Años",[1]ACTUALIZACIÓN!$C$2)/GETPIVOTDATA("Suma de turistas",'[1]TTDD DATOS'!$B$6,"País",$C273,"categoría","Total","tipología","Total","zona","tenerife","municipio","total municipios","Años",[1]ACTUALIZACIÓN!$C$2)</f>
        <v>4.0867964169933019E-2</v>
      </c>
      <c r="E255" s="269">
        <f>GETPIVOTDATA("Suma de turistas",'[1]TTDD DATOS'!$B$49,"País",$C255,"categoría","Total","tipología","Total","zona","tenerife","municipio","total municipios","Años",IF([1]ACTUALIZACIÓN!$C$1="enero",[1]ACTUALIZACIÓN!$C$2-1,[1]ACTUALIZACIÓN!$C$2))/GETPIVOTDATA("Suma de turistas",'[1]TTDD DATOS'!$B$49,"País",$C273,"categoría","Total","tipología","Total","zona","tenerife","municipio","total municipios","Años",IF([1]ACTUALIZACIÓN!$C$1="enero",[1]ACTUALIZACIÓN!$C$2-1,[1]ACTUALIZACIÓN!$C$2))</f>
        <v>4.5302891429295965E-2</v>
      </c>
      <c r="F255" s="273">
        <f>GETPIVOTDATA("Suma de turistas",'[1]TTDD DATOS'!$B$6,"País",$C255,"categoría","Total","tipología","Total","zona","santa cruz","municipio","total municipios","Años",[1]ACTUALIZACIÓN!$C$2)/GETPIVOTDATA("Suma de turistas",'[1]TTDD DATOS'!$B$6,"País",$C273,"categoría","Total","tipología","Total","zona","santa cruz","municipio","total municipios","Años",[1]ACTUALIZACIÓN!$C$2)</f>
        <v>4.5608902356198737E-2</v>
      </c>
      <c r="G255" s="269">
        <f>GETPIVOTDATA("Suma de turistas",'[1]TTDD DATOS'!$B$49,"País",$C255,"categoría","Total","tipología","Total","zona","santa cruz","municipio","total municipios","Años",IF([1]ACTUALIZACIÓN!$C$1="enero",[1]ACTUALIZACIÓN!$C$2-3,[1]ACTUALIZACIÓN!$C$2))/GETPIVOTDATA("Suma de turistas",'[1]TTDD DATOS'!$B$49,"País",$C273,"categoría","Total","tipología","Total","zona","santa cruz","municipio","total municipios","Años",IF([1]ACTUALIZACIÓN!$C$1="enero",[1]ACTUALIZACIÓN!$C$2-3,[1]ACTUALIZACIÓN!$C$2))</f>
        <v>4.6859621989676019E-2</v>
      </c>
      <c r="H255" s="268">
        <f>GETPIVOTDATA("Suma de turistas",'[1]TTDD DATOS'!$B$6,"País",$C255,"categoría","Total","tipología","Total","zona","la laguna-bajamar-la punta","municipio","total municipios","Años",[1]ACTUALIZACIÓN!$C$2)/GETPIVOTDATA("Suma de turistas",'[1]TTDD DATOS'!$B$6,"País",$C273,"categoría","Total","tipología","Total","zona","la laguna-bajamar-la punta","municipio","total municipios","Años",[1]ACTUALIZACIÓN!$C$2)</f>
        <v>9.1037260825780467E-2</v>
      </c>
      <c r="I255" s="269">
        <f>GETPIVOTDATA("Suma de turistas",'[1]TTDD DATOS'!$B$49,"País",$C255,"categoría","Total","tipología","Total","zona","la laguna-bajamar-la punta","municipio","total municipios","Años",IF([1]ACTUALIZACIÓN!$C$1="enero",[1]ACTUALIZACIÓN!$C$2-1,[1]ACTUALIZACIÓN!$C$2))/GETPIVOTDATA("Suma de turistas",'[1]TTDD DATOS'!$B$49,"País",$C273,"categoría","Total","tipología","Total","zona","la laguna-bajamar-la punta","municipio","total municipios","Años",IF([1]ACTUALIZACIÓN!$C$1="enero",[1]ACTUALIZACIÓN!$C$2-1,[1]ACTUALIZACIÓN!$C$2))</f>
        <v>9.6123566019344686E-2</v>
      </c>
      <c r="J255" s="268">
        <f>GETPIVOTDATA("Suma de turistas",'[1]TTDD DATOS'!$B$6,"País",$C255,"categoría","Total","tipología","Total","zona","norte","municipio","total municipios","Años",[1]ACTUALIZACIÓN!$C$2)/GETPIVOTDATA("Suma de turistas",'[1]TTDD DATOS'!$B$6,"País",$C273,"categoría","Total","tipología","Total","zona","norte","municipio","total municipios","Años",[1]ACTUALIZACIÓN!$C$2)</f>
        <v>6.1251193549527884E-2</v>
      </c>
      <c r="K255" s="269">
        <f>GETPIVOTDATA("Suma de turistas",'[1]TTDD DATOS'!$B$49,"País",$C255,"categoría","Total","tipología","Total","zona","norte","municipio","total municipios","Años",IF([1]ACTUALIZACIÓN!$C$1="enero",[1]ACTUALIZACIÓN!$C$2-1,[1]ACTUALIZACIÓN!$C$2))/GETPIVOTDATA("Suma de turistas",'[1]TTDD DATOS'!$B$49,"País",$C273,"categoría","Total","tipología","Total","zona","norte","municipio","total municipios","Años",IF([1]ACTUALIZACIÓN!$C$1="enero",[1]ACTUALIZACIÓN!$C$2-1,[1]ACTUALIZACIÓN!$C$2))</f>
        <v>6.1423112472237168E-2</v>
      </c>
      <c r="L255" s="274">
        <f>GETPIVOTDATA("Suma de turistas",'[1]TTDD DATOS'!$B$6,"País",$C255,"categoría","Total","tipología","Total","zona","sur","municipio","total municipios","Años",[1]ACTUALIZACIÓN!$C$2)/GETPIVOTDATA("Suma de turistas",'[1]TTDD DATOS'!$B$6,"País",$C273,"categoría","Total","tipología","Total","zona","sur","municipio","total municipios","Años",[1]ACTUALIZACIÓN!$C$2)</f>
        <v>3.5409718565326778E-2</v>
      </c>
      <c r="M255" s="272">
        <f>GETPIVOTDATA("Suma de turistas",'[1]TTDD DATOS'!$B$49,"País",$C255,"categoría","Total","tipología","Total","zona","sur","municipio","total municipios","Años",IF([1]ACTUALIZACIÓN!$C$1="enero",[1]ACTUALIZACIÓN!$C$2-1,[1]ACTUALIZACIÓN!$C$2))/GETPIVOTDATA("Suma de turistas",'[1]TTDD DATOS'!$B$49,"País",$C273,"categoría","Total","tipología","Total","zona","sur","municipio","total municipios","Años",IF([1]ACTUALIZACIÓN!$C$1="enero",[1]ACTUALIZACIÓN!$C$2-1,[1]ACTUALIZACIÓN!$C$2))</f>
        <v>4.1023050467444935E-2</v>
      </c>
    </row>
    <row r="256" spans="3:13" ht="24" customHeight="1" thickBot="1" x14ac:dyDescent="0.25">
      <c r="C256" s="275" t="s">
        <v>44</v>
      </c>
      <c r="D256" s="276">
        <f>GETPIVOTDATA("Suma de turistas",'[1]TTDD DATOS'!$B$6,"País",$C256,"categoría","Total","tipología","Total","zona","tenerife","municipio","total municipios","Años",[1]ACTUALIZACIÓN!$C$2)/GETPIVOTDATA("Suma de turistas",'[1]TTDD DATOS'!$B$6,"País",$C273,"categoría","Total","tipología","Total","zona","tenerife","municipio","total municipios","Años",[1]ACTUALIZACIÓN!$C$2)</f>
        <v>0.37104508127280328</v>
      </c>
      <c r="E256" s="277">
        <f>GETPIVOTDATA("Suma de turistas",'[1]TTDD DATOS'!$B$49,"País",$C256,"categoría","Total","tipología","Total","zona","tenerife","municipio","total municipios","Años",IF([1]ACTUALIZACIÓN!$C$1="enero",[1]ACTUALIZACIÓN!$C$2-1,[1]ACTUALIZACIÓN!$C$2))/GETPIVOTDATA("Suma de turistas",'[1]TTDD DATOS'!$B$49,"País",$C273,"categoría","Total","tipología","Total","zona","tenerife","municipio","total municipios","Años",IF([1]ACTUALIZACIÓN!$C$1="enero",[1]ACTUALIZACIÓN!$C$2-1,[1]ACTUALIZACIÓN!$C$2))</f>
        <v>0.33324772980517853</v>
      </c>
      <c r="F256" s="278">
        <f>GETPIVOTDATA("Suma de turistas",'[1]TTDD DATOS'!$B$6,"País",$C256,"categoría","Total","tipología","Total","zona","santa cruz","municipio","total municipios","Años",[1]ACTUALIZACIÓN!$C$2)/GETPIVOTDATA("Suma de turistas",'[1]TTDD DATOS'!$B$6,"País",$C273,"categoría","Total","tipología","Total","zona","santa cruz","municipio","total municipios","Años",[1]ACTUALIZACIÓN!$C$2)</f>
        <v>3.9235149678700169E-2</v>
      </c>
      <c r="G256" s="277">
        <f>GETPIVOTDATA("Suma de turistas",'[1]TTDD DATOS'!$B$49,"País",$C256,"categoría","Total","tipología","Total","zona","santa cruz","municipio","total municipios","Años",IF([1]ACTUALIZACIÓN!$C$1="enero",[1]ACTUALIZACIÓN!$C$2-3,[1]ACTUALIZACIÓN!$C$2))/GETPIVOTDATA("Suma de turistas",'[1]TTDD DATOS'!$B$49,"País",$C273,"categoría","Total","tipología","Total","zona","santa cruz","municipio","total municipios","Años",IF([1]ACTUALIZACIÓN!$C$1="enero",[1]ACTUALIZACIÓN!$C$2-3,[1]ACTUALIZACIÓN!$C$2))</f>
        <v>4.3947215136481414E-2</v>
      </c>
      <c r="H256" s="276">
        <f>GETPIVOTDATA("Suma de turistas",'[1]TTDD DATOS'!$B$6,"País",$C256,"categoría","Total","tipología","Total","zona","la laguna-bajamar-la punta","municipio","total municipios","Años",[1]ACTUALIZACIÓN!$C$2)/GETPIVOTDATA("Suma de turistas",'[1]TTDD DATOS'!$B$6,"País",$C273,"categoría","Total","tipología","Total","zona","la laguna-bajamar-la punta","municipio","total municipios","Años",[1]ACTUALIZACIÓN!$C$2)</f>
        <v>6.8882175226586101E-2</v>
      </c>
      <c r="I256" s="277">
        <f>GETPIVOTDATA("Suma de turistas",'[1]TTDD DATOS'!$B$49,"País",$C256,"categoría","Total","tipología","Total","zona","la laguna-bajamar-la punta","municipio","total municipios","Años",IF([1]ACTUALIZACIÓN!$C$1="enero",[1]ACTUALIZACIÓN!$C$2-1,[1]ACTUALIZACIÓN!$C$2))/GETPIVOTDATA("Suma de turistas",'[1]TTDD DATOS'!$B$49,"País",$C273,"categoría","Total","tipología","Total","zona","la laguna-bajamar-la punta","municipio","total municipios","Años",IF([1]ACTUALIZACIÓN!$C$1="enero",[1]ACTUALIZACIÓN!$C$2-1,[1]ACTUALIZACIÓN!$C$2))</f>
        <v>7.4904401289645345E-2</v>
      </c>
      <c r="J256" s="276">
        <f>GETPIVOTDATA("Suma de turistas",'[1]TTDD DATOS'!$B$6,"País",$C256,"categoría","Total","tipología","Total","zona","norte","municipio","total municipios","Años",[1]ACTUALIZACIÓN!$C$2)/GETPIVOTDATA("Suma de turistas",'[1]TTDD DATOS'!$B$6,"País",$C273,"categoría","Total","tipología","Total","zona","norte","municipio","total municipios","Años",[1]ACTUALIZACIÓN!$C$2)</f>
        <v>0.11099126498567741</v>
      </c>
      <c r="K256" s="277">
        <f>GETPIVOTDATA("Suma de turistas",'[1]TTDD DATOS'!$B$49,"País",$C256,"categoría","Total","tipología","Total","zona","norte","municipio","total municipios","Años",IF([1]ACTUALIZACIÓN!$C$1="enero",[1]ACTUALIZACIÓN!$C$2-1,[1]ACTUALIZACIÓN!$C$2))/GETPIVOTDATA("Suma de turistas",'[1]TTDD DATOS'!$B$49,"País",$C273,"categoría","Total","tipología","Total","zona","norte","municipio","total municipios","Años",IF([1]ACTUALIZACIÓN!$C$1="enero",[1]ACTUALIZACIÓN!$C$2-1,[1]ACTUALIZACIÓN!$C$2))</f>
        <v>0.1003048738429279</v>
      </c>
      <c r="L256" s="279">
        <f>GETPIVOTDATA("Suma de turistas",'[1]TTDD DATOS'!$B$6,"País",$C256,"categoría","Total","tipología","Total","zona","sur","municipio","total municipios","Años",[1]ACTUALIZACIÓN!$C$2)/GETPIVOTDATA("Suma de turistas",'[1]TTDD DATOS'!$B$6,"País",$C273,"categoría","Total","tipología","Total","zona","sur","municipio","total municipios","Años",[1]ACTUALIZACIÓN!$C$2)</f>
        <v>0.45353914340881163</v>
      </c>
      <c r="M256" s="280">
        <f>GETPIVOTDATA("Suma de turistas",'[1]TTDD DATOS'!$B$49,"País",$C256,"categoría","Total","tipología","Total","zona","sur","municipio","total municipios","Años",IF([1]ACTUALIZACIÓN!$C$1="enero",[1]ACTUALIZACIÓN!$C$2-1,[1]ACTUALIZACIÓN!$C$2))/GETPIVOTDATA("Suma de turistas",'[1]TTDD DATOS'!$B$49,"País",$C273,"categoría","Total","tipología","Total","zona","sur","municipio","total municipios","Años",IF([1]ACTUALIZACIÓN!$C$1="enero",[1]ACTUALIZACIÓN!$C$2-1,[1]ACTUALIZACIÓN!$C$2))</f>
        <v>0.40469036530596708</v>
      </c>
    </row>
    <row r="257" spans="3:13" ht="24" customHeight="1" thickBot="1" x14ac:dyDescent="0.25">
      <c r="C257" s="281" t="s">
        <v>45</v>
      </c>
      <c r="D257" s="268">
        <f>GETPIVOTDATA("Suma de turistas",'[1]TTDD DATOS'!$B$6,"País",$C257,"categoría","Total","tipología","Total","zona","tenerife","municipio","total municipios","Años",[1]ACTUALIZACIÓN!$C$2)/GETPIVOTDATA("Suma de turistas",'[1]TTDD DATOS'!$B$6,"País",$C273,"categoría","Total","tipología","Total","zona","tenerife","municipio","total municipios","Años",[1]ACTUALIZACIÓN!$C$2)</f>
        <v>3.2308622033457961E-2</v>
      </c>
      <c r="E257" s="269">
        <f>GETPIVOTDATA("Suma de turistas",'[1]TTDD DATOS'!$B$49,"País",$C257,"categoría","Total","tipología","Total","zona","tenerife","municipio","total municipios","Años",IF([1]ACTUALIZACIÓN!$C$1="enero",[1]ACTUALIZACIÓN!$C$2-1,[1]ACTUALIZACIÓN!$C$2))/GETPIVOTDATA("Suma de turistas",'[1]TTDD DATOS'!$B$49,"País",$C273,"categoría","Total","tipología","Total","zona","tenerife","municipio","total municipios","Años",IF([1]ACTUALIZACIÓN!$C$1="enero",[1]ACTUALIZACIÓN!$C$2-1,[1]ACTUALIZACIÓN!$C$2))</f>
        <v>3.4586690764597104E-2</v>
      </c>
      <c r="F257" s="273">
        <f>GETPIVOTDATA("Suma de turistas",'[1]TTDD DATOS'!$B$6,"País",$C257,"categoría","Total","tipología","Total","zona","santa cruz","municipio","total municipios","Años",[1]ACTUALIZACIÓN!$C$2)/GETPIVOTDATA("Suma de turistas",'[1]TTDD DATOS'!$B$6,"País",$C273,"categoría","Total","tipología","Total","zona","santa cruz","municipio","total municipios","Años",[1]ACTUALIZACIÓN!$C$2)</f>
        <v>4.7541925709210595E-3</v>
      </c>
      <c r="G257" s="269">
        <f>GETPIVOTDATA("Suma de turistas",'[1]TTDD DATOS'!$B$49,"País",$C257,"categoría","Total","tipología","Total","zona","santa cruz","municipio","total municipios","Años",IF([1]ACTUALIZACIÓN!$C$1="enero",[1]ACTUALIZACIÓN!$C$2-3,[1]ACTUALIZACIÓN!$C$2))/GETPIVOTDATA("Suma de turistas",'[1]TTDD DATOS'!$B$49,"País",$C273,"categoría","Total","tipología","Total","zona","santa cruz","municipio","total municipios","Años",IF([1]ACTUALIZACIÓN!$C$1="enero",[1]ACTUALIZACIÓN!$C$2-3,[1]ACTUALIZACIÓN!$C$2))</f>
        <v>1.1167573864663466E-2</v>
      </c>
      <c r="H257" s="268">
        <f>GETPIVOTDATA("Suma de turistas",'[1]TTDD DATOS'!$B$6,"País",$C257,"categoría","Total","tipología","Total","zona","la laguna-bajamar-la punta","municipio","total municipios","Años",[1]ACTUALIZACIÓN!$C$2)/GETPIVOTDATA("Suma de turistas",'[1]TTDD DATOS'!$B$6,"País",$C273,"categoría","Total","tipología","Total","zona","la laguna-bajamar-la punta","municipio","total municipios","Años",[1]ACTUALIZACIÓN!$C$2)</f>
        <v>5.8408862034239678E-3</v>
      </c>
      <c r="I257" s="269">
        <f>GETPIVOTDATA("Suma de turistas",'[1]TTDD DATOS'!$B$49,"País",$C257,"categoría","Total","tipología","Total","zona","la laguna-bajamar-la punta","municipio","total municipios","Años",IF([1]ACTUALIZACIÓN!$C$1="enero",[1]ACTUALIZACIÓN!$C$2-1,[1]ACTUALIZACIÓN!$C$2))/GETPIVOTDATA("Suma de turistas",'[1]TTDD DATOS'!$B$49,"País",$C273,"categoría","Total","tipología","Total","zona","la laguna-bajamar-la punta","municipio","total municipios","Años",IF([1]ACTUALIZACIÓN!$C$1="enero",[1]ACTUALIZACIÓN!$C$2-1,[1]ACTUALIZACIÓN!$C$2))</f>
        <v>7.1230411636799881E-3</v>
      </c>
      <c r="J257" s="268">
        <f>GETPIVOTDATA("Suma de turistas",'[1]TTDD DATOS'!$B$6,"País",$C257,"categoría","Total","tipología","Total","zona","norte","municipio","total municipios","Años",[1]ACTUALIZACIÓN!$C$2)/GETPIVOTDATA("Suma de turistas",'[1]TTDD DATOS'!$B$6,"País",$C273,"categoría","Total","tipología","Total","zona","norte","municipio","total municipios","Años",[1]ACTUALIZACIÓN!$C$2)</f>
        <v>8.0984545743890794E-3</v>
      </c>
      <c r="K257" s="269">
        <f>GETPIVOTDATA("Suma de turistas",'[1]TTDD DATOS'!$B$49,"País",$C257,"categoría","Total","tipología","Total","zona","norte","municipio","total municipios","Años",IF([1]ACTUALIZACIÓN!$C$1="enero",[1]ACTUALIZACIÓN!$C$2-1,[1]ACTUALIZACIÓN!$C$2))/GETPIVOTDATA("Suma de turistas",'[1]TTDD DATOS'!$B$49,"País",$C273,"categoría","Total","tipología","Total","zona","norte","municipio","total municipios","Años",IF([1]ACTUALIZACIÓN!$C$1="enero",[1]ACTUALIZACIÓN!$C$2-1,[1]ACTUALIZACIÓN!$C$2))</f>
        <v>8.635793016871526E-3</v>
      </c>
      <c r="L257" s="274">
        <f>GETPIVOTDATA("Suma de turistas",'[1]TTDD DATOS'!$B$6,"País",$C257,"categoría","Total","tipología","Total","zona","sur","municipio","total municipios","Años",[1]ACTUALIZACIÓN!$C$2)/GETPIVOTDATA("Suma de turistas",'[1]TTDD DATOS'!$B$6,"País",$C273,"categoría","Total","tipología","Total","zona","sur","municipio","total municipios","Años",[1]ACTUALIZACIÓN!$C$2)</f>
        <v>3.9724855186940494E-2</v>
      </c>
      <c r="M257" s="272">
        <f>GETPIVOTDATA("Suma de turistas",'[1]TTDD DATOS'!$B$49,"País",$C257,"categoría","Total","tipología","Total","zona","sur","municipio","total municipios","Años",IF([1]ACTUALIZACIÓN!$C$1="enero",[1]ACTUALIZACIÓN!$C$2-1,[1]ACTUALIZACIÓN!$C$2))/GETPIVOTDATA("Suma de turistas",'[1]TTDD DATOS'!$B$49,"País",$C273,"categoría","Total","tipología","Total","zona","sur","municipio","total municipios","Años",IF([1]ACTUALIZACIÓN!$C$1="enero",[1]ACTUALIZACIÓN!$C$2-1,[1]ACTUALIZACIÓN!$C$2))</f>
        <v>4.1914344435294688E-2</v>
      </c>
    </row>
    <row r="258" spans="3:13" ht="24" customHeight="1" thickBot="1" x14ac:dyDescent="0.25">
      <c r="C258" s="275" t="s">
        <v>46</v>
      </c>
      <c r="D258" s="276">
        <f>GETPIVOTDATA("Suma de turistas",'[1]TTDD DATOS'!$B$6,"País",$C258,"categoría","Total","tipología","Total","zona","tenerife","municipio","total municipios","Años",[1]ACTUALIZACIÓN!$C$2)/GETPIVOTDATA("Suma de turistas",'[1]TTDD DATOS'!$B$6,"País",$C273,"categoría","Total","tipología","Total","zona","tenerife","municipio","total municipios","Años",[1]ACTUALIZACIÓN!$C$2)</f>
        <v>3.4149826610489216E-2</v>
      </c>
      <c r="E258" s="277">
        <f>GETPIVOTDATA("Suma de turistas",'[1]TTDD DATOS'!$B$49,"País",$C258,"categoría","Total","tipología","Total","zona","tenerife","municipio","total municipios","Años",IF([1]ACTUALIZACIÓN!$C$1="enero",[1]ACTUALIZACIÓN!$C$2-1,[1]ACTUALIZACIÓN!$C$2))/GETPIVOTDATA("Suma de turistas",'[1]TTDD DATOS'!$B$49,"País",$C273,"categoría","Total","tipología","Total","zona","tenerife","municipio","total municipios","Años",IF([1]ACTUALIZACIÓN!$C$1="enero",[1]ACTUALIZACIÓN!$C$2-1,[1]ACTUALIZACIÓN!$C$2))</f>
        <v>3.4645789434662122E-2</v>
      </c>
      <c r="F258" s="278">
        <f>GETPIVOTDATA("Suma de turistas",'[1]TTDD DATOS'!$B$6,"País",$C258,"categoría","Total","tipología","Total","zona","santa cruz","municipio","total municipios","Años",[1]ACTUALIZACIÓN!$C$2)/GETPIVOTDATA("Suma de turistas",'[1]TTDD DATOS'!$B$6,"País",$C273,"categoría","Total","tipología","Total","zona","santa cruz","municipio","total municipios","Años",[1]ACTUALIZACIÓN!$C$2)</f>
        <v>2.9465545164829424E-2</v>
      </c>
      <c r="G258" s="277">
        <f>GETPIVOTDATA("Suma de turistas",'[1]TTDD DATOS'!$B$49,"País",$C258,"categoría","Total","tipología","Total","zona","santa cruz","municipio","total municipios","Años",IF([1]ACTUALIZACIÓN!$C$1="enero",[1]ACTUALIZACIÓN!$C$2-3,[1]ACTUALIZACIÓN!$C$2))/GETPIVOTDATA("Suma de turistas",'[1]TTDD DATOS'!$B$49,"País",$C273,"categoría","Total","tipología","Total","zona","santa cruz","municipio","total municipios","Años",IF([1]ACTUALIZACIÓN!$C$1="enero",[1]ACTUALIZACIÓN!$C$2-3,[1]ACTUALIZACIÓN!$C$2))</f>
        <v>2.8722357241850283E-2</v>
      </c>
      <c r="H258" s="276">
        <f>GETPIVOTDATA("Suma de turistas",'[1]TTDD DATOS'!$B$6,"País",$C258,"categoría","Total","tipología","Total","zona","la laguna-bajamar-la punta","municipio","total municipios","Años",[1]ACTUALIZACIÓN!$C$2)/GETPIVOTDATA("Suma de turistas",'[1]TTDD DATOS'!$B$6,"País",$C273,"categoría","Total","tipología","Total","zona","la laguna-bajamar-la punta","municipio","total municipios","Años",[1]ACTUALIZACIÓN!$C$2)</f>
        <v>3.8469284994964756E-2</v>
      </c>
      <c r="I258" s="277">
        <f>GETPIVOTDATA("Suma de turistas",'[1]TTDD DATOS'!$B$49,"País",$C258,"categoría","Total","tipología","Total","zona","la laguna-bajamar-la punta","municipio","total municipios","Años",IF([1]ACTUALIZACIÓN!$C$1="enero",[1]ACTUALIZACIÓN!$C$2-1,[1]ACTUALIZACIÓN!$C$2))/GETPIVOTDATA("Suma de turistas",'[1]TTDD DATOS'!$B$49,"País",$C273,"categoría","Total","tipología","Total","zona","la laguna-bajamar-la punta","municipio","total municipios","Años",IF([1]ACTUALIZACIÓN!$C$1="enero",[1]ACTUALIZACIÓN!$C$2-1,[1]ACTUALIZACIÓN!$C$2))</f>
        <v>3.2391092449576366E-2</v>
      </c>
      <c r="J258" s="276">
        <f>GETPIVOTDATA("Suma de turistas",'[1]TTDD DATOS'!$B$6,"País",$C258,"categoría","Total","tipología","Total","zona","norte","municipio","total municipios","Años",[1]ACTUALIZACIÓN!$C$2)/GETPIVOTDATA("Suma de turistas",'[1]TTDD DATOS'!$B$6,"País",$C273,"categoría","Total","tipología","Total","zona","norte","municipio","total municipios","Años",[1]ACTUALIZACIÓN!$C$2)</f>
        <v>2.3676486190189906E-2</v>
      </c>
      <c r="K258" s="277">
        <f>GETPIVOTDATA("Suma de turistas",'[1]TTDD DATOS'!$B$49,"País",$C258,"categoría","Total","tipología","Total","zona","norte","municipio","total municipios","Años",IF([1]ACTUALIZACIÓN!$C$1="enero",[1]ACTUALIZACIÓN!$C$2-1,[1]ACTUALIZACIÓN!$C$2))/GETPIVOTDATA("Suma de turistas",'[1]TTDD DATOS'!$B$49,"País",$C273,"categoría","Total","tipología","Total","zona","norte","municipio","total municipios","Años",IF([1]ACTUALIZACIÓN!$C$1="enero",[1]ACTUALIZACIÓN!$C$2-1,[1]ACTUALIZACIÓN!$C$2))</f>
        <v>2.4914124901709224E-2</v>
      </c>
      <c r="L258" s="279">
        <f>GETPIVOTDATA("Suma de turistas",'[1]TTDD DATOS'!$B$6,"País",$C258,"categoría","Total","tipología","Total","zona","sur","municipio","total municipios","Años",[1]ACTUALIZACIÓN!$C$2)/GETPIVOTDATA("Suma de turistas",'[1]TTDD DATOS'!$B$6,"País",$C273,"categoría","Total","tipología","Total","zona","sur","municipio","total municipios","Años",[1]ACTUALIZACIÓN!$C$2)</f>
        <v>3.6565297525013161E-2</v>
      </c>
      <c r="M258" s="280">
        <f>GETPIVOTDATA("Suma de turistas",'[1]TTDD DATOS'!$B$49,"País",$C258,"categoría","Total","tipología","Total","zona","sur","municipio","total municipios","Años",IF([1]ACTUALIZACIÓN!$C$1="enero",[1]ACTUALIZACIÓN!$C$2-1,[1]ACTUALIZACIÓN!$C$2))/GETPIVOTDATA("Suma de turistas",'[1]TTDD DATOS'!$B$49,"País",$C273,"categoría","Total","tipología","Total","zona","sur","municipio","total municipios","Años",IF([1]ACTUALIZACIÓN!$C$1="enero",[1]ACTUALIZACIÓN!$C$2-1,[1]ACTUALIZACIÓN!$C$2))</f>
        <v>3.7048211530077708E-2</v>
      </c>
    </row>
    <row r="259" spans="3:13" ht="24" customHeight="1" thickBot="1" x14ac:dyDescent="0.25">
      <c r="C259" s="281" t="s">
        <v>47</v>
      </c>
      <c r="D259" s="268">
        <f>GETPIVOTDATA("Suma de turistas",'[1]TTDD DATOS'!$B$6,"País","suecia","categoría","Total","tipología","Total","zona","tenerife","municipio","total municipios","Años",[1]ACTUALIZACIÓN!$C$2)/GETPIVOTDATA("Suma de turistas",'[1]TTDD DATOS'!$B$6,"País",$C273,"categoría","Total","tipología","Total","zona","tenerife","municipio","total municipios","Años",[1]ACTUALIZACIÓN!$C$2)+GETPIVOTDATA("Suma de turistas",'[1]TTDD DATOS'!$B$6,"País","noruega","categoría","Total","tipología","Total","zona","tenerife","municipio","total municipios","Años",[1]ACTUALIZACIÓN!$C$2)/GETPIVOTDATA("Suma de turistas",'[1]TTDD DATOS'!$B$6,"País",$C273,"categoría","Total","tipología","Total","zona","tenerife","municipio","total municipios","Años",[1]ACTUALIZACIÓN!$C$2)+GETPIVOTDATA("Suma de turistas",'[1]TTDD DATOS'!$B$6,"País","dinamarca","categoría","Total","tipología","Total","zona","tenerife","municipio","total municipios","Años",[1]ACTUALIZACIÓN!$C$2)/GETPIVOTDATA("Suma de turistas",'[1]TTDD DATOS'!$B$6,"País",$C273,"categoría","Total","tipología","Total","zona","tenerife","municipio","total municipios","Años",[1]ACTUALIZACIÓN!$C$2)+GETPIVOTDATA("Suma de turistas",'[1]TTDD DATOS'!$B$6,"País","finlandia","categoría","Total","tipología","Total","zona","tenerife","municipio","total municipios","Años",[1]ACTUALIZACIÓN!$C$2)/GETPIVOTDATA("Suma de turistas",'[1]TTDD DATOS'!$B$6,"País",$C273,"categoría","Total","tipología","Total","zona","tenerife","municipio","total municipios","Años",[1]ACTUALIZACIÓN!$C$2)</f>
        <v>6.0166725027956933E-2</v>
      </c>
      <c r="E259" s="269">
        <f>GETPIVOTDATA("Suma de turistas",'[1]TTDD DATOS'!$B$49,"País","suecia","categoría","Total","tipología","Total","zona","tenerife","municipio","total municipios","Años",IF([1]ACTUALIZACIÓN!$C$1="enero",[1]ACTUALIZACIÓN!$C$2-1,[1]ACTUALIZACIÓN!$C$2))/GETPIVOTDATA("Suma de turistas",'[1]TTDD DATOS'!$B$49,"País",$C273,"categoría","Total","tipología","Total","zona","tenerife","municipio","total municipios","Años",IF([1]ACTUALIZACIÓN!$C$1="enero",[1]ACTUALIZACIÓN!$C$2-1,[1]ACTUALIZACIÓN!$C$2))+GETPIVOTDATA("Suma de turistas",'[1]TTDD DATOS'!$B$49,"País","noruega","categoría","Total","tipología","Total","zona","tenerife","municipio","total municipios","Años",IF([1]ACTUALIZACIÓN!$C$1="enero",[1]ACTUALIZACIÓN!$C$2-1,[1]ACTUALIZACIÓN!$C$2))/GETPIVOTDATA("Suma de turistas",'[1]TTDD DATOS'!$B$49,"País",$C273,"categoría","Total","tipología","Total","zona","tenerife","municipio","total municipios","Años",IF([1]ACTUALIZACIÓN!$C$1="enero",[1]ACTUALIZACIÓN!$C$2-1,[1]ACTUALIZACIÓN!$C$2))+GETPIVOTDATA("Suma de turistas",'[1]TTDD DATOS'!$B$49,"País","dinamarca","categoría","Total","tipología","Total","zona","tenerife","municipio","total municipios","Años",IF([1]ACTUALIZACIÓN!$C$1="enero",[1]ACTUALIZACIÓN!$C$2-1,[1]ACTUALIZACIÓN!$C$2))/GETPIVOTDATA("Suma de turistas",'[1]TTDD DATOS'!$B$49,"País",$C273,"categoría","Total","tipología","Total","zona","tenerife","municipio","total municipios","Años",IF([1]ACTUALIZACIÓN!$C$1="enero",[1]ACTUALIZACIÓN!$C$2-1,[1]ACTUALIZACIÓN!$C$2))+GETPIVOTDATA("Suma de turistas",'[1]TTDD DATOS'!$B$49,"País","finlandia","categoría","Total","tipología","Total","zona","tenerife","municipio","total municipios","Años",IF([1]ACTUALIZACIÓN!$C$1="enero",[1]ACTUALIZACIÓN!$C$2-1,[1]ACTUALIZACIÓN!$C$2))/GETPIVOTDATA("Suma de turistas",'[1]TTDD DATOS'!$B$49,"País",$C273,"categoría","Total","tipología","Total","zona","tenerife","municipio","total municipios","Años",IF([1]ACTUALIZACIÓN!$C$1="enero",[1]ACTUALIZACIÓN!$C$2-1,[1]ACTUALIZACIÓN!$C$2))</f>
        <v>7.0447763760050811E-2</v>
      </c>
      <c r="F259" s="273">
        <f>GETPIVOTDATA("Suma de turistas",'[1]TTDD DATOS'!$B$6,"País","suecia","categoría","Total","tipología","Total","zona","santa cruz","municipio","total municipios","Años",[1]ACTUALIZACIÓN!$C$2)/GETPIVOTDATA("Suma de turistas",'[1]TTDD DATOS'!$B$6,"País",$C273,"categoría","Total","tipología","Total","zona","santa cruz","municipio","total municipios","Años",[1]ACTUALIZACIÓN!$C$2)+GETPIVOTDATA("Suma de turistas",'[1]TTDD DATOS'!$B$6,"País","noruega","categoría","Total","tipología","Total","zona","santa cruz","municipio","total municipios","Años",[1]ACTUALIZACIÓN!$C$2)/GETPIVOTDATA("Suma de turistas",'[1]TTDD DATOS'!$B$6,"País",$C273,"categoría","Total","tipología","Total","zona","santa cruz","municipio","total municipios","Años",[1]ACTUALIZACIÓN!$C$2)+GETPIVOTDATA("Suma de turistas",'[1]TTDD DATOS'!$B$6,"País","dinamarca","categoría","Total","tipología","Total","zona","santa cruz","municipio","total municipios","Años",[1]ACTUALIZACIÓN!$C$2)/GETPIVOTDATA("Suma de turistas",'[1]TTDD DATOS'!$B$6,"País",$C273,"categoría","Total","tipología","Total","zona","santa cruz","municipio","total municipios","Años",[1]ACTUALIZACIÓN!$C$2)+GETPIVOTDATA("Suma de turistas",'[1]TTDD DATOS'!$B$6,"País","finlandia","categoría","Total","tipología","Total","zona","santa cruz","municipio","total municipios","Años",[1]ACTUALIZACIÓN!$C$2)/GETPIVOTDATA("Suma de turistas",'[1]TTDD DATOS'!$B$6,"País",$C273,"categoría","Total","tipología","Total","zona","santa cruz","municipio","total municipios","Años",[1]ACTUALIZACIÓN!$C$2)</f>
        <v>2.7741497309440467E-2</v>
      </c>
      <c r="G259" s="269">
        <f>GETPIVOTDATA("Suma de turistas",'[1]TTDD DATOS'!$B$49,"País","suecia","categoría","Total","tipología","Total","zona","santa cruz","municipio","total municipios","Años",IF([1]ACTUALIZACIÓN!$C$1="enero",[1]ACTUALIZACIÓN!$C$2-3,[1]ACTUALIZACIÓN!$C$2))/GETPIVOTDATA("Suma de turistas",'[1]TTDD DATOS'!$B$49,"País",$C273,"categoría","Total","tipología","Total","zona","santa cruz","municipio","total municipios","Años",IF([1]ACTUALIZACIÓN!$C$1="enero",[1]ACTUALIZACIÓN!$C$2-3,[1]ACTUALIZACIÓN!$C$2))+GETPIVOTDATA("Suma de turistas",'[1]TTDD DATOS'!$B$49,"País","noruega","categoría","Total","tipología","Total","zona","santa cruz","municipio","total municipios","Años",IF([1]ACTUALIZACIÓN!$C$1="enero",[1]ACTUALIZACIÓN!$C$2-3,[1]ACTUALIZACIÓN!$C$2))/GETPIVOTDATA("Suma de turistas",'[1]TTDD DATOS'!$B$49,"País",$C273,"categoría","Total","tipología","Total","zona","santa cruz","municipio","total municipios","Años",IF([1]ACTUALIZACIÓN!$C$1="enero",[1]ACTUALIZACIÓN!$C$2-3,[1]ACTUALIZACIÓN!$C$2))+GETPIVOTDATA("Suma de turistas",'[1]TTDD DATOS'!$B$49,"País","dinamarca","categoría","Total","tipología","Total","zona","santa cruz","municipio","total municipios","Años",IF([1]ACTUALIZACIÓN!$C$1="enero",[1]ACTUALIZACIÓN!$C$2-3,[1]ACTUALIZACIÓN!$C$2))/GETPIVOTDATA("Suma de turistas",'[1]TTDD DATOS'!$B$49,"País",$C273,"categoría","Total","tipología","Total","zona","santa cruz","municipio","total municipios","Años",IF([1]ACTUALIZACIÓN!$C$1="enero",[1]ACTUALIZACIÓN!$C$2-3,[1]ACTUALIZACIÓN!$C$2))+GETPIVOTDATA("Suma de turistas",'[1]TTDD DATOS'!$B$49,"País","finlandia","categoría","Total","tipología","Total","zona","santa cruz","municipio","total municipios","Años",IF([1]ACTUALIZACIÓN!$C$1="enero",[1]ACTUALIZACIÓN!$C$2-3,[1]ACTUALIZACIÓN!$C$2))/GETPIVOTDATA("Suma de turistas",'[1]TTDD DATOS'!$B$49,"País",$C273,"categoría","Total","tipología","Total","zona","santa cruz","municipio","total municipios","Años",IF([1]ACTUALIZACIÓN!$C$1="enero",[1]ACTUALIZACIÓN!$C$2-3,[1]ACTUALIZACIÓN!$C$2))</f>
        <v>3.7278807720890997E-2</v>
      </c>
      <c r="H259" s="268">
        <f>GETPIVOTDATA("Suma de turistas",'[1]TTDD DATOS'!$B$6,"País","suecia","categoría","Total","tipología","Total","zona","la laguna-bajamar-la punta","municipio","total municipios","Años",[1]ACTUALIZACIÓN!$C$2)/GETPIVOTDATA("Suma de turistas",'[1]TTDD DATOS'!$B$6,"País",$C273,"categoría","Total","tipología","Total","zona","la laguna-bajamar-la punta","municipio","total municipios","Años",[1]ACTUALIZACIÓN!$C$2)+GETPIVOTDATA("Suma de turistas",'[1]TTDD DATOS'!$B$6,"País","noruega","categoría","Total","tipología","Total","zona","la laguna-bajamar-la punta","municipio","total municipios","Años",[1]ACTUALIZACIÓN!$C$2)/GETPIVOTDATA("Suma de turistas",'[1]TTDD DATOS'!$B$6,"País",$C273,"categoría","Total","tipología","Total","zona","la laguna-bajamar-la punta","municipio","total municipios","Años",[1]ACTUALIZACIÓN!$C$2)+GETPIVOTDATA("Suma de turistas",'[1]TTDD DATOS'!$B$6,"País","dinamarca","categoría","Total","tipología","Total","zona","la laguna-bajamar-la punta","municipio","total municipios","Años",[1]ACTUALIZACIÓN!$C$2)/GETPIVOTDATA("Suma de turistas",'[1]TTDD DATOS'!$B$6,"País",$C273,"categoría","Total","tipología","Total","zona","la laguna-bajamar-la punta","municipio","total municipios","Años",[1]ACTUALIZACIÓN!$C$2)+GETPIVOTDATA("Suma de turistas",'[1]TTDD DATOS'!$B$6,"País","finlandia","categoría","Total","tipología","Total","zona","la laguna-bajamar-la punta","municipio","total municipios","Años",[1]ACTUALIZACIÓN!$C$2)/GETPIVOTDATA("Suma de turistas",'[1]TTDD DATOS'!$B$6,"País",$C273,"categoría","Total","tipología","Total","zona","la laguna-bajamar-la punta","municipio","total municipios","Años",[1]ACTUALIZACIÓN!$C$2)</f>
        <v>1.8328298086606243E-2</v>
      </c>
      <c r="I259" s="269">
        <f>GETPIVOTDATA("Suma de turistas",'[1]TTDD DATOS'!$B$49,"País","suecia","categoría","Total","tipología","Total","zona","la laguna-bajamar-la punta","municipio","total municipios","Años",IF([1]ACTUALIZACIÓN!$C$1="enero",[1]ACTUALIZACIÓN!$C$2-1,[1]ACTUALIZACIÓN!$C$2))/GETPIVOTDATA("Suma de turistas",'[1]TTDD DATOS'!$B$49,"País",$C273,"categoría","Total","tipología","Total","zona","la laguna-bajamar-la punta","municipio","total municipios","Años",IF([1]ACTUALIZACIÓN!$C$1="enero",[1]ACTUALIZACIÓN!$C$2-1,[1]ACTUALIZACIÓN!$C$2))+GETPIVOTDATA("Suma de turistas",'[1]TTDD DATOS'!$B$49,"País","noruega","categoría","Total","tipología","Total","zona","la laguna-bajamar-la punta","municipio","total municipios","Años",IF([1]ACTUALIZACIÓN!$C$1="enero",[1]ACTUALIZACIÓN!$C$2-1,[1]ACTUALIZACIÓN!$C$2))/GETPIVOTDATA("Suma de turistas",'[1]TTDD DATOS'!$B$49,"País",$C273,"categoría","Total","tipología","Total","zona","la laguna-bajamar-la punta","municipio","total municipios","Años",IF([1]ACTUALIZACIÓN!$C$1="enero",[1]ACTUALIZACIÓN!$C$2-1,[1]ACTUALIZACIÓN!$C$2))+GETPIVOTDATA("Suma de turistas",'[1]TTDD DATOS'!$B$49,"País","dinamarca","categoría","Total","tipología","Total","zona","la laguna-bajamar-la punta","municipio","total municipios","Años",IF([1]ACTUALIZACIÓN!$C$1="enero",[1]ACTUALIZACIÓN!$C$2-1,[1]ACTUALIZACIÓN!$C$2))/GETPIVOTDATA("Suma de turistas",'[1]TTDD DATOS'!$B$49,"País",$C273,"categoría","Total","tipología","Total","zona","la laguna-bajamar-la punta","municipio","total municipios","Años",IF([1]ACTUALIZACIÓN!$C$1="enero",[1]ACTUALIZACIÓN!$C$2-1,[1]ACTUALIZACIÓN!$C$2))+GETPIVOTDATA("Suma de turistas",'[1]TTDD DATOS'!$B$49,"País","finlandia","categoría","Total","tipología","Total","zona","la laguna-bajamar-la punta","municipio","total municipios","Años",IF([1]ACTUALIZACIÓN!$C$1="enero",[1]ACTUALIZACIÓN!$C$2-1,[1]ACTUALIZACIÓN!$C$2))/GETPIVOTDATA("Suma de turistas",'[1]TTDD DATOS'!$B$49,"País",$C273,"categoría","Total","tipología","Total","zona","la laguna-bajamar-la punta","municipio","total municipios","Años",IF([1]ACTUALIZACIÓN!$C$1="enero",[1]ACTUALIZACIÓN!$C$2-1,[1]ACTUALIZACIÓN!$C$2))</f>
        <v>2.7442453325335531E-2</v>
      </c>
      <c r="J259" s="268">
        <f>GETPIVOTDATA("Suma de turistas",'[1]TTDD DATOS'!$B$6,"País","suecia","categoría","Total","tipología","Total","zona","norte","municipio","total municipios","Años",[1]ACTUALIZACIÓN!$C$2)/GETPIVOTDATA("Suma de turistas",'[1]TTDD DATOS'!$B$6,"País",$C273,"categoría","Total","tipología","Total","zona","norte","municipio","total municipios","Años",[1]ACTUALIZACIÓN!$C$2)+GETPIVOTDATA("Suma de turistas",'[1]TTDD DATOS'!$B$6,"País","noruega","categoría","Total","tipología","Total","zona","norte","municipio","total municipios","Años",[1]ACTUALIZACIÓN!$C$2)/GETPIVOTDATA("Suma de turistas",'[1]TTDD DATOS'!$B$6,"País",$C273,"categoría","Total","tipología","Total","zona","norte","municipio","total municipios","Años",[1]ACTUALIZACIÓN!$C$2)+GETPIVOTDATA("Suma de turistas",'[1]TTDD DATOS'!$B$6,"País","dinamarca","categoría","Total","tipología","Total","zona","norte","municipio","total municipios","Años",[1]ACTUALIZACIÓN!$C$2)/GETPIVOTDATA("Suma de turistas",'[1]TTDD DATOS'!$B$6,"País",$C273,"categoría","Total","tipología","Total","zona","norte","municipio","total municipios","Años",[1]ACTUALIZACIÓN!$C$2)+GETPIVOTDATA("Suma de turistas",'[1]TTDD DATOS'!$B$6,"País","finlandia","categoría","Total","tipología","Total","zona","norte","municipio","total municipios","Años",[1]ACTUALIZACIÓN!$C$2)/GETPIVOTDATA("Suma de turistas",'[1]TTDD DATOS'!$B$6,"País",$C273,"categoría","Total","tipología","Total","zona","norte","municipio","total municipios","Años",[1]ACTUALIZACIÓN!$C$2)</f>
        <v>6.2294444247975395E-2</v>
      </c>
      <c r="K259" s="269">
        <f>GETPIVOTDATA("Suma de turistas",'[1]TTDD DATOS'!$B$49,"País","suecia","categoría","Total","tipología","Total","zona","norte","municipio","total municipios","Años",IF([1]ACTUALIZACIÓN!$C$1="enero",[1]ACTUALIZACIÓN!$C$2-1,[1]ACTUALIZACIÓN!$C$2))/GETPIVOTDATA("Suma de turistas",'[1]TTDD DATOS'!$B$49,"País",$C273,"categoría","Total","tipología","Total","zona","norte","municipio","total municipios","Años",IF([1]ACTUALIZACIÓN!$C$1="enero",[1]ACTUALIZACIÓN!$C$2-1,[1]ACTUALIZACIÓN!$C$2))+GETPIVOTDATA("Suma de turistas",'[1]TTDD DATOS'!$B$49,"País","noruega","categoría","Total","tipología","Total","zona","norte","municipio","total municipios","Años",IF([1]ACTUALIZACIÓN!$C$1="enero",[1]ACTUALIZACIÓN!$C$2-1,[1]ACTUALIZACIÓN!$C$2))/GETPIVOTDATA("Suma de turistas",'[1]TTDD DATOS'!$B$49,"País",$C273,"categoría","Total","tipología","Total","zona","norte","municipio","total municipios","Años",IF([1]ACTUALIZACIÓN!$C$1="enero",[1]ACTUALIZACIÓN!$C$2-1,[1]ACTUALIZACIÓN!$C$2))+GETPIVOTDATA("Suma de turistas",'[1]TTDD DATOS'!$B$49,"País","dinamarca","categoría","Total","tipología","Total","zona","norte","municipio","total municipios","Años",IF([1]ACTUALIZACIÓN!$C$1="enero",[1]ACTUALIZACIÓN!$C$2-1,[1]ACTUALIZACIÓN!$C$2))/GETPIVOTDATA("Suma de turistas",'[1]TTDD DATOS'!$B$49,"País",$C273,"categoría","Total","tipología","Total","zona","norte","municipio","total municipios","Años",IF([1]ACTUALIZACIÓN!$C$1="enero",[1]ACTUALIZACIÓN!$C$2-1,[1]ACTUALIZACIÓN!$C$2))+GETPIVOTDATA("Suma de turistas",'[1]TTDD DATOS'!$B$49,"País","finlandia","categoría","Total","tipología","Total","zona","norte","municipio","total municipios","Años",IF([1]ACTUALIZACIÓN!$C$1="enero",[1]ACTUALIZACIÓN!$C$2-1,[1]ACTUALIZACIÓN!$C$2))/GETPIVOTDATA("Suma de turistas",'[1]TTDD DATOS'!$B$49,"País",$C273,"categoría","Total","tipología","Total","zona","norte","municipio","total municipios","Años",IF([1]ACTUALIZACIÓN!$C$1="enero",[1]ACTUALIZACIÓN!$C$2-1,[1]ACTUALIZACIÓN!$C$2))</f>
        <v>7.2342010511939739E-2</v>
      </c>
      <c r="L259" s="274">
        <f>GETPIVOTDATA("Suma de turistas",'[1]TTDD DATOS'!$B$6,"País","suecia","categoría","Total","tipología","Total","zona","sur","municipio","total municipios","Años",[1]ACTUALIZACIÓN!$C$2)/GETPIVOTDATA("Suma de turistas",'[1]TTDD DATOS'!$B$6,"País",$C273,"categoría","Total","tipología","Total","zona","sur","municipio","total municipios","Años",[1]ACTUALIZACIÓN!$C$2)+GETPIVOTDATA("Suma de turistas",'[1]TTDD DATOS'!$B$6,"País","noruega","categoría","Total","tipología","Total","zona","sur","municipio","total municipios","Años",[1]ACTUALIZACIÓN!$C$2)/GETPIVOTDATA("Suma de turistas",'[1]TTDD DATOS'!$B$6,"País",$C273,"categoría","Total","tipología","Total","zona","sur","municipio","total municipios","Años",[1]ACTUALIZACIÓN!$C$2)+GETPIVOTDATA("Suma de turistas",'[1]TTDD DATOS'!$B$6,"País","dinamarca","categoría","Total","tipología","Total","zona","sur","municipio","total municipios","Años",[1]ACTUALIZACIÓN!$C$2)/GETPIVOTDATA("Suma de turistas",'[1]TTDD DATOS'!$B$6,"País",$C273,"categoría","Total","tipología","Total","zona","sur","municipio","total municipios","Años",[1]ACTUALIZACIÓN!$C$2)+GETPIVOTDATA("Suma de turistas",'[1]TTDD DATOS'!$B$6,"País","finlandia","categoría","Total","tipología","Total","zona","sur","municipio","total municipios","Años",[1]ACTUALIZACIÓN!$C$2)/GETPIVOTDATA("Suma de turistas",'[1]TTDD DATOS'!$B$6,"País",$C273,"categoría","Total","tipología","Total","zona","sur","municipio","total municipios","Años",[1]ACTUALIZACIÓN!$C$2)</f>
        <v>6.2755982680943179E-2</v>
      </c>
      <c r="M259" s="272">
        <f>GETPIVOTDATA("Suma de turistas",'[1]TTDD DATOS'!$B$49,"País","suecia","categoría","Total","tipología","Total","zona","sur","municipio","total municipios","Años",IF([1]ACTUALIZACIÓN!$C$1="enero",[1]ACTUALIZACIÓN!$C$2-1,[1]ACTUALIZACIÓN!$C$2))/GETPIVOTDATA("Suma de turistas",'[1]TTDD DATOS'!$B$49,"País",$C273,"categoría","Total","tipología","Total","zona","sur","municipio","total municipios","Años",IF([1]ACTUALIZACIÓN!$C$1="enero",[1]ACTUALIZACIÓN!$C$2-1,[1]ACTUALIZACIÓN!$C$2))+GETPIVOTDATA("Suma de turistas",'[1]TTDD DATOS'!$B$49,"País","noruega","categoría","Total","tipología","Total","zona","sur","municipio","total municipios","Años",IF([1]ACTUALIZACIÓN!$C$1="enero",[1]ACTUALIZACIÓN!$C$2-1,[1]ACTUALIZACIÓN!$C$2))/GETPIVOTDATA("Suma de turistas",'[1]TTDD DATOS'!$B$49,"País",$C273,"categoría","Total","tipología","Total","zona","sur","municipio","total municipios","Años",IF([1]ACTUALIZACIÓN!$C$1="enero",[1]ACTUALIZACIÓN!$C$2-1,[1]ACTUALIZACIÓN!$C$2))+GETPIVOTDATA("Suma de turistas",'[1]TTDD DATOS'!$B$49,"País","dinamarca","categoría","Total","tipología","Total","zona","sur","municipio","total municipios","Años",IF([1]ACTUALIZACIÓN!$C$1="enero",[1]ACTUALIZACIÓN!$C$2-1,[1]ACTUALIZACIÓN!$C$2))/GETPIVOTDATA("Suma de turistas",'[1]TTDD DATOS'!$B$49,"País",$C273,"categoría","Total","tipología","Total","zona","sur","municipio","total municipios","Años",IF([1]ACTUALIZACIÓN!$C$1="enero",[1]ACTUALIZACIÓN!$C$2-1,[1]ACTUALIZACIÓN!$C$2))+GETPIVOTDATA("Suma de turistas",'[1]TTDD DATOS'!$B$49,"País","finlandia","categoría","Total","tipología","Total","zona","sur","municipio","total municipios","Años",IF([1]ACTUALIZACIÓN!$C$1="enero",[1]ACTUALIZACIÓN!$C$2-1,[1]ACTUALIZACIÓN!$C$2))/GETPIVOTDATA("Suma de turistas",'[1]TTDD DATOS'!$B$49,"País",$C273,"categoría","Total","tipología","Total","zona","sur","municipio","total municipios","Años",IF([1]ACTUALIZACIÓN!$C$1="enero",[1]ACTUALIZACIÓN!$C$2-1,[1]ACTUALIZACIÓN!$C$2))</f>
        <v>7.3147001224837208E-2</v>
      </c>
    </row>
    <row r="260" spans="3:13" ht="24" customHeight="1" thickBot="1" x14ac:dyDescent="0.25">
      <c r="C260" s="282" t="s">
        <v>48</v>
      </c>
      <c r="D260" s="276">
        <f>GETPIVOTDATA("Suma de turistas",'[1]TTDD DATOS'!$B$6,"País",$C260,"categoría","Total","tipología","Total","zona","tenerife","municipio","total municipios","Años",[1]ACTUALIZACIÓN!$C$2)/GETPIVOTDATA("Suma de turistas",'[1]TTDD DATOS'!$B$6,"País",$C273,"categoría","Total","tipología","Total","zona","tenerife","municipio","total municipios","Años",[1]ACTUALIZACIÓN!$C$2)</f>
        <v>1.4947079488077353E-2</v>
      </c>
      <c r="E260" s="277">
        <f>GETPIVOTDATA("Suma de turistas",'[1]TTDD DATOS'!$B$49,"País",$C260,"categoría","Total","tipología","Total","zona","tenerife","municipio","total municipios","Años",IF([1]ACTUALIZACIÓN!$C$1="enero",[1]ACTUALIZACIÓN!$C$2-1,[1]ACTUALIZACIÓN!$C$2))/GETPIVOTDATA("Suma de turistas",'[1]TTDD DATOS'!$B$49,"País",$C273,"categoría","Total","tipología","Total","zona","tenerife","municipio","total municipios","Años",IF([1]ACTUALIZACIÓN!$C$1="enero",[1]ACTUALIZACIÓN!$C$2-1,[1]ACTUALIZACIÓN!$C$2))</f>
        <v>1.7386828733128672E-2</v>
      </c>
      <c r="F260" s="278">
        <f>GETPIVOTDATA("Suma de turistas",'[1]TTDD DATOS'!$B$6,"País",$C260,"categoría","Total","tipología","Total","zona","santa cruz","municipio","total municipios","Años",[1]ACTUALIZACIÓN!$C$2)/GETPIVOTDATA("Suma de turistas",'[1]TTDD DATOS'!$B$6,"País",$C273,"categoría","Total","tipología","Total","zona","santa cruz","municipio","total municipios","Años",[1]ACTUALIZACIÓN!$C$2)</f>
        <v>9.0381902721905858E-3</v>
      </c>
      <c r="G260" s="277">
        <f>GETPIVOTDATA("Suma de turistas",'[1]TTDD DATOS'!$B$49,"País",$C260,"categoría","Total","tipología","Total","zona","santa cruz","municipio","total municipios","Años",IF([1]ACTUALIZACIÓN!$C$1="enero",[1]ACTUALIZACIÓN!$C$2-3,[1]ACTUALIZACIÓN!$C$2))/GETPIVOTDATA("Suma de turistas",'[1]TTDD DATOS'!$B$49,"País",$C273,"categoría","Total","tipología","Total","zona","santa cruz","municipio","total municipios","Años",IF([1]ACTUALIZACIÓN!$C$1="enero",[1]ACTUALIZACIÓN!$C$2-3,[1]ACTUALIZACIÓN!$C$2))</f>
        <v>1.3156044750637717E-2</v>
      </c>
      <c r="H260" s="276">
        <f>GETPIVOTDATA("Suma de turistas",'[1]TTDD DATOS'!$B$6,"País",$C260,"categoría","Total","tipología","Total","zona","la laguna-bajamar-la punta","municipio","total municipios","Años",[1]ACTUALIZACIÓN!$C$2)/GETPIVOTDATA("Suma de turistas",'[1]TTDD DATOS'!$B$6,"País",$C273,"categoría","Total","tipología","Total","zona","la laguna-bajamar-la punta","municipio","total municipios","Años",[1]ACTUALIZACIÓN!$C$2)</f>
        <v>4.6324269889224572E-3</v>
      </c>
      <c r="I260" s="277">
        <f>GETPIVOTDATA("Suma de turistas",'[1]TTDD DATOS'!$B$49,"País",$C260,"categoría","Total","tipología","Total","zona","la laguna-bajamar-la punta","municipio","total municipios","Años",IF([1]ACTUALIZACIÓN!$C$1="enero",[1]ACTUALIZACIÓN!$C$2-1,[1]ACTUALIZACIÓN!$C$2))/GETPIVOTDATA("Suma de turistas",'[1]TTDD DATOS'!$B$49,"País",$C273,"categoría","Total","tipología","Total","zona","la laguna-bajamar-la punta","municipio","total municipios","Años",IF([1]ACTUALIZACIÓN!$C$1="enero",[1]ACTUALIZACIÓN!$C$2-1,[1]ACTUALIZACIÓN!$C$2))</f>
        <v>7.1230411636799881E-3</v>
      </c>
      <c r="J260" s="276">
        <f>GETPIVOTDATA("Suma de turistas",'[1]TTDD DATOS'!$B$6,"País",$C260,"categoría","Total","tipología","Total","zona","norte","municipio","total municipios","Años",[1]ACTUALIZACIÓN!$C$2)/GETPIVOTDATA("Suma de turistas",'[1]TTDD DATOS'!$B$6,"País",$C273,"categoría","Total","tipología","Total","zona","norte","municipio","total municipios","Años",[1]ACTUALIZACIÓN!$C$2)</f>
        <v>1.6904197757895111E-2</v>
      </c>
      <c r="K260" s="277">
        <f>GETPIVOTDATA("Suma de turistas",'[1]TTDD DATOS'!$B$49,"País",$C260,"categoría","Total","tipología","Total","zona","norte","municipio","total municipios","Años",IF([1]ACTUALIZACIÓN!$C$1="enero",[1]ACTUALIZACIÓN!$C$2-1,[1]ACTUALIZACIÓN!$C$2))/GETPIVOTDATA("Suma de turistas",'[1]TTDD DATOS'!$B$49,"País",$C273,"categoría","Total","tipología","Total","zona","norte","municipio","total municipios","Años",IF([1]ACTUALIZACIÓN!$C$1="enero",[1]ACTUALIZACIÓN!$C$2-1,[1]ACTUALIZACIÓN!$C$2))</f>
        <v>1.8540744112899889E-2</v>
      </c>
      <c r="L260" s="279">
        <f>GETPIVOTDATA("Suma de turistas",'[1]TTDD DATOS'!$B$6,"País",$C260,"categoría","Total","tipología","Total","zona","sur","municipio","total municipios","Años",[1]ACTUALIZACIÓN!$C$2)/GETPIVOTDATA("Suma de turistas",'[1]TTDD DATOS'!$B$6,"País",$C273,"categoría","Total","tipología","Total","zona","sur","municipio","total municipios","Años",[1]ACTUALIZACIÓN!$C$2)</f>
        <v>1.5143204025510502E-2</v>
      </c>
      <c r="M260" s="280">
        <f>GETPIVOTDATA("Suma de turistas",'[1]TTDD DATOS'!$B$49,"País",$C260,"categoría","Total","tipología","Total","zona","sur","municipio","total municipios","Años",IF([1]ACTUALIZACIÓN!$C$1="enero",[1]ACTUALIZACIÓN!$C$2-1,[1]ACTUALIZACIÓN!$C$2))/GETPIVOTDATA("Suma de turistas",'[1]TTDD DATOS'!$B$49,"País",$C273,"categoría","Total","tipología","Total","zona","sur","municipio","total municipios","Años",IF([1]ACTUALIZACIÓN!$C$1="enero",[1]ACTUALIZACIÓN!$C$2-1,[1]ACTUALIZACIÓN!$C$2))</f>
        <v>1.7636271789300322E-2</v>
      </c>
    </row>
    <row r="261" spans="3:13" ht="24" customHeight="1" thickBot="1" x14ac:dyDescent="0.25">
      <c r="C261" s="267" t="s">
        <v>49</v>
      </c>
      <c r="D261" s="268">
        <f>GETPIVOTDATA("Suma de turistas",'[1]TTDD DATOS'!$B$6,"País",$C261,"categoría","Total","tipología","Total","zona","tenerife","municipio","total municipios","Años",[1]ACTUALIZACIÓN!$C$2)/GETPIVOTDATA("Suma de turistas",'[1]TTDD DATOS'!$B$6,"País",$C273,"categoría","Total","tipología","Total","zona","tenerife","municipio","total municipios","Años",[1]ACTUALIZACIÓN!$C$2)</f>
        <v>9.4121700233821687E-3</v>
      </c>
      <c r="E261" s="269">
        <f>GETPIVOTDATA("Suma de turistas",'[1]TTDD DATOS'!$B$49,"País",$C261,"categoría","Total","tipología","Total","zona","tenerife","municipio","total municipios","Años",IF([1]ACTUALIZACIÓN!$C$1="enero",[1]ACTUALIZACIÓN!$C$2-1,[1]ACTUALIZACIÓN!$C$2))/GETPIVOTDATA("Suma de turistas",'[1]TTDD DATOS'!$B$49,"País",$C273,"categoría","Total","tipología","Total","zona","tenerife","municipio","total municipios","Años",IF([1]ACTUALIZACIÓN!$C$1="enero",[1]ACTUALIZACIÓN!$C$2-1,[1]ACTUALIZACIÓN!$C$2))</f>
        <v>1.1269579120762223E-2</v>
      </c>
      <c r="F261" s="273">
        <f>GETPIVOTDATA("Suma de turistas",'[1]TTDD DATOS'!$B$6,"País",$C261,"categoría","Total","tipología","Total","zona","santa cruz","municipio","total municipios","Años",[1]ACTUALIZACIÓN!$C$2)/GETPIVOTDATA("Suma de turistas",'[1]TTDD DATOS'!$B$6,"País",$C273,"categoría","Total","tipología","Total","zona","santa cruz","municipio","total municipios","Años",[1]ACTUALIZACIÓN!$C$2)</f>
        <v>7.4186301656130821E-3</v>
      </c>
      <c r="G261" s="269">
        <f>GETPIVOTDATA("Suma de turistas",'[1]TTDD DATOS'!$B$49,"País",$C261,"categoría","Total","tipología","Total","zona","santa cruz","municipio","total municipios","Años",IF([1]ACTUALIZACIÓN!$C$1="enero",[1]ACTUALIZACIÓN!$C$2-3,[1]ACTUALIZACIÓN!$C$2))/GETPIVOTDATA("Suma de turistas",'[1]TTDD DATOS'!$B$49,"País",$C273,"categoría","Total","tipología","Total","zona","santa cruz","municipio","total municipios","Años",IF([1]ACTUALIZACIÓN!$C$1="enero",[1]ACTUALIZACIÓN!$C$2-3,[1]ACTUALIZACIÓN!$C$2))</f>
        <v>8.5162793500311324E-3</v>
      </c>
      <c r="H261" s="268">
        <f>GETPIVOTDATA("Suma de turistas",'[1]TTDD DATOS'!$B$6,"País",$C261,"categoría","Total","tipología","Total","zona","la laguna-bajamar-la punta","municipio","total municipios","Años",[1]ACTUALIZACIÓN!$C$2)/GETPIVOTDATA("Suma de turistas",'[1]TTDD DATOS'!$B$6,"País",$C273,"categoría","Total","tipología","Total","zona","la laguna-bajamar-la punta","municipio","total municipios","Años",[1]ACTUALIZACIÓN!$C$2)</f>
        <v>1.6112789526686808E-3</v>
      </c>
      <c r="I261" s="269">
        <f>GETPIVOTDATA("Suma de turistas",'[1]TTDD DATOS'!$B$49,"País",$C261,"categoría","Total","tipología","Total","zona","la laguna-bajamar-la punta","municipio","total municipios","Años",IF([1]ACTUALIZACIÓN!$C$1="enero",[1]ACTUALIZACIÓN!$C$2-1,[1]ACTUALIZACIÓN!$C$2))/GETPIVOTDATA("Suma de turistas",'[1]TTDD DATOS'!$B$49,"País",$C273,"categoría","Total","tipología","Total","zona","la laguna-bajamar-la punta","municipio","total municipios","Años",IF([1]ACTUALIZACIÓN!$C$1="enero",[1]ACTUALIZACIÓN!$C$2-1,[1]ACTUALIZACIÓN!$C$2))</f>
        <v>3.5990102721751519E-3</v>
      </c>
      <c r="J261" s="268">
        <f>GETPIVOTDATA("Suma de turistas",'[1]TTDD DATOS'!$B$6,"País",$C261,"categoría","Total","tipología","Total","zona","norte","municipio","total municipios","Años",[1]ACTUALIZACIÓN!$C$2)/GETPIVOTDATA("Suma de turistas",'[1]TTDD DATOS'!$B$6,"País",$C273,"categoría","Total","tipología","Total","zona","norte","municipio","total municipios","Años",[1]ACTUALIZACIÓN!$C$2)</f>
        <v>6.7015595713831025E-3</v>
      </c>
      <c r="K261" s="269">
        <f>GETPIVOTDATA("Suma de turistas",'[1]TTDD DATOS'!$B$49,"País",$C261,"categoría","Total","tipología","Total","zona","norte","municipio","total municipios","Años",IF([1]ACTUALIZACIÓN!$C$1="enero",[1]ACTUALIZACIÓN!$C$2-1,[1]ACTUALIZACIÓN!$C$2))/GETPIVOTDATA("Suma de turistas",'[1]TTDD DATOS'!$B$49,"País",$C273,"categoría","Total","tipología","Total","zona","norte","municipio","total municipios","Años",IF([1]ACTUALIZACIÓN!$C$1="enero",[1]ACTUALIZACIÓN!$C$2-1,[1]ACTUALIZACIÓN!$C$2))</f>
        <v>7.6908220557601846E-3</v>
      </c>
      <c r="L261" s="274">
        <f>GETPIVOTDATA("Suma de turistas",'[1]TTDD DATOS'!$B$6,"País",$C261,"categoría","Total","tipología","Total","zona","sur","municipio","total municipios","Años",[1]ACTUALIZACIÓN!$C$2)/GETPIVOTDATA("Suma de turistas",'[1]TTDD DATOS'!$B$6,"País",$C273,"categoría","Total","tipología","Total","zona","sur","municipio","total municipios","Años",[1]ACTUALIZACIÓN!$C$2)</f>
        <v>1.0253934819495641E-2</v>
      </c>
      <c r="M261" s="272">
        <f>GETPIVOTDATA("Suma de turistas",'[1]TTDD DATOS'!$B$49,"País",$C261,"categoría","Total","tipología","Total","zona","sur","municipio","total municipios","Años",IF([1]ACTUALIZACIÓN!$C$1="enero",[1]ACTUALIZACIÓN!$C$2-1,[1]ACTUALIZACIÓN!$C$2))/GETPIVOTDATA("Suma de turistas",'[1]TTDD DATOS'!$B$49,"País",$C273,"categoría","Total","tipología","Total","zona","sur","municipio","total municipios","Años",IF([1]ACTUALIZACIÓN!$C$1="enero",[1]ACTUALIZACIÓN!$C$2-1,[1]ACTUALIZACIÓN!$C$2))</f>
        <v>1.2318955912780519E-2</v>
      </c>
    </row>
    <row r="262" spans="3:13" ht="24" customHeight="1" thickBot="1" x14ac:dyDescent="0.25">
      <c r="C262" s="282" t="s">
        <v>50</v>
      </c>
      <c r="D262" s="276">
        <f>GETPIVOTDATA("Suma de turistas",'[1]TTDD DATOS'!$B$6,"País",$C262,"categoría","Total","tipología","Total","zona","tenerife","municipio","total municipios","Años",[1]ACTUALIZACIÓN!$C$2)/GETPIVOTDATA("Suma de turistas",'[1]TTDD DATOS'!$B$6,"País",$C273,"categoría","Total","tipología","Total","zona","tenerife","municipio","total municipios","Años",[1]ACTUALIZACIÓN!$C$2)</f>
        <v>1.8440285104316098E-2</v>
      </c>
      <c r="E262" s="277">
        <f>GETPIVOTDATA("Suma de turistas",'[1]TTDD DATOS'!$B$49,"País",$C262,"categoría","Total","tipología","Total","zona","tenerife","municipio","total municipios","Años",IF([1]ACTUALIZACIÓN!$C$1="enero",[1]ACTUALIZACIÓN!$C$2-1,[1]ACTUALIZACIÓN!$C$2))/GETPIVOTDATA("Suma de turistas",'[1]TTDD DATOS'!$B$49,"País",$C273,"categoría","Total","tipología","Total","zona","tenerife","municipio","total municipios","Años",IF([1]ACTUALIZACIÓN!$C$1="enero",[1]ACTUALIZACIÓN!$C$2-1,[1]ACTUALIZACIÓN!$C$2))</f>
        <v>2.1667721488383886E-2</v>
      </c>
      <c r="F262" s="278">
        <f>GETPIVOTDATA("Suma de turistas",'[1]TTDD DATOS'!$B$6,"País",$C262,"categoría","Total","tipología","Total","zona","santa cruz","municipio","total municipios","Años",[1]ACTUALIZACIÓN!$C$2)/GETPIVOTDATA("Suma de turistas",'[1]TTDD DATOS'!$B$6,"País",$C273,"categoría","Total","tipología","Total","zona","santa cruz","municipio","total municipios","Años",[1]ACTUALIZACIÓN!$C$2)</f>
        <v>5.694582310224126E-3</v>
      </c>
      <c r="G262" s="277">
        <f>GETPIVOTDATA("Suma de turistas",'[1]TTDD DATOS'!$B$49,"País",$C262,"categoría","Total","tipología","Total","zona","santa cruz","municipio","total municipios","Años",IF([1]ACTUALIZACIÓN!$C$1="enero",[1]ACTUALIZACIÓN!$C$2-3,[1]ACTUALIZACIÓN!$C$2))/GETPIVOTDATA("Suma de turistas",'[1]TTDD DATOS'!$B$49,"País",$C273,"categoría","Total","tipología","Total","zona","santa cruz","municipio","total municipios","Años",IF([1]ACTUALIZACIÓN!$C$1="enero",[1]ACTUALIZACIÓN!$C$2-3,[1]ACTUALIZACIÓN!$C$2))</f>
        <v>7.4316588667724505E-3</v>
      </c>
      <c r="H262" s="276">
        <f>GETPIVOTDATA("Suma de turistas",'[1]TTDD DATOS'!$B$6,"País",$C262,"categoría","Total","tipología","Total","zona","la laguna-bajamar-la punta","municipio","total municipios","Años",[1]ACTUALIZACIÓN!$C$2)/GETPIVOTDATA("Suma de turistas",'[1]TTDD DATOS'!$B$6,"País",$C273,"categoría","Total","tipología","Total","zona","la laguna-bajamar-la punta","municipio","total municipios","Años",[1]ACTUALIZACIÓN!$C$2)</f>
        <v>8.8620342396777442E-3</v>
      </c>
      <c r="I262" s="277">
        <f>GETPIVOTDATA("Suma de turistas",'[1]TTDD DATOS'!$B$49,"País",$C262,"categoría","Total","tipología","Total","zona","la laguna-bajamar-la punta","municipio","total municipios","Años",IF([1]ACTUALIZACIÓN!$C$1="enero",[1]ACTUALIZACIÓN!$C$2-1,[1]ACTUALIZACIÓN!$C$2))/GETPIVOTDATA("Suma de turistas",'[1]TTDD DATOS'!$B$49,"País",$C273,"categoría","Total","tipología","Total","zona","la laguna-bajamar-la punta","municipio","total municipios","Años",IF([1]ACTUALIZACIÓN!$C$1="enero",[1]ACTUALIZACIÓN!$C$2-1,[1]ACTUALIZACIÓN!$C$2))</f>
        <v>1.2596535952613031E-2</v>
      </c>
      <c r="J262" s="276">
        <f>GETPIVOTDATA("Suma de turistas",'[1]TTDD DATOS'!$B$6,"País",$C262,"categoría","Total","tipología","Total","zona","norte","municipio","total municipios","Años",[1]ACTUALIZACIÓN!$C$2)/GETPIVOTDATA("Suma de turistas",'[1]TTDD DATOS'!$B$6,"País",$C273,"categoría","Total","tipología","Total","zona","norte","municipio","total municipios","Años",[1]ACTUALIZACIÓN!$C$2)</f>
        <v>1.6921879973123034E-2</v>
      </c>
      <c r="K262" s="277">
        <f>GETPIVOTDATA("Suma de turistas",'[1]TTDD DATOS'!$B$49,"País",$C262,"categoría","Total","tipología","Total","zona","norte","municipio","total municipios","Años",IF([1]ACTUALIZACIÓN!$C$1="enero",[1]ACTUALIZACIÓN!$C$2-1,[1]ACTUALIZACIÓN!$C$2))/GETPIVOTDATA("Suma de turistas",'[1]TTDD DATOS'!$B$49,"País",$C273,"categoría","Total","tipología","Total","zona","norte","municipio","total municipios","Años",IF([1]ACTUALIZACIÓN!$C$1="enero",[1]ACTUALIZACIÓN!$C$2-1,[1]ACTUALIZACIÓN!$C$2))</f>
        <v>1.868559367628192E-2</v>
      </c>
      <c r="L262" s="279">
        <f>GETPIVOTDATA("Suma de turistas",'[1]TTDD DATOS'!$B$6,"País",$C262,"categoría","Total","tipología","Total","zona","sur","municipio","total municipios","Años",[1]ACTUALIZACIÓN!$C$2)/GETPIVOTDATA("Suma de turistas",'[1]TTDD DATOS'!$B$6,"País",$C273,"categoría","Total","tipología","Total","zona","sur","municipio","total municipios","Años",[1]ACTUALIZACIÓN!$C$2)</f>
        <v>1.9820373295886724E-2</v>
      </c>
      <c r="M262" s="280">
        <f>GETPIVOTDATA("Suma de turistas",'[1]TTDD DATOS'!$B$49,"País",$C262,"categoría","Total","tipología","Total","zona","sur","municipio","total municipios","Años",IF([1]ACTUALIZACIÓN!$C$1="enero",[1]ACTUALIZACIÓN!$C$2-1,[1]ACTUALIZACIÓN!$C$2))/GETPIVOTDATA("Suma de turistas",'[1]TTDD DATOS'!$B$49,"País",$C273,"categoría","Total","tipología","Total","zona","sur","municipio","total municipios","Años",IF([1]ACTUALIZACIÓN!$C$1="enero",[1]ACTUALIZACIÓN!$C$2-1,[1]ACTUALIZACIÓN!$C$2))</f>
        <v>2.3414458615034359E-2</v>
      </c>
    </row>
    <row r="263" spans="3:13" ht="24" customHeight="1" thickBot="1" x14ac:dyDescent="0.25">
      <c r="C263" s="267" t="s">
        <v>51</v>
      </c>
      <c r="D263" s="268">
        <f>GETPIVOTDATA("Suma de turistas",'[1]TTDD DATOS'!$B$6,"País",$C263,"categoría","Total","tipología","Total","zona","tenerife","municipio","total municipios","Años",[1]ACTUALIZACIÓN!$C$2)/GETPIVOTDATA("Suma de turistas",'[1]TTDD DATOS'!$B$6,"País",$C273,"categoría","Total","tipología","Total","zona","tenerife","municipio","total municipios","Años",[1]ACTUALIZACIÓN!$C$2)</f>
        <v>1.7367190412181318E-2</v>
      </c>
      <c r="E263" s="269">
        <f>GETPIVOTDATA("Suma de turistas",'[1]TTDD DATOS'!$B$49,"País",$C263,"categoría","Total","tipología","Total","zona","tenerife","municipio","total municipios","Años",IF([1]ACTUALIZACIÓN!$C$1="enero",[1]ACTUALIZACIÓN!$C$2-1,[1]ACTUALIZACIÓN!$C$2))/GETPIVOTDATA("Suma de turistas",'[1]TTDD DATOS'!$B$49,"País",$C273,"categoría","Total","tipología","Total","zona","tenerife","municipio","total municipios","Años",IF([1]ACTUALIZACIÓN!$C$1="enero",[1]ACTUALIZACIÓN!$C$2-1,[1]ACTUALIZACIÓN!$C$2))</f>
        <v>2.012363441777602E-2</v>
      </c>
      <c r="F263" s="273">
        <f>GETPIVOTDATA("Suma de turistas",'[1]TTDD DATOS'!$B$6,"País",$C263,"categoría","Total","tipología","Total","zona","santa cruz","municipio","total municipios","Años",[1]ACTUALIZACIÓN!$C$2)/GETPIVOTDATA("Suma de turistas",'[1]TTDD DATOS'!$B$6,"País",$C273,"categoría","Total","tipología","Total","zona","santa cruz","municipio","total municipios","Años",[1]ACTUALIZACIÓN!$C$2)</f>
        <v>5.5900945614126745E-3</v>
      </c>
      <c r="G263" s="269">
        <f>GETPIVOTDATA("Suma de turistas",'[1]TTDD DATOS'!$B$49,"País",$C263,"categoría","Total","tipología","Total","zona","santa cruz","municipio","total municipios","Años",IF([1]ACTUALIZACIÓN!$C$1="enero",[1]ACTUALIZACIÓN!$C$2-3,[1]ACTUALIZACIÓN!$C$2))/GETPIVOTDATA("Suma de turistas",'[1]TTDD DATOS'!$B$49,"País",$C273,"categoría","Total","tipología","Total","zona","santa cruz","municipio","total municipios","Años",IF([1]ACTUALIZACIÓN!$C$1="enero",[1]ACTUALIZACIÓN!$C$2-3,[1]ACTUALIZACIÓN!$C$2))</f>
        <v>8.1748247534496957E-3</v>
      </c>
      <c r="H263" s="268">
        <f>GETPIVOTDATA("Suma de turistas",'[1]TTDD DATOS'!$B$6,"País",$C263,"categoría","Total","tipología","Total","zona","la laguna-bajamar-la punta","municipio","total municipios","Años",[1]ACTUALIZACIÓN!$C$2)/GETPIVOTDATA("Suma de turistas",'[1]TTDD DATOS'!$B$6,"País",$C273,"categoría","Total","tipología","Total","zona","la laguna-bajamar-la punta","municipio","total municipios","Años",[1]ACTUALIZACIÓN!$C$2)</f>
        <v>3.2225579053373615E-3</v>
      </c>
      <c r="I263" s="269">
        <f>GETPIVOTDATA("Suma de turistas",'[1]TTDD DATOS'!$B$49,"País",$C263,"categoría","Total","tipología","Total","zona","la laguna-bajamar-la punta","municipio","total municipios","Años",IF([1]ACTUALIZACIÓN!$C$1="enero",[1]ACTUALIZACIÓN!$C$2-1,[1]ACTUALIZACIÓN!$C$2))/GETPIVOTDATA("Suma de turistas",'[1]TTDD DATOS'!$B$49,"País",$C273,"categoría","Total","tipología","Total","zona","la laguna-bajamar-la punta","municipio","total municipios","Años",IF([1]ACTUALIZACIÓN!$C$1="enero",[1]ACTUALIZACIÓN!$C$2-1,[1]ACTUALIZACIÓN!$C$2))</f>
        <v>4.1238659368673615E-3</v>
      </c>
      <c r="J263" s="268">
        <f>GETPIVOTDATA("Suma de turistas",'[1]TTDD DATOS'!$B$6,"País",$C263,"categoría","Total","tipología","Total","zona","norte","municipio","total municipios","Años",[1]ACTUALIZACIÓN!$C$2)/GETPIVOTDATA("Suma de turistas",'[1]TTDD DATOS'!$B$6,"País",$C273,"categoría","Total","tipología","Total","zona","norte","municipio","total municipios","Años",[1]ACTUALIZACIÓN!$C$2)</f>
        <v>2.1766806945574143E-2</v>
      </c>
      <c r="K263" s="269">
        <f>GETPIVOTDATA("Suma de turistas",'[1]TTDD DATOS'!$B$49,"País",$C263,"categoría","Total","tipología","Total","zona","norte","municipio","total municipios","Años",IF([1]ACTUALIZACIÓN!$C$1="enero",[1]ACTUALIZACIÓN!$C$2-1,[1]ACTUALIZACIÓN!$C$2))/GETPIVOTDATA("Suma de turistas",'[1]TTDD DATOS'!$B$49,"País",$C273,"categoría","Total","tipología","Total","zona","norte","municipio","total municipios","Años",IF([1]ACTUALIZACIÓN!$C$1="enero",[1]ACTUALIZACIÓN!$C$2-1,[1]ACTUALIZACIÓN!$C$2))</f>
        <v>2.7424850666997753E-2</v>
      </c>
      <c r="L263" s="274">
        <f>GETPIVOTDATA("Suma de turistas",'[1]TTDD DATOS'!$B$6,"País",$C263,"categoría","Total","tipología","Total","zona","sur","municipio","total municipios","Años",[1]ACTUALIZACIÓN!$C$2)/GETPIVOTDATA("Suma de turistas",'[1]TTDD DATOS'!$B$6,"País",$C273,"categoría","Total","tipología","Total","zona","sur","municipio","total municipios","Años",[1]ACTUALIZACIÓN!$C$2)</f>
        <v>1.7538470540050317E-2</v>
      </c>
      <c r="M263" s="272">
        <f>GETPIVOTDATA("Suma de turistas",'[1]TTDD DATOS'!$B$49,"País",$C263,"categoría","Total","tipología","Total","zona","sur","municipio","total municipios","Años",IF([1]ACTUALIZACIÓN!$C$1="enero",[1]ACTUALIZACIÓN!$C$2-1,[1]ACTUALIZACIÓN!$C$2))/GETPIVOTDATA("Suma de turistas",'[1]TTDD DATOS'!$B$49,"País",$C273,"categoría","Total","tipología","Total","zona","sur","municipio","total municipios","Años",IF([1]ACTUALIZACIÓN!$C$1="enero",[1]ACTUALIZACIÓN!$C$2-1,[1]ACTUALIZACIÓN!$C$2))</f>
        <v>1.9777314907722009E-2</v>
      </c>
    </row>
    <row r="264" spans="3:13" ht="24" customHeight="1" thickBot="1" x14ac:dyDescent="0.25">
      <c r="C264" s="275" t="s">
        <v>52</v>
      </c>
      <c r="D264" s="276">
        <f>GETPIVOTDATA("Suma de turistas",'[1]TTDD DATOS'!$B$6,"País",$C264,"categoría","Total","tipología","Total","zona","tenerife","municipio","total municipios","Años",[1]ACTUALIZACIÓN!$C$2)/GETPIVOTDATA("Suma de turistas",'[1]TTDD DATOS'!$B$6,"País",$C273,"categoría","Total","tipología","Total","zona","tenerife","municipio","total municipios","Años",[1]ACTUALIZACIÓN!$C$2)</f>
        <v>8.8445594099108762E-3</v>
      </c>
      <c r="E264" s="277">
        <f>GETPIVOTDATA("Suma de turistas",'[1]TTDD DATOS'!$B$49,"País",$C264,"categoría","Total","tipología","Total","zona","tenerife","municipio","total municipios","Años",IF([1]ACTUALIZACIÓN!$C$1="enero",[1]ACTUALIZACIÓN!$C$2-1,[1]ACTUALIZACIÓN!$C$2))/GETPIVOTDATA("Suma de turistas",'[1]TTDD DATOS'!$B$49,"País",$C273,"categoría","Total","tipología","Total","zona","tenerife","municipio","total municipios","Años",IF([1]ACTUALIZACIÓN!$C$1="enero",[1]ACTUALIZACIÓN!$C$2-1,[1]ACTUALIZACIÓN!$C$2))</f>
        <v>9.0646614667000483E-3</v>
      </c>
      <c r="F264" s="278">
        <f>GETPIVOTDATA("Suma de turistas",'[1]TTDD DATOS'!$B$6,"País",$C264,"categoría","Total","tipología","Total","zona","santa cruz","municipio","total municipios","Años",[1]ACTUALIZACIÓN!$C$2)/GETPIVOTDATA("Suma de turistas",'[1]TTDD DATOS'!$B$6,"País",$C273,"categoría","Total","tipología","Total","zona","santa cruz","municipio","total municipios","Años",[1]ACTUALIZACIÓN!$C$2)</f>
        <v>9.6651167650592968E-3</v>
      </c>
      <c r="G264" s="277">
        <f>GETPIVOTDATA("Suma de turistas",'[1]TTDD DATOS'!$B$49,"País",$C264,"categoría","Total","tipología","Total","zona","santa cruz","municipio","total municipios","Años",IF([1]ACTUALIZACIÓN!$C$1="enero",[1]ACTUALIZACIÓN!$C$2-3,[1]ACTUALIZACIÓN!$C$2))/GETPIVOTDATA("Suma de turistas",'[1]TTDD DATOS'!$B$49,"País",$C273,"categoría","Total","tipología","Total","zona","santa cruz","municipio","total municipios","Años",IF([1]ACTUALIZACIÓN!$C$1="enero",[1]ACTUALIZACIÓN!$C$2-3,[1]ACTUALIZACIÓN!$C$2))</f>
        <v>8.8577339466125692E-3</v>
      </c>
      <c r="H264" s="276">
        <f>GETPIVOTDATA("Suma de turistas",'[1]TTDD DATOS'!$B$6,"País",$C264,"categoría","Total","tipología","Total","zona","la laguna-bajamar-la punta","municipio","total municipios","Años",[1]ACTUALIZACIÓN!$C$2)/GETPIVOTDATA("Suma de turistas",'[1]TTDD DATOS'!$B$6,"País",$C273,"categoría","Total","tipología","Total","zona","la laguna-bajamar-la punta","municipio","total municipios","Años",[1]ACTUALIZACIÓN!$C$2)</f>
        <v>2.6183282980866064E-2</v>
      </c>
      <c r="I264" s="277">
        <f>GETPIVOTDATA("Suma de turistas",'[1]TTDD DATOS'!$B$49,"País",$C264,"categoría","Total","tipología","Total","zona","la laguna-bajamar-la punta","municipio","total municipios","Años",IF([1]ACTUALIZACIÓN!$C$1="enero",[1]ACTUALIZACIÓN!$C$2-1,[1]ACTUALIZACIÓN!$C$2))/GETPIVOTDATA("Suma de turistas",'[1]TTDD DATOS'!$B$49,"País",$C273,"categoría","Total","tipología","Total","zona","la laguna-bajamar-la punta","municipio","total municipios","Años",IF([1]ACTUALIZACIÓN!$C$1="enero",[1]ACTUALIZACIÓN!$C$2-1,[1]ACTUALIZACIÓN!$C$2))</f>
        <v>2.2868711104446278E-2</v>
      </c>
      <c r="J264" s="276">
        <f>GETPIVOTDATA("Suma de turistas",'[1]TTDD DATOS'!$B$6,"País",$C264,"categoría","Total","tipología","Total","zona","norte","municipio","total municipios","Años",[1]ACTUALIZACIÓN!$C$2)/GETPIVOTDATA("Suma de turistas",'[1]TTDD DATOS'!$B$6,"País",$C273,"categoría","Total","tipología","Total","zona","norte","municipio","total municipios","Años",[1]ACTUALIZACIÓN!$C$2)</f>
        <v>7.8332213459702225E-3</v>
      </c>
      <c r="K264" s="277">
        <f>GETPIVOTDATA("Suma de turistas",'[1]TTDD DATOS'!$B$49,"País",$C264,"categoría","Total","tipología","Total","zona","norte","municipio","total municipios","Años",IF([1]ACTUALIZACIÓN!$C$1="enero",[1]ACTUALIZACIÓN!$C$2-1,[1]ACTUALIZACIÓN!$C$2))/GETPIVOTDATA("Suma de turistas",'[1]TTDD DATOS'!$B$49,"País",$C273,"categoría","Total","tipología","Total","zona","norte","municipio","total municipios","Años",IF([1]ACTUALIZACIÓN!$C$1="enero",[1]ACTUALIZACIÓN!$C$2-1,[1]ACTUALIZACIÓN!$C$2))</f>
        <v>8.5392266412835059E-3</v>
      </c>
      <c r="L264" s="279">
        <f>GETPIVOTDATA("Suma de turistas",'[1]TTDD DATOS'!$B$6,"País",$C264,"categoría","Total","tipología","Total","zona","sur","municipio","total municipios","Años",[1]ACTUALIZACIÓN!$C$2)/GETPIVOTDATA("Suma de turistas",'[1]TTDD DATOS'!$B$6,"País",$C273,"categoría","Total","tipología","Total","zona","sur","municipio","total municipios","Años",[1]ACTUALIZACIÓN!$C$2)</f>
        <v>8.6814697794160671E-3</v>
      </c>
      <c r="M264" s="280">
        <f>GETPIVOTDATA("Suma de turistas",'[1]TTDD DATOS'!$B$49,"País",$C264,"categoría","Total","tipología","Total","zona","sur","municipio","total municipios","Años",IF([1]ACTUALIZACIÓN!$C$1="enero",[1]ACTUALIZACIÓN!$C$2-1,[1]ACTUALIZACIÓN!$C$2))/GETPIVOTDATA("Suma de turistas",'[1]TTDD DATOS'!$B$49,"País",$C273,"categoría","Total","tipología","Total","zona","sur","municipio","total municipios","Años",IF([1]ACTUALIZACIÓN!$C$1="enero",[1]ACTUALIZACIÓN!$C$2-1,[1]ACTUALIZACIÓN!$C$2))</f>
        <v>8.929547640631379E-3</v>
      </c>
    </row>
    <row r="265" spans="3:13" ht="24" customHeight="1" thickBot="1" x14ac:dyDescent="0.25">
      <c r="C265" s="281" t="s">
        <v>53</v>
      </c>
      <c r="D265" s="268">
        <f>GETPIVOTDATA("Suma de turistas",'[1]TTDD DATOS'!$B$6,"País",$C265,"categoría","Total","tipología","Total","zona","tenerife","municipio","total municipios","Años",[1]ACTUALIZACIÓN!$C$2)/GETPIVOTDATA("Suma de turistas",'[1]TTDD DATOS'!$B$6,"País",$C273,"categoría","Total","tipología","Total","zona","tenerife","municipio","total municipios","Años",[1]ACTUALIZACIÓN!$C$2)</f>
        <v>5.2412203910582973E-3</v>
      </c>
      <c r="E265" s="269">
        <f>GETPIVOTDATA("Suma de turistas",'[1]TTDD DATOS'!$B$49,"País",$C265,"categoría","Total","tipología","Total","zona","tenerife","municipio","total municipios","Años",IF([1]ACTUALIZACIÓN!$C$1="enero",[1]ACTUALIZACIÓN!$C$2-1,[1]ACTUALIZACIÓN!$C$2))/GETPIVOTDATA("Suma de turistas",'[1]TTDD DATOS'!$B$49,"País",$C273,"categoría","Total","tipología","Total","zona","tenerife","municipio","total municipios","Años",IF([1]ACTUALIZACIÓN!$C$1="enero",[1]ACTUALIZACIÓN!$C$2-1,[1]ACTUALIZACIÓN!$C$2))</f>
        <v>6.7436955150556544E-3</v>
      </c>
      <c r="F265" s="273">
        <f>GETPIVOTDATA("Suma de turistas",'[1]TTDD DATOS'!$B$6,"País",$C265,"categoría","Total","tipología","Total","zona","santa cruz","municipio","total municipios","Años",[1]ACTUALIZACIÓN!$C$2)/GETPIVOTDATA("Suma de turistas",'[1]TTDD DATOS'!$B$6,"País",$C273,"categoría","Total","tipología","Total","zona","santa cruz","municipio","total municipios","Años",[1]ACTUALIZACIÓN!$C$2)</f>
        <v>4.1272660780523485E-3</v>
      </c>
      <c r="G265" s="269">
        <f>GETPIVOTDATA("Suma de turistas",'[1]TTDD DATOS'!$B$49,"País",$C265,"categoría","Total","tipología","Total","zona","santa cruz","municipio","total municipios","Años",IF([1]ACTUALIZACIÓN!$C$1="enero",[1]ACTUALIZACIÓN!$C$2-3,[1]ACTUALIZACIÓN!$C$2))/GETPIVOTDATA("Suma de turistas",'[1]TTDD DATOS'!$B$49,"País",$C273,"categoría","Total","tipología","Total","zona","santa cruz","municipio","total municipios","Años",IF([1]ACTUALIZACIÓN!$C$1="enero",[1]ACTUALIZACIÓN!$C$2-3,[1]ACTUALIZACIÓN!$C$2))</f>
        <v>6.1060116094562838E-3</v>
      </c>
      <c r="H265" s="268">
        <f>GETPIVOTDATA("Suma de turistas",'[1]TTDD DATOS'!$B$6,"País",$C265,"categoría","Total","tipología","Total","zona","la laguna-bajamar-la punta","municipio","total municipios","Años",[1]ACTUALIZACIÓN!$C$2)/GETPIVOTDATA("Suma de turistas",'[1]TTDD DATOS'!$B$6,"País",$C273,"categoría","Total","tipología","Total","zona","la laguna-bajamar-la punta","municipio","total municipios","Años",[1]ACTUALIZACIÓN!$C$2)</f>
        <v>8.459214501510574E-3</v>
      </c>
      <c r="I265" s="269">
        <f>GETPIVOTDATA("Suma de turistas",'[1]TTDD DATOS'!$B$49,"País",$C265,"categoría","Total","tipología","Total","zona","la laguna-bajamar-la punta","municipio","total municipios","Años",IF([1]ACTUALIZACIÓN!$C$1="enero",[1]ACTUALIZACIÓN!$C$2-1,[1]ACTUALIZACIÓN!$C$2))/GETPIVOTDATA("Suma de turistas",'[1]TTDD DATOS'!$B$49,"País",$C273,"categoría","Total","tipología","Total","zona","la laguna-bajamar-la punta","municipio","total municipios","Años",IF([1]ACTUALIZACIÓN!$C$1="enero",[1]ACTUALIZACIÓN!$C$2-1,[1]ACTUALIZACIÓN!$C$2))</f>
        <v>1.019719577116293E-2</v>
      </c>
      <c r="J265" s="268">
        <f>GETPIVOTDATA("Suma de turistas",'[1]TTDD DATOS'!$B$6,"País",$C265,"categoría","Total","tipología","Total","zona","norte","municipio","total municipios","Años",[1]ACTUALIZACIÓN!$C$2)/GETPIVOTDATA("Suma de turistas",'[1]TTDD DATOS'!$B$6,"País",$C273,"categoría","Total","tipología","Total","zona","norte","municipio","total municipios","Años",[1]ACTUALIZACIÓN!$C$2)</f>
        <v>7.5326236870955189E-3</v>
      </c>
      <c r="K265" s="269">
        <f>GETPIVOTDATA("Suma de turistas",'[1]TTDD DATOS'!$B$49,"País",$C265,"categoría","Total","tipología","Total","zona","norte","municipio","total municipios","Años",IF([1]ACTUALIZACIÓN!$C$1="enero",[1]ACTUALIZACIÓN!$C$2-1,[1]ACTUALIZACIÓN!$C$2))/GETPIVOTDATA("Suma de turistas",'[1]TTDD DATOS'!$B$49,"País",$C273,"categoría","Total","tipología","Total","zona","norte","municipio","total municipios","Años",IF([1]ACTUALIZACIÓN!$C$1="enero",[1]ACTUALIZACIÓN!$C$2-1,[1]ACTUALIZACIÓN!$C$2))</f>
        <v>9.5393783884451435E-3</v>
      </c>
      <c r="L265" s="274">
        <f>GETPIVOTDATA("Suma de turistas",'[1]TTDD DATOS'!$B$6,"País",$C265,"categoría","Total","tipología","Total","zona","sur","municipio","total municipios","Años",[1]ACTUALIZACIÓN!$C$2)/GETPIVOTDATA("Suma de turistas",'[1]TTDD DATOS'!$B$6,"País",$C273,"categoría","Total","tipología","Total","zona","sur","municipio","total municipios","Años",[1]ACTUALIZACIÓN!$C$2)</f>
        <v>4.7868761336375869E-3</v>
      </c>
      <c r="M265" s="272">
        <f>GETPIVOTDATA("Suma de turistas",'[1]TTDD DATOS'!$B$49,"País",$C265,"categoría","Total","tipología","Total","zona","sur","municipio","total municipios","Años",IF([1]ACTUALIZACIÓN!$C$1="enero",[1]ACTUALIZACIÓN!$C$2-1,[1]ACTUALIZACIÓN!$C$2))/GETPIVOTDATA("Suma de turistas",'[1]TTDD DATOS'!$B$49,"País",$C273,"categoría","Total","tipología","Total","zona","sur","municipio","total municipios","Años",IF([1]ACTUALIZACIÓN!$C$1="enero",[1]ACTUALIZACIÓN!$C$2-1,[1]ACTUALIZACIÓN!$C$2))</f>
        <v>6.1629379485014773E-3</v>
      </c>
    </row>
    <row r="266" spans="3:13" ht="24" customHeight="1" thickBot="1" x14ac:dyDescent="0.25">
      <c r="C266" s="275" t="s">
        <v>54</v>
      </c>
      <c r="D266" s="276">
        <f>GETPIVOTDATA("Suma de turistas",'[1]TTDD DATOS'!$B$6,"País",$C266,"categoría","Total","tipología","Total","zona","tenerife","municipio","total municipios","Años",[1]ACTUALIZACIÓN!$C$2)/GETPIVOTDATA("Suma de turistas",'[1]TTDD DATOS'!$B$6,"País",$C273,"categoría","Total","tipología","Total","zona","tenerife","municipio","total municipios","Años",[1]ACTUALIZACIÓN!$C$2)</f>
        <v>1.4232624337787618E-3</v>
      </c>
      <c r="E266" s="277">
        <f>GETPIVOTDATA("Suma de turistas",'[1]TTDD DATOS'!$B$49,"País",$C266,"categoría","Total","tipología","Total","zona","tenerife","municipio","total municipios","Años",IF([1]ACTUALIZACIÓN!$C$1="enero",[1]ACTUALIZACIÓN!$C$2-1,[1]ACTUALIZACIÓN!$C$2))/GETPIVOTDATA("Suma de turistas",'[1]TTDD DATOS'!$B$49,"País",$C273,"categoría","Total","tipología","Total","zona","tenerife","municipio","total municipios","Años",IF([1]ACTUALIZACIÓN!$C$1="enero",[1]ACTUALIZACIÓN!$C$2-1,[1]ACTUALIZACIÓN!$C$2))</f>
        <v>2.8936857906381262E-3</v>
      </c>
      <c r="F266" s="278">
        <f>GETPIVOTDATA("Suma de turistas",'[1]TTDD DATOS'!$B$6,"País",$C266,"categoría","Total","tipología","Total","zona","santa cruz","municipio","total municipios","Años",[1]ACTUALIZACIÓN!$C$2)/GETPIVOTDATA("Suma de turistas",'[1]TTDD DATOS'!$B$6,"País",$C273,"categoría","Total","tipología","Total","zona","santa cruz","municipio","total municipios","Años",[1]ACTUALIZACIÓN!$C$2)</f>
        <v>2.1419988506347631E-3</v>
      </c>
      <c r="G266" s="277">
        <f>GETPIVOTDATA("Suma de turistas",'[1]TTDD DATOS'!$B$49,"País",$C266,"categoría","Total","tipología","Total","zona","santa cruz","municipio","total municipios","Años",IF([1]ACTUALIZACIÓN!$C$1="enero",[1]ACTUALIZACIÓN!$C$2-3,[1]ACTUALIZACIÓN!$C$2))/GETPIVOTDATA("Suma de turistas",'[1]TTDD DATOS'!$B$49,"País",$C273,"categoría","Total","tipología","Total","zona","santa cruz","municipio","total municipios","Años",IF([1]ACTUALIZACIÓN!$C$1="enero",[1]ACTUALIZACIÓN!$C$2-3,[1]ACTUALIZACIÓN!$C$2))</f>
        <v>4.6799365296161652E-3</v>
      </c>
      <c r="H266" s="276">
        <f>GETPIVOTDATA("Suma de turistas",'[1]TTDD DATOS'!$B$6,"País",$C266,"categoría","Total","tipología","Total","zona","la laguna-bajamar-la punta","municipio","total municipios","Años",[1]ACTUALIZACIÓN!$C$2)/GETPIVOTDATA("Suma de turistas",'[1]TTDD DATOS'!$B$6,"País",$C273,"categoría","Total","tipología","Total","zona","la laguna-bajamar-la punta","municipio","total municipios","Años",[1]ACTUALIZACIÓN!$C$2)</f>
        <v>1.6112789526686808E-3</v>
      </c>
      <c r="I266" s="277">
        <f>GETPIVOTDATA("Suma de turistas",'[1]TTDD DATOS'!$B$49,"País",$C266,"categoría","Total","tipología","Total","zona","la laguna-bajamar-la punta","municipio","total municipios","Años",IF([1]ACTUALIZACIÓN!$C$1="enero",[1]ACTUALIZACIÓN!$C$2-1,[1]ACTUALIZACIÓN!$C$2))/GETPIVOTDATA("Suma de turistas",'[1]TTDD DATOS'!$B$49,"País",$C273,"categoría","Total","tipología","Total","zona","la laguna-bajamar-la punta","municipio","total municipios","Años",IF([1]ACTUALIZACIÓN!$C$1="enero",[1]ACTUALIZACIÓN!$C$2-1,[1]ACTUALIZACIÓN!$C$2))</f>
        <v>2.3993401814501013E-3</v>
      </c>
      <c r="J266" s="276">
        <f>GETPIVOTDATA("Suma de turistas",'[1]TTDD DATOS'!$B$6,"País",$C266,"categoría","Total","tipología","Total","zona","norte","municipio","total municipios","Años",[1]ACTUALIZACIÓN!$C$2)/GETPIVOTDATA("Suma de turistas",'[1]TTDD DATOS'!$B$6,"País",$C273,"categoría","Total","tipología","Total","zona","norte","municipio","total municipios","Años",[1]ACTUALIZACIÓN!$C$2)</f>
        <v>1.8919970293878416E-3</v>
      </c>
      <c r="K266" s="277">
        <f>GETPIVOTDATA("Suma de turistas",'[1]TTDD DATOS'!$B$49,"País",$C266,"categoría","Total","tipología","Total","zona","norte","municipio","total municipios","Años",IF([1]ACTUALIZACIÓN!$C$1="enero",[1]ACTUALIZACIÓN!$C$2-1,[1]ACTUALIZACIÓN!$C$2))/GETPIVOTDATA("Suma de turistas",'[1]TTDD DATOS'!$B$49,"País",$C273,"categoría","Total","tipología","Total","zona","norte","municipio","total municipios","Años",IF([1]ACTUALIZACIÓN!$C$1="enero",[1]ACTUALIZACIÓN!$C$2-1,[1]ACTUALIZACIÓN!$C$2))</f>
        <v>3.0142504379974894E-3</v>
      </c>
      <c r="L266" s="279">
        <f>GETPIVOTDATA("Suma de turistas",'[1]TTDD DATOS'!$B$6,"País",$C266,"categoría","Total","tipología","Total","zona","sur","municipio","total municipios","Años",[1]ACTUALIZACIÓN!$C$2)/GETPIVOTDATA("Suma de turistas",'[1]TTDD DATOS'!$B$6,"País",$C273,"categoría","Total","tipología","Total","zona","sur","municipio","total municipios","Años",[1]ACTUALIZACIÓN!$C$2)</f>
        <v>1.2725996138318414E-3</v>
      </c>
      <c r="M266" s="280">
        <f>GETPIVOTDATA("Suma de turistas",'[1]TTDD DATOS'!$B$49,"País",$C266,"categoría","Total","tipología","Total","zona","sur","municipio","total municipios","Años",IF([1]ACTUALIZACIÓN!$C$1="enero",[1]ACTUALIZACIÓN!$C$2-1,[1]ACTUALIZACIÓN!$C$2))/GETPIVOTDATA("Suma de turistas",'[1]TTDD DATOS'!$B$49,"País",$C273,"categoría","Total","tipología","Total","zona","sur","municipio","total municipios","Años",IF([1]ACTUALIZACIÓN!$C$1="enero",[1]ACTUALIZACIÓN!$C$2-1,[1]ACTUALIZACIÓN!$C$2))</f>
        <v>2.7555377173740046E-3</v>
      </c>
    </row>
    <row r="267" spans="3:13" ht="24" customHeight="1" thickBot="1" x14ac:dyDescent="0.25">
      <c r="C267" s="281" t="s">
        <v>55</v>
      </c>
      <c r="D267" s="268">
        <f>GETPIVOTDATA("Suma de turistas",'[1]TTDD DATOS'!$B$6,"País",$C267,"categoría","Total","tipología","Total","zona","tenerife","municipio","total municipios","Años",[1]ACTUALIZACIÓN!$C$2)/GETPIVOTDATA("Suma de turistas",'[1]TTDD DATOS'!$B$6,"País",$C273,"categoría","Total","tipología","Total","zona","tenerife","municipio","total municipios","Años",[1]ACTUALIZACIÓN!$C$2)</f>
        <v>3.1458618079951199E-2</v>
      </c>
      <c r="E267" s="269">
        <f>GETPIVOTDATA("Suma de turistas",'[1]TTDD DATOS'!$B$49,"País",$C267,"categoría","Total","tipología","Total","zona","tenerife","municipio","total municipios","Años",IF([1]ACTUALIZACIÓN!$C$1="enero",[1]ACTUALIZACIÓN!$C$2-1,[1]ACTUALIZACIÓN!$C$2))/GETPIVOTDATA("Suma de turistas",'[1]TTDD DATOS'!$B$49,"País",$C273,"categoría","Total","tipología","Total","zona","tenerife","municipio","total municipios","Años",IF([1]ACTUALIZACIÓN!$C$1="enero",[1]ACTUALIZACIÓN!$C$2-1,[1]ACTUALIZACIÓN!$C$2))</f>
        <v>3.5789080070101766E-2</v>
      </c>
      <c r="F267" s="273">
        <f>GETPIVOTDATA("Suma de turistas",'[1]TTDD DATOS'!$B$6,"País",$C267,"categoría","Total","tipología","Total","zona","santa cruz","municipio","total municipios","Años",[1]ACTUALIZACIÓN!$C$2)/GETPIVOTDATA("Suma de turistas",'[1]TTDD DATOS'!$B$6,"País",$C273,"categoría","Total","tipología","Total","zona","santa cruz","municipio","total municipios","Años",[1]ACTUALIZACIÓN!$C$2)</f>
        <v>1.8755550911655608E-2</v>
      </c>
      <c r="G267" s="269">
        <f>GETPIVOTDATA("Suma de turistas",'[1]TTDD DATOS'!$B$49,"País",$C267,"categoría","Total","tipología","Total","zona","santa cruz","municipio","total municipios","Años",IF([1]ACTUALIZACIÓN!$C$1="enero",[1]ACTUALIZACIÓN!$C$2-3,[1]ACTUALIZACIÓN!$C$2))/GETPIVOTDATA("Suma de turistas",'[1]TTDD DATOS'!$B$49,"País",$C273,"categoría","Total","tipología","Total","zona","santa cruz","municipio","total municipios","Años",IF([1]ACTUALIZACIÓN!$C$1="enero",[1]ACTUALIZACIÓN!$C$2-3,[1]ACTUALIZACIÓN!$C$2))</f>
        <v>2.4142848534758069E-2</v>
      </c>
      <c r="H267" s="268">
        <f>GETPIVOTDATA("Suma de turistas",'[1]TTDD DATOS'!$B$6,"País",$C267,"categoría","Total","tipología","Total","zona","la laguna-bajamar-la punta","municipio","total municipios","Años",[1]ACTUALIZACIÓN!$C$2)/GETPIVOTDATA("Suma de turistas",'[1]TTDD DATOS'!$B$6,"País",$C273,"categoría","Total","tipología","Total","zona","la laguna-bajamar-la punta","municipio","total municipios","Años",[1]ACTUALIZACIÓN!$C$2)</f>
        <v>1.6314199395770394E-2</v>
      </c>
      <c r="I267" s="269">
        <f>GETPIVOTDATA("Suma de turistas",'[1]TTDD DATOS'!$B$49,"País",$C267,"categoría","Total","tipología","Total","zona","la laguna-bajamar-la punta","municipio","total municipios","Años",IF([1]ACTUALIZACIÓN!$C$1="enero",[1]ACTUALIZACIÓN!$C$2-1,[1]ACTUALIZACIÓN!$C$2))/GETPIVOTDATA("Suma de turistas",'[1]TTDD DATOS'!$B$49,"País",$C273,"categoría","Total","tipología","Total","zona","la laguna-bajamar-la punta","municipio","total municipios","Años",IF([1]ACTUALIZACIÓN!$C$1="enero",[1]ACTUALIZACIÓN!$C$2-1,[1]ACTUALIZACIÓN!$C$2))</f>
        <v>2.0844267826347754E-2</v>
      </c>
      <c r="J267" s="268">
        <f>GETPIVOTDATA("Suma de turistas",'[1]TTDD DATOS'!$B$6,"País",$C267,"categoría","Total","tipología","Total","zona","norte","municipio","total municipios","Años",[1]ACTUALIZACIÓN!$C$2)/GETPIVOTDATA("Suma de turistas",'[1]TTDD DATOS'!$B$6,"País",$C273,"categoría","Total","tipología","Total","zona","norte","municipio","total municipios","Años",[1]ACTUALIZACIÓN!$C$2)</f>
        <v>2.5338614421614739E-2</v>
      </c>
      <c r="K267" s="269">
        <f>GETPIVOTDATA("Suma de turistas",'[1]TTDD DATOS'!$B$49,"País",$C267,"categoría","Total","tipología","Total","zona","norte","municipio","total municipios","Años",IF([1]ACTUALIZACIÓN!$C$1="enero",[1]ACTUALIZACIÓN!$C$2-1,[1]ACTUALIZACIÓN!$C$2))/GETPIVOTDATA("Suma de turistas",'[1]TTDD DATOS'!$B$49,"País",$C273,"categoría","Total","tipología","Total","zona","norte","municipio","total municipios","Años",IF([1]ACTUALIZACIÓN!$C$1="enero",[1]ACTUALIZACIÓN!$C$2-1,[1]ACTUALIZACIÓN!$C$2))</f>
        <v>2.8493978396722262E-2</v>
      </c>
      <c r="L267" s="274">
        <f>GETPIVOTDATA("Suma de turistas",'[1]TTDD DATOS'!$B$6,"País",$C267,"categoría","Total","tipología","Total","zona","sur","municipio","total municipios","Años",[1]ACTUALIZACIÓN!$C$2)/GETPIVOTDATA("Suma de turistas",'[1]TTDD DATOS'!$B$6,"País",$C273,"categoría","Total","tipología","Total","zona","sur","municipio","total municipios","Años",[1]ACTUALIZACIÓN!$C$2)</f>
        <v>3.3888450061435843E-2</v>
      </c>
      <c r="M267" s="272">
        <f>GETPIVOTDATA("Suma de turistas",'[1]TTDD DATOS'!$B$49,"País",$C267,"categoría","Total","tipología","Total","zona","sur","municipio","total municipios","Años",IF([1]ACTUALIZACIÓN!$C$1="enero",[1]ACTUALIZACIÓN!$C$2-1,[1]ACTUALIZACIÓN!$C$2))/GETPIVOTDATA("Suma de turistas",'[1]TTDD DATOS'!$B$49,"País",$C273,"categoría","Total","tipología","Total","zona","sur","municipio","total municipios","Años",IF([1]ACTUALIZACIÓN!$C$1="enero",[1]ACTUALIZACIÓN!$C$2-1,[1]ACTUALIZACIÓN!$C$2))</f>
        <v>3.833117660491734E-2</v>
      </c>
    </row>
    <row r="268" spans="3:13" ht="24" customHeight="1" thickBot="1" x14ac:dyDescent="0.25">
      <c r="C268" s="275" t="s">
        <v>56</v>
      </c>
      <c r="D268" s="276">
        <f>GETPIVOTDATA("Suma de turistas",'[1]TTDD DATOS'!$B$6,"País",$C268,"categoría","Total","tipología","Total","zona","tenerife","municipio","total municipios","Años",[1]ACTUALIZACIÓN!$C$2)/GETPIVOTDATA("Suma de turistas",'[1]TTDD DATOS'!$B$6,"País",$C273,"categoría","Total","tipología","Total","zona","tenerife","municipio","total municipios","Años",[1]ACTUALIZACIÓN!$C$2)</f>
        <v>4.3717312970890897E-2</v>
      </c>
      <c r="E268" s="277">
        <f>GETPIVOTDATA("Suma de turistas",'[1]TTDD DATOS'!$B$49,"País",$C268,"categoría","Total","tipología","Total","zona","tenerife","municipio","total municipios","Años",IF([1]ACTUALIZACIÓN!$C$1="enero",[1]ACTUALIZACIÓN!$C$2-1,[1]ACTUALIZACIÓN!$C$2))/GETPIVOTDATA("Suma de turistas",'[1]TTDD DATOS'!$B$49,"País",$C273,"categoría","Total","tipología","Total","zona","tenerife","municipio","total municipios","Años",IF([1]ACTUALIZACIÓN!$C$1="enero",[1]ACTUALIZACIÓN!$C$2-1,[1]ACTUALIZACIÓN!$C$2))</f>
        <v>4.8719869080327986E-2</v>
      </c>
      <c r="F268" s="278">
        <f>GETPIVOTDATA("Suma de turistas",'[1]TTDD DATOS'!$B$6,"País",$C268,"categoría","Total","tipología","Total","zona","santa cruz","municipio","total municipios","Años",[1]ACTUALIZACIÓN!$C$2)/GETPIVOTDATA("Suma de turistas",'[1]TTDD DATOS'!$B$6,"País",$C273,"categoría","Total","tipología","Total","zona","santa cruz","municipio","total municipios","Años",[1]ACTUALIZACIÓN!$C$2)</f>
        <v>3.1032861397001201E-2</v>
      </c>
      <c r="G268" s="277">
        <f>GETPIVOTDATA("Suma de turistas",'[1]TTDD DATOS'!$B$49,"País",$C268,"categoría","Total","tipología","Total","zona","santa cruz","municipio","total municipios","Años",IF([1]ACTUALIZACIÓN!$C$1="enero",[1]ACTUALIZACIÓN!$C$2-3,[1]ACTUALIZACIÓN!$C$2))/GETPIVOTDATA("Suma de turistas",'[1]TTDD DATOS'!$B$49,"País",$C273,"categoría","Total","tipología","Total","zona","santa cruz","municipio","total municipios","Años",IF([1]ACTUALIZACIÓN!$C$1="enero",[1]ACTUALIZACIÓN!$C$2-3,[1]ACTUALIZACIÓN!$C$2))</f>
        <v>3.470785546427782E-2</v>
      </c>
      <c r="H268" s="276">
        <f>GETPIVOTDATA("Suma de turistas",'[1]TTDD DATOS'!$B$6,"País",$C268,"categoría","Total","tipología","Total","zona","la laguna-bajamar-la punta","municipio","total municipios","Años",[1]ACTUALIZACIÓN!$C$2)/GETPIVOTDATA("Suma de turistas",'[1]TTDD DATOS'!$B$6,"País",$C273,"categoría","Total","tipología","Total","zona","la laguna-bajamar-la punta","municipio","total municipios","Años",[1]ACTUALIZACIÓN!$C$2)</f>
        <v>2.6183282980866064E-2</v>
      </c>
      <c r="I268" s="277">
        <f>GETPIVOTDATA("Suma de turistas",'[1]TTDD DATOS'!$B$49,"País",$C268,"categoría","Total","tipología","Total","zona","la laguna-bajamar-la punta","municipio","total municipios","Años",IF([1]ACTUALIZACIÓN!$C$1="enero",[1]ACTUALIZACIÓN!$C$2-1,[1]ACTUALIZACIÓN!$C$2))/GETPIVOTDATA("Suma de turistas",'[1]TTDD DATOS'!$B$49,"País",$C273,"categoría","Total","tipología","Total","zona","la laguna-bajamar-la punta","municipio","total municipios","Años",IF([1]ACTUALIZACIÓN!$C$1="enero",[1]ACTUALIZACIÓN!$C$2-1,[1]ACTUALIZACIÓN!$C$2))</f>
        <v>2.4218339956511958E-2</v>
      </c>
      <c r="J268" s="276">
        <f>GETPIVOTDATA("Suma de turistas",'[1]TTDD DATOS'!$B$6,"País",$C268,"categoría","Total","tipología","Total","zona","norte","municipio","total municipios","Años",[1]ACTUALIZACIÓN!$C$2)/GETPIVOTDATA("Suma de turistas",'[1]TTDD DATOS'!$B$6,"País",$C273,"categoría","Total","tipología","Total","zona","norte","municipio","total municipios","Años",[1]ACTUALIZACIÓN!$C$2)</f>
        <v>4.4594546804823706E-2</v>
      </c>
      <c r="K268" s="277">
        <f>GETPIVOTDATA("Suma de turistas",'[1]TTDD DATOS'!$B$49,"País",$C268,"categoría","Total","tipología","Total","zona","norte","municipio","total municipios","Años",IF([1]ACTUALIZACIÓN!$C$1="enero",[1]ACTUALIZACIÓN!$C$2-1,[1]ACTUALIZACIÓN!$C$2))/GETPIVOTDATA("Suma de turistas",'[1]TTDD DATOS'!$B$49,"País",$C273,"categoría","Total","tipología","Total","zona","norte","municipio","total municipios","Años",IF([1]ACTUALIZACIÓN!$C$1="enero",[1]ACTUALIZACIÓN!$C$2-1,[1]ACTUALIZACIÓN!$C$2))</f>
        <v>4.6938156134034133E-2</v>
      </c>
      <c r="L268" s="279">
        <f>GETPIVOTDATA("Suma de turistas",'[1]TTDD DATOS'!$B$6,"País",$C268,"categoría","Total","tipología","Total","zona","sur","municipio","total municipios","Años",[1]ACTUALIZACIÓN!$C$2)/GETPIVOTDATA("Suma de turistas",'[1]TTDD DATOS'!$B$6,"País",$C273,"categoría","Total","tipología","Total","zona","sur","municipio","total municipios","Años",[1]ACTUALIZACIÓN!$C$2)</f>
        <v>4.474211573342695E-2</v>
      </c>
      <c r="M268" s="280">
        <f>GETPIVOTDATA("Suma de turistas",'[1]TTDD DATOS'!$B$49,"País",$C268,"categoría","Total","tipología","Total","zona","sur","municipio","total municipios","Años",IF([1]ACTUALIZACIÓN!$C$1="enero",[1]ACTUALIZACIÓN!$C$2-1,[1]ACTUALIZACIÓN!$C$2))/GETPIVOTDATA("Suma de turistas",'[1]TTDD DATOS'!$B$49,"País",$C273,"categoría","Total","tipología","Total","zona","sur","municipio","total municipios","Años",IF([1]ACTUALIZACIÓN!$C$1="enero",[1]ACTUALIZACIÓN!$C$2-1,[1]ACTUALIZACIÓN!$C$2))</f>
        <v>5.0495124871115293E-2</v>
      </c>
    </row>
    <row r="269" spans="3:13" ht="24" customHeight="1" thickBot="1" x14ac:dyDescent="0.25">
      <c r="C269" s="281" t="s">
        <v>57</v>
      </c>
      <c r="D269" s="268">
        <f>GETPIVOTDATA("Suma de turistas",'[1]TTDD DATOS'!$B$6,"País","estados unidos","categoría","Total","tipología","Total","zona","tenerife","municipio","total municipios","Años",[1]ACTUALIZACIÓN!$C$2)/GETPIVOTDATA("Suma de turistas",'[1]TTDD DATOS'!$B$6,"País",$C273,"categoría","Total","tipología","Total","zona","tenerife","municipio","total municipios","Años",[1]ACTUALIZACIÓN!$C$2)</f>
        <v>6.9384043646714636E-3</v>
      </c>
      <c r="E269" s="269">
        <f>GETPIVOTDATA("Suma de turistas",'[1]TTDD DATOS'!$B$49,"País","estados unidos","categoría","Total","tipología","Total","zona","tenerife","municipio","total municipios","Años",IF([1]ACTUALIZACIÓN!$C$1="enero",[1]ACTUALIZACIÓN!$C$2-1,[1]ACTUALIZACIÓN!$C$2))/GETPIVOTDATA("Suma de turistas",'[1]TTDD DATOS'!$B$49,"País",$C273,"categoría","Total","tipología","Total","zona","tenerife","municipio","total municipios","Años",IF([1]ACTUALIZACIÓN!$C$1="enero",[1]ACTUALIZACIÓN!$C$2-1,[1]ACTUALIZACIÓN!$C$2))</f>
        <v>5.4908037096772456E-3</v>
      </c>
      <c r="F269" s="273">
        <f>GETPIVOTDATA("Suma de turistas",'[1]TTDD DATOS'!$B$6,"País","estados unidos","categoría","Total","tipología","Total","zona","santa cruz","municipio","total municipios","Años",[1]ACTUALIZACIÓN!$C$2)/GETPIVOTDATA("Suma de turistas",'[1]TTDD DATOS'!$B$6,"País",$C273,"categoría","Total","tipología","Total","zona","santa cruz","municipio","total municipios","Años",[1]ACTUALIZACIÓN!$C$2)</f>
        <v>8.7247270257562303E-3</v>
      </c>
      <c r="G269" s="269">
        <f>GETPIVOTDATA("Suma de turistas",'[1]TTDD DATOS'!$B$49,"País","estados unidos","categoría","Total","tipología","Total","zona","santa cruz","municipio","total municipios","Años",IF([1]ACTUALIZACIÓN!$C$1="enero",[1]ACTUALIZACIÓN!$C$2-3,[1]ACTUALIZACIÓN!$C$2))/GETPIVOTDATA("Suma de turistas",'[1]TTDD DATOS'!$B$49,"País",$C273,"categoría","Total","tipología","Total","zona","santa cruz","municipio","total municipios","Años",IF([1]ACTUALIZACIÓN!$C$1="enero",[1]ACTUALIZACIÓN!$C$2-3,[1]ACTUALIZACIÓN!$C$2))</f>
        <v>9.520557575270653E-3</v>
      </c>
      <c r="H269" s="268">
        <f>GETPIVOTDATA("Suma de turistas",'[1]TTDD DATOS'!$B$6,"País","estados unidos","categoría","Total","tipología","Total","zona","la laguna-bajamar-la punta","municipio","total municipios","Años",[1]ACTUALIZACIÓN!$C$2)/GETPIVOTDATA("Suma de turistas",'[1]TTDD DATOS'!$B$6,"País",$C273,"categoría","Total","tipología","Total","zona","la laguna-bajamar-la punta","municipio","total municipios","Años",[1]ACTUALIZACIÓN!$C$2)</f>
        <v>1.5911379657603222E-2</v>
      </c>
      <c r="I269" s="269">
        <f>GETPIVOTDATA("Suma de turistas",'[1]TTDD DATOS'!$B$49,"País","estados unidos","categoría","Total","tipología","Total","zona","la laguna-bajamar-la punta","municipio","total municipios","Años",IF([1]ACTUALIZACIÓN!$C$1="enero",[1]ACTUALIZACIÓN!$C$2-1,[1]ACTUALIZACIÓN!$C$2))/GETPIVOTDATA("Suma de turistas",'[1]TTDD DATOS'!$B$49,"País",$C273,"categoría","Total","tipología","Total","zona","la laguna-bajamar-la punta","municipio","total municipios","Años",IF([1]ACTUALIZACIÓN!$C$1="enero",[1]ACTUALIZACIÓN!$C$2-1,[1]ACTUALIZACIÓN!$C$2))</f>
        <v>1.3271350378645873E-2</v>
      </c>
      <c r="J269" s="268">
        <f>GETPIVOTDATA("Suma de turistas",'[1]TTDD DATOS'!$B$6,"País","estados unidos","categoría","Total","tipología","Total","zona","norte","municipio","total municipios","Años",[1]ACTUALIZACIÓN!$C$2)/GETPIVOTDATA("Suma de turistas",'[1]TTDD DATOS'!$B$6,"País",$C273,"categoría","Total","tipología","Total","zona","norte","municipio","total municipios","Años",[1]ACTUALIZACIÓN!$C$2)</f>
        <v>3.8724051349153022E-3</v>
      </c>
      <c r="K269" s="269">
        <f>GETPIVOTDATA("Suma de turistas",'[1]TTDD DATOS'!$B$49,"País","estados unidos","categoría","Total","tipología","Total","zona","norte","municipio","total municipios","Años",IF([1]ACTUALIZACIÓN!$C$1="enero",[1]ACTUALIZACIÓN!$C$2-1,[1]ACTUALIZACIÓN!$C$2))/GETPIVOTDATA("Suma de turistas",'[1]TTDD DATOS'!$B$49,"País",$C273,"categoría","Total","tipología","Total","zona","norte","municipio","total municipios","Años",IF([1]ACTUALIZACIÓN!$C$1="enero",[1]ACTUALIZACIÓN!$C$2-1,[1]ACTUALIZACIÓN!$C$2))</f>
        <v>3.7453958531639283E-3</v>
      </c>
      <c r="L269" s="274">
        <f>GETPIVOTDATA("Suma de turistas",'[1]TTDD DATOS'!$B$6,"País","estados unidos","categoría","Total","tipología","Total","zona","sur","municipio","total municipios","Años",[1]ACTUALIZACIÓN!$C$2)/GETPIVOTDATA("Suma de turistas",'[1]TTDD DATOS'!$B$6,"País",$C273,"categoría","Total","tipología","Total","zona","sur","municipio","total municipios","Años",[1]ACTUALIZACIÓN!$C$2)</f>
        <v>7.2845357205546775E-3</v>
      </c>
      <c r="M269" s="272">
        <f>GETPIVOTDATA("Suma de turistas",'[1]TTDD DATOS'!$B$49,"País","estados unidos","categoría","Total","tipología","Total","zona","sur","municipio","total municipios","Años",IF([1]ACTUALIZACIÓN!$C$1="enero",[1]ACTUALIZACIÓN!$C$2-1,[1]ACTUALIZACIÓN!$C$2))/GETPIVOTDATA("Suma de turistas",'[1]TTDD DATOS'!$B$49,"País",$C273,"categoría","Total","tipología","Total","zona","sur","municipio","total municipios","Años",IF([1]ACTUALIZACIÓN!$C$1="enero",[1]ACTUALIZACIÓN!$C$2-1,[1]ACTUALIZACIÓN!$C$2))</f>
        <v>5.4197316430118535E-3</v>
      </c>
    </row>
    <row r="270" spans="3:13" ht="24" customHeight="1" thickBot="1" x14ac:dyDescent="0.25">
      <c r="C270" s="275" t="s">
        <v>58</v>
      </c>
      <c r="D270" s="276">
        <f>GETPIVOTDATA("Suma de turistas",'[1]TTDD DATOS'!$B$6,"País",$C270,"categoría","Total","tipología","Total","zona","tenerife","municipio","total municipios","Años",[1]ACTUALIZACIÓN!$C$2)/GETPIVOTDATA("Suma de turistas",'[1]TTDD DATOS'!$B$6,"País",$C273,"categoría","Total","tipología","Total","zona","tenerife","municipio","total municipios","Años",[1]ACTUALIZACIÓN!$C$2)</f>
        <v>4.1398863649199698E-3</v>
      </c>
      <c r="E270" s="277">
        <f>GETPIVOTDATA("Suma de turistas",'[1]TTDD DATOS'!$B$49,"País",$C270,"categoría","Total","tipología","Total","zona","tenerife","municipio","total municipios","Años",IF([1]ACTUALIZACIÓN!$C$1="enero",[1]ACTUALIZACIÓN!$C$2-1,[1]ACTUALIZACIÓN!$C$2))/GETPIVOTDATA("Suma de turistas",'[1]TTDD DATOS'!$B$49,"País",$C273,"categoría","Total","tipología","Total","zona","tenerife","municipio","total municipios","Años",IF([1]ACTUALIZACIÓN!$C$1="enero",[1]ACTUALIZACIÓN!$C$2-1,[1]ACTUALIZACIÓN!$C$2))</f>
        <v>4.2411354681205658E-3</v>
      </c>
      <c r="F270" s="278">
        <f>GETPIVOTDATA("Suma de turistas",'[1]TTDD DATOS'!$B$6,"País",$C270,"categoría","Total","tipología","Total","zona","santa cruz","municipio","total municipios","Años",[1]ACTUALIZACIÓN!$C$2)/GETPIVOTDATA("Suma de turistas",'[1]TTDD DATOS'!$B$6,"País",$C273,"categoría","Total","tipología","Total","zona","santa cruz","municipio","total municipios","Años",[1]ACTUALIZACIÓN!$C$2)</f>
        <v>1.8024136669975446E-2</v>
      </c>
      <c r="G270" s="277">
        <f>GETPIVOTDATA("Suma de turistas",'[1]TTDD DATOS'!$B$49,"País",$C270,"categoría","Total","tipología","Total","zona","santa cruz","municipio","total municipios","Años",IF([1]ACTUALIZACIÓN!$C$1="enero",[1]ACTUALIZACIÓN!$C$2-3,[1]ACTUALIZACIÓN!$C$2))/GETPIVOTDATA("Suma de turistas",'[1]TTDD DATOS'!$B$49,"País",$C273,"categoría","Total","tipología","Total","zona","santa cruz","municipio","total municipios","Años",IF([1]ACTUALIZACIÓN!$C$1="enero",[1]ACTUALIZACIÓN!$C$2-3,[1]ACTUALIZACIÓN!$C$2))</f>
        <v>1.8257778134854481E-2</v>
      </c>
      <c r="H270" s="276">
        <f>GETPIVOTDATA("Suma de turistas",'[1]TTDD DATOS'!$B$6,"País",$C270,"categoría","Total","tipología","Total","zona","la laguna-bajamar-la punta","municipio","total municipios","Años",[1]ACTUALIZACIÓN!$C$2)/GETPIVOTDATA("Suma de turistas",'[1]TTDD DATOS'!$B$6,"País",$C273,"categoría","Total","tipología","Total","zona","la laguna-bajamar-la punta","municipio","total municipios","Años",[1]ACTUALIZACIÓN!$C$2)</f>
        <v>9.6676737160120846E-3</v>
      </c>
      <c r="I270" s="277">
        <f>GETPIVOTDATA("Suma de turistas",'[1]TTDD DATOS'!$B$49,"País",$C270,"categoría","Total","tipología","Total","zona","la laguna-bajamar-la punta","municipio","total municipios","Años",IF([1]ACTUALIZACIÓN!$C$1="enero",[1]ACTUALIZACIÓN!$C$2-1,[1]ACTUALIZACIÓN!$C$2))/GETPIVOTDATA("Suma de turistas",'[1]TTDD DATOS'!$B$49,"País",$C273,"categoría","Total","tipología","Total","zona","la laguna-bajamar-la punta","municipio","total municipios","Años",IF([1]ACTUALIZACIÓN!$C$1="enero",[1]ACTUALIZACIÓN!$C$2-1,[1]ACTUALIZACIÓN!$C$2))</f>
        <v>1.0797030816525456E-2</v>
      </c>
      <c r="J270" s="276">
        <f>GETPIVOTDATA("Suma de turistas",'[1]TTDD DATOS'!$B$6,"País",$C270,"categoría","Total","tipología","Total","zona","norte","municipio","total municipios","Años",[1]ACTUALIZACIÓN!$C$2)/GETPIVOTDATA("Suma de turistas",'[1]TTDD DATOS'!$B$6,"País",$C273,"categoría","Total","tipología","Total","zona","norte","municipio","total municipios","Años",[1]ACTUALIZACIÓN!$C$2)</f>
        <v>5.9058598861265335E-3</v>
      </c>
      <c r="K270" s="277">
        <f>GETPIVOTDATA("Suma de turistas",'[1]TTDD DATOS'!$B$49,"País",$C270,"categoría","Total","tipología","Total","zona","norte","municipio","total municipios","Años",IF([1]ACTUALIZACIÓN!$C$1="enero",[1]ACTUALIZACIÓN!$C$2-1,[1]ACTUALIZACIÓN!$C$2))/GETPIVOTDATA("Suma de turistas",'[1]TTDD DATOS'!$B$49,"País",$C273,"categoría","Total","tipología","Total","zona","norte","municipio","total municipios","Años",IF([1]ACTUALIZACIÓN!$C$1="enero",[1]ACTUALIZACIÓN!$C$2-1,[1]ACTUALIZACIÓN!$C$2))</f>
        <v>7.0700382126943394E-3</v>
      </c>
      <c r="L270" s="279">
        <f>GETPIVOTDATA("Suma de turistas",'[1]TTDD DATOS'!$B$6,"País",$C270,"categoría","Total","tipología","Total","zona","sur","municipio","total municipios","Años",[1]ACTUALIZACIÓN!$C$2)/GETPIVOTDATA("Suma de turistas",'[1]TTDD DATOS'!$B$6,"País",$C273,"categoría","Total","tipología","Total","zona","sur","municipio","total municipios","Años",[1]ACTUALIZACIÓN!$C$2)</f>
        <v>2.7024457316716399E-3</v>
      </c>
      <c r="M270" s="280">
        <f>GETPIVOTDATA("Suma de turistas",'[1]TTDD DATOS'!$B$49,"País",$C270,"categoría","Total","tipología","Total","zona","sur","municipio","total municipios","Años",IF([1]ACTUALIZACIÓN!$C$1="enero",[1]ACTUALIZACIÓN!$C$2-1,[1]ACTUALIZACIÓN!$C$2))/GETPIVOTDATA("Suma de turistas",'[1]TTDD DATOS'!$B$49,"País",$C273,"categoría","Total","tipología","Total","zona","sur","municipio","total municipios","Años",IF([1]ACTUALIZACIÓN!$C$1="enero",[1]ACTUALIZACIÓN!$C$2-1,[1]ACTUALIZACIÓN!$C$2))</f>
        <v>2.5866901023465665E-3</v>
      </c>
    </row>
    <row r="271" spans="3:13" ht="24" customHeight="1" thickBot="1" x14ac:dyDescent="0.25">
      <c r="C271" s="281" t="s">
        <v>59</v>
      </c>
      <c r="D271" s="268">
        <f>GETPIVOTDATA("Suma de turistas",'[1]TTDD DATOS'!$B$6,"País",$C271,"categoría","Total","tipología","Total","zona","tenerife","municipio","total municipios","Años",[1]ACTUALIZACIÓN!$C$2)/GETPIVOTDATA("Suma de turistas",'[1]TTDD DATOS'!$B$6,"País",$C273,"categoría","Total","tipología","Total","zona","tenerife","municipio","total municipios","Años",[1]ACTUALIZACIÓN!$C$2)</f>
        <v>1.9134972720803351E-2</v>
      </c>
      <c r="E271" s="269">
        <f>GETPIVOTDATA("Suma de turistas",'[1]TTDD DATOS'!$B$49,"País",$C271,"categoría","Total","tipología","Total","zona","tenerife","municipio","total municipios","Años",IF([1]ACTUALIZACIÓN!$C$1="enero",[1]ACTUALIZACIÓN!$C$2-1,[1]ACTUALIZACIÓN!$C$2))/GETPIVOTDATA("Suma de turistas",'[1]TTDD DATOS'!$B$49,"País",$C273,"categoría","Total","tipología","Total","zona","tenerife","municipio","total municipios","Años",IF([1]ACTUALIZACIÓN!$C$1="enero",[1]ACTUALIZACIÓN!$C$2-1,[1]ACTUALIZACIÓN!$C$2))</f>
        <v>1.7985337082696232E-2</v>
      </c>
      <c r="F271" s="283">
        <f>GETPIVOTDATA("Suma de turistas",'[1]TTDD DATOS'!$B$6,"País",$C271,"categoría","Total","tipología","Total","zona","santa cruz","municipio","total municipios","Años",[1]ACTUALIZACIÓN!$C$2)/GETPIVOTDATA("Suma de turistas",'[1]TTDD DATOS'!$B$6,"País",$C273,"categoría","Total","tipología","Total","zona","santa cruz","municipio","total municipios","Años",[1]ACTUALIZACIÓN!$C$2)</f>
        <v>5.4647092628389321E-2</v>
      </c>
      <c r="G271" s="269">
        <f>GETPIVOTDATA("Suma de turistas",'[1]TTDD DATOS'!$B$49,"País",$C271,"categoría","Total","tipología","Total","zona","santa cruz","municipio","total municipios","Años",IF([1]ACTUALIZACIÓN!$C$1="enero",[1]ACTUALIZACIÓN!$C$2-3,[1]ACTUALIZACIÓN!$C$2))/GETPIVOTDATA("Suma de turistas",'[1]TTDD DATOS'!$B$49,"País",$C273,"categoría","Total","tipología","Total","zona","santa cruz","municipio","total municipios","Años",IF([1]ACTUALIZACIÓN!$C$1="enero",[1]ACTUALIZACIÓN!$C$2-3,[1]ACTUALIZACIÓN!$C$2))</f>
        <v>4.9531002068813147E-2</v>
      </c>
      <c r="H271" s="268">
        <f>GETPIVOTDATA("Suma de turistas",'[1]TTDD DATOS'!$B$6,"País",$C271,"categoría","Total","tipología","Total","zona","la laguna-bajamar-la punta","municipio","total municipios","Años",[1]ACTUALIZACIÓN!$C$2)/GETPIVOTDATA("Suma de turistas",'[1]TTDD DATOS'!$B$6,"País",$C273,"categoría","Total","tipología","Total","zona","la laguna-bajamar-la punta","municipio","total municipios","Años",[1]ACTUALIZACIÓN!$C$2)</f>
        <v>1.7724068479355488E-2</v>
      </c>
      <c r="I271" s="269">
        <f>GETPIVOTDATA("Suma de turistas",'[1]TTDD DATOS'!$B$49,"País",$C271,"categoría","Total","tipología","Total","zona","la laguna-bajamar-la punta","municipio","total municipios","Años",IF([1]ACTUALIZACIÓN!$C$1="enero",[1]ACTUALIZACIÓN!$C$2-1,[1]ACTUALIZACIÓN!$C$2))/GETPIVOTDATA("Suma de turistas",'[1]TTDD DATOS'!$B$49,"País",$C273,"categoría","Total","tipología","Total","zona","la laguna-bajamar-la punta","municipio","total municipios","Años",IF([1]ACTUALIZACIÓN!$C$1="enero",[1]ACTUALIZACIÓN!$C$2-1,[1]ACTUALIZACIÓN!$C$2))</f>
        <v>1.5370773037414711E-2</v>
      </c>
      <c r="J271" s="268">
        <f>GETPIVOTDATA("Suma de turistas",'[1]TTDD DATOS'!$B$6,"País",$C271,"categoría","Total","tipología","Total","zona","norte","municipio","total municipios","Años",[1]ACTUALIZACIÓN!$C$2)/GETPIVOTDATA("Suma de turistas",'[1]TTDD DATOS'!$B$6,"País",$C273,"categoría","Total","tipología","Total","zona","norte","municipio","total municipios","Años",[1]ACTUALIZACIÓN!$C$2)</f>
        <v>1.1829401987480991E-2</v>
      </c>
      <c r="K271" s="269">
        <f>GETPIVOTDATA("Suma de turistas",'[1]TTDD DATOS'!$B$49,"País",$C271,"categoría","Total","tipología","Total","zona","norte","municipio","total municipios","Años",IF([1]ACTUALIZACIÓN!$C$1="enero",[1]ACTUALIZACIÓN!$C$2-1,[1]ACTUALIZACIÓN!$C$2))/GETPIVOTDATA("Suma de turistas",'[1]TTDD DATOS'!$B$49,"País",$C273,"categoría","Total","tipología","Total","zona","norte","municipio","total municipios","Años",IF([1]ACTUALIZACIÓN!$C$1="enero",[1]ACTUALIZACIÓN!$C$2-1,[1]ACTUALIZACIÓN!$C$2))</f>
        <v>1.2939894328794714E-2</v>
      </c>
      <c r="L271" s="284">
        <f>GETPIVOTDATA("Suma de turistas",'[1]TTDD DATOS'!$B$6,"País",$C271,"categoría","Total","tipología","Total","zona","sur","municipio","total municipios","Años",[1]ACTUALIZACIÓN!$C$2)/GETPIVOTDATA("Suma de turistas",'[1]TTDD DATOS'!$B$6,"País",$C273,"categoría","Total","tipología","Total","zona","sur","municipio","total municipios","Años",[1]ACTUALIZACIÓN!$C$2)</f>
        <v>1.8185741033292378E-2</v>
      </c>
      <c r="M271" s="285">
        <f>GETPIVOTDATA("Suma de turistas",'[1]TTDD DATOS'!$B$49,"País",$C271,"categoría","Total","tipología","Total","zona","sur","municipio","total municipios","Años",IF([1]ACTUALIZACIÓN!$C$1="enero",[1]ACTUALIZACIÓN!$C$2-1,[1]ACTUALIZACIÓN!$C$2))/GETPIVOTDATA("Suma de turistas",'[1]TTDD DATOS'!$B$49,"País",$C273,"categoría","Total","tipología","Total","zona","sur","municipio","total municipios","Años",IF([1]ACTUALIZACIÓN!$C$1="enero",[1]ACTUALIZACIÓN!$C$2-1,[1]ACTUALIZACIÓN!$C$2))</f>
        <v>1.687230553114339E-2</v>
      </c>
    </row>
    <row r="272" spans="3:13" ht="30.75" customHeight="1" thickBot="1" x14ac:dyDescent="0.25">
      <c r="C272" s="286" t="s">
        <v>60</v>
      </c>
      <c r="D272" s="287">
        <f>GETPIVOTDATA("Suma de turistas",'[1]TTDD DATOS'!$B$6,"País","total","categoría","Total","tipología","Total","zona","tenerife","municipio","total municipios","Años",[1]ACTUALIZACIÓN!$C$2)/GETPIVOTDATA("Suma de turistas",'[1]TTDD DATOS'!$B$6,"País",$C273,"categoría","Total","tipología","Total","zona","tenerife","municipio","total municipios","Años",[1]ACTUALIZACIÓN!$C$2)-GETPIVOTDATA("Suma de turistas",'[1]TTDD DATOS'!$B$6,"País","españa","categoría","Total","tipología","Total","zona","tenerife","municipio","total municipios","Años",[1]ACTUALIZACIÓN!$C$2)/GETPIVOTDATA("Suma de turistas",'[1]TTDD DATOS'!$B$6,"País",$C273,"categoría","Total","tipología","Total","zona","tenerife","municipio","total municipios","Años",[1]ACTUALIZACIÓN!$C$2)</f>
        <v>0.82845451772865386</v>
      </c>
      <c r="E272" s="288">
        <f>GETPIVOTDATA("Suma de turistas",'[1]TTDD DATOS'!$B$49,"País","total","categoría","Total","tipología","Total","zona","tenerife","municipio","total municipios","Años",IF([1]ACTUALIZACIÓN!$C$1="enero",[1]ACTUALIZACIÓN!$C$2-1,[1]ACTUALIZACIÓN!$C$2))/GETPIVOTDATA("Suma de turistas",'[1]TTDD DATOS'!$B$49,"País",$C273,"categoría","Total","tipología","Total","zona","tenerife","municipio","total municipios","Años",IF([1]ACTUALIZACIÓN!$C$1="enero",[1]ACTUALIZACIÓN!$C$2-1,[1]ACTUALIZACIÓN!$C$2))-GETPIVOTDATA("Suma de turistas",'[1]TTDD DATOS'!$B$49,"País","españa","categoría","Total","tipología","Total","zona","tenerife","municipio","total municipios","Años",IF([1]ACTUALIZACIÓN!$C$1="enero",[1]ACTUALIZACIÓN!$C$2-1,[1]ACTUALIZACIÓN!$C$2))/GETPIVOTDATA("Suma de turistas",'[1]TTDD DATOS'!$B$49,"País",$C273,"categoría","Total","tipología","Total","zona","tenerife","municipio","total municipios","Años",IF([1]ACTUALIZACIÓN!$C$1="enero",[1]ACTUALIZACIÓN!$C$2-1,[1]ACTUALIZACIÓN!$C$2))</f>
        <v>0.82469077964040072</v>
      </c>
      <c r="F272" s="289">
        <f>GETPIVOTDATA("Suma de turistas",'[1]TTDD DATOS'!$B$6,"País","total","categoría","Total","tipología","Total","zona","santa cruz","municipio","total municipios","Años",[1]ACTUALIZACIÓN!$C$2)/GETPIVOTDATA("Suma de turistas",'[1]TTDD DATOS'!$B$6,"País",$C273,"categoría","Total","tipología","Total","zona","santa cruz","municipio","total municipios","Años",[1]ACTUALIZACIÓN!$C$2)-GETPIVOTDATA("Suma de turistas",'[1]TTDD DATOS'!$B$6,"País","españa","categoría","Total","tipología","Total","zona","santa cruz","municipio","total municipios","Años",[1]ACTUALIZACIÓN!$C$2)/GETPIVOTDATA("Suma de turistas",'[1]TTDD DATOS'!$B$6,"País",$C273,"categoría","Total","tipología","Total","zona","santa cruz","municipio","total municipios","Años",[1]ACTUALIZACIÓN!$C$2)</f>
        <v>0.36962541142051097</v>
      </c>
      <c r="G272" s="288">
        <f>GETPIVOTDATA("Suma de turistas",'[1]TTDD DATOS'!$B$49,"País","total","categoría","Total","tipología","Total","zona","santa cruz","municipio","total municipios","Años",IF([1]ACTUALIZACIÓN!$C$1="enero",[1]ACTUALIZACIÓN!$C$2-3,[1]ACTUALIZACIÓN!$C$2))/GETPIVOTDATA("Suma de turistas",'[1]TTDD DATOS'!$B$49,"País",$C273,"categoría","Total","tipología","Total","zona","santa cruz","municipio","total municipios","Años",IF([1]ACTUALIZACIÓN!$C$1="enero",[1]ACTUALIZACIÓN!$C$2-3,[1]ACTUALIZACIÓN!$C$2))-GETPIVOTDATA("Suma de turistas",'[1]TTDD DATOS'!$B$49,"País","españa","categoría","Total","tipología","Total","zona","santa cruz","municipio","total municipios","Años",IF([1]ACTUALIZACIÓN!$C$1="enero",[1]ACTUALIZACIÓN!$C$2-3,[1]ACTUALIZACIÓN!$C$2))/GETPIVOTDATA("Suma de turistas",'[1]TTDD DATOS'!$B$49,"País",$C273,"categoría","Total","tipología","Total","zona","santa cruz","municipio","total municipios","Años",IF([1]ACTUALIZACIÓN!$C$1="enero",[1]ACTUALIZACIÓN!$C$2-3,[1]ACTUALIZACIÓN!$C$2))</f>
        <v>0.40574848856127099</v>
      </c>
      <c r="H272" s="287">
        <f>GETPIVOTDATA("Suma de turistas",'[1]TTDD DATOS'!$B$6,"País","total","categoría","Total","tipología","Total","zona","la laguna-bajamar-la punta","municipio","total municipios","Años",[1]ACTUALIZACIÓN!$C$2)/GETPIVOTDATA("Suma de turistas",'[1]TTDD DATOS'!$B$6,"País",$C273,"categoría","Total","tipología","Total","zona","la laguna-bajamar-la punta","municipio","total municipios","Años",[1]ACTUALIZACIÓN!$C$2)-GETPIVOTDATA("Suma de turistas",'[1]TTDD DATOS'!$B$6,"País","españa","categoría","Total","tipología","Total","zona","la laguna-bajamar-la punta","municipio","total municipios","Años",[1]ACTUALIZACIÓN!$C$2)/GETPIVOTDATA("Suma de turistas",'[1]TTDD DATOS'!$B$6,"País",$C273,"categoría","Total","tipología","Total","zona","la laguna-bajamar-la punta","municipio","total municipios","Años",[1]ACTUALIZACIÓN!$C$2)</f>
        <v>0.50231621349446121</v>
      </c>
      <c r="I272" s="288">
        <f>GETPIVOTDATA("Suma de turistas",'[1]TTDD DATOS'!$B$49,"País","total","categoría","Total","tipología","Total","zona","la laguna-bajamar-la punta","municipio","total municipios","Años",IF([1]ACTUALIZACIÓN!$C$1="enero",[1]ACTUALIZACIÓN!$C$2-1,[1]ACTUALIZACIÓN!$C$2))/GETPIVOTDATA("Suma de turistas",'[1]TTDD DATOS'!$B$49,"País",$C273,"categoría","Total","tipología","Total","zona","la laguna-bajamar-la punta","municipio","total municipios","Años",IF([1]ACTUALIZACIÓN!$C$1="enero",[1]ACTUALIZACIÓN!$C$2-1,[1]ACTUALIZACIÓN!$C$2))-GETPIVOTDATA("Suma de turistas",'[1]TTDD DATOS'!$B$49,"País","españa","categoría","Total","tipología","Total","zona","la laguna-bajamar-la punta","municipio","total municipios","Años",IF([1]ACTUALIZACIÓN!$C$1="enero",[1]ACTUALIZACIÓN!$C$2-1,[1]ACTUALIZACIÓN!$C$2))/GETPIVOTDATA("Suma de turistas",'[1]TTDD DATOS'!$B$49,"País",$C273,"categoría","Total","tipología","Total","zona","la laguna-bajamar-la punta","municipio","total municipios","Años",IF([1]ACTUALIZACIÓN!$C$1="enero",[1]ACTUALIZACIÓN!$C$2-1,[1]ACTUALIZACIÓN!$C$2))</f>
        <v>0.51945714928394693</v>
      </c>
      <c r="J272" s="287">
        <f>GETPIVOTDATA("Suma de turistas",'[1]TTDD DATOS'!$B$6,"País","total","categoría","Total","tipología","Total","zona","norte","municipio","total municipios","Años",[1]ACTUALIZACIÓN!$C$2)/GETPIVOTDATA("Suma de turistas",'[1]TTDD DATOS'!$B$6,"País",$C273,"categoría","Total","tipología","Total","zona","norte","municipio","total municipios","Años",[1]ACTUALIZACIÓN!$C$2)-GETPIVOTDATA("Suma de turistas",'[1]TTDD DATOS'!$B$6,"País","españa","categoría","Total","tipología","Total","zona","norte","municipio","total municipios","Años",[1]ACTUALIZACIÓN!$C$2)/GETPIVOTDATA("Suma de turistas",'[1]TTDD DATOS'!$B$6,"País",$C273,"categoría","Total","tipología","Total","zona","norte","municipio","total municipios","Años",[1]ACTUALIZACIÓN!$C$2)</f>
        <v>0.60607560915231462</v>
      </c>
      <c r="K272" s="288">
        <f>GETPIVOTDATA("Suma de turistas",'[1]TTDD DATOS'!$B$49,"País","total","categoría","Total","tipología","Total","zona","norte","municipio","total municipios","Años",IF([1]ACTUALIZACIÓN!$C$1="enero",[1]ACTUALIZACIÓN!$C$2-1,[1]ACTUALIZACIÓN!$C$2))/GETPIVOTDATA("Suma de turistas",'[1]TTDD DATOS'!$B$49,"País",$C273,"categoría","Total","tipología","Total","zona","norte","municipio","total municipios","Años",IF([1]ACTUALIZACIÓN!$C$1="enero",[1]ACTUALIZACIÓN!$C$2-1,[1]ACTUALIZACIÓN!$C$2))-GETPIVOTDATA("Suma de turistas",'[1]TTDD DATOS'!$B$49,"País","españa","categoría","Total","tipología","Total","zona","norte","municipio","total municipios","Años",IF([1]ACTUALIZACIÓN!$C$1="enero",[1]ACTUALIZACIÓN!$C$2-1,[1]ACTUALIZACIÓN!$C$2))/GETPIVOTDATA("Suma de turistas",'[1]TTDD DATOS'!$B$49,"País",$C273,"categoría","Total","tipología","Total","zona","norte","municipio","total municipios","Años",IF([1]ACTUALIZACIÓN!$C$1="enero",[1]ACTUALIZACIÓN!$C$2-1,[1]ACTUALIZACIÓN!$C$2))</f>
        <v>0.60525045179268577</v>
      </c>
      <c r="L272" s="290">
        <f>GETPIVOTDATA("Suma de turistas",'[1]TTDD DATOS'!$B$6,"País","total","categoría","Total","tipología","Total","zona","sur","municipio","total municipios","Años",[1]ACTUALIZACIÓN!$C$2)/GETPIVOTDATA("Suma de turistas",'[1]TTDD DATOS'!$B$6,"País",$C273,"categoría","Total","tipología","Total","zona","sur","municipio","total municipios","Años",[1]ACTUALIZACIÓN!$C$2)-GETPIVOTDATA("Suma de turistas",'[1]TTDD DATOS'!$B$6,"País","españa","categoría","Total","tipología","Total","zona","sur","municipio","total municipios","Años",[1]ACTUALIZACIÓN!$C$2)/GETPIVOTDATA("Suma de turistas",'[1]TTDD DATOS'!$B$6,"País",$C273,"categoría","Total","tipología","Total","zona","sur","municipio","total municipios","Años",[1]ACTUALIZACIÓN!$C$2)</f>
        <v>0.91248317828096659</v>
      </c>
      <c r="M272" s="291">
        <f>GETPIVOTDATA("Suma de turistas",'[1]TTDD DATOS'!$B$49,"País","total","categoría","Total","tipología","Total","zona","sur","municipio","total municipios","Años",IF([1]ACTUALIZACIÓN!$C$1="enero",[1]ACTUALIZACIÓN!$C$2-1,[1]ACTUALIZACIÓN!$C$2))/GETPIVOTDATA("Suma de turistas",'[1]TTDD DATOS'!$B$49,"País",$C273,"categoría","Total","tipología","Total","zona","sur","municipio","total municipios","Años",IF([1]ACTUALIZACIÓN!$C$1="enero",[1]ACTUALIZACIÓN!$C$2-1,[1]ACTUALIZACIÓN!$C$2))-GETPIVOTDATA("Suma de turistas",'[1]TTDD DATOS'!$B$49,"País","españa","categoría","Total","tipología","Total","zona","sur","municipio","total municipios","Años",IF([1]ACTUALIZACIÓN!$C$1="enero",[1]ACTUALIZACIÓN!$C$2-1,[1]ACTUALIZACIÓN!$C$2))/GETPIVOTDATA("Suma de turistas",'[1]TTDD DATOS'!$B$49,"País",$C273,"categoría","Total","tipología","Total","zona","sur","municipio","total municipios","Años",IF([1]ACTUALIZACIÓN!$C$1="enero",[1]ACTUALIZACIÓN!$C$2-1,[1]ACTUALIZACIÓN!$C$2))</f>
        <v>0.90322263665238844</v>
      </c>
    </row>
    <row r="273" spans="3:18" ht="24" customHeight="1" thickBot="1" x14ac:dyDescent="0.25">
      <c r="C273" s="292" t="s">
        <v>8</v>
      </c>
      <c r="D273" s="293">
        <f>GETPIVOTDATA("Suma de turistas",'[1]TTDD DATOS'!$B$6,"País",$C273,"categoría","Total","tipología","Total","zona","tenerife","municipio","total municipios","Años",[1]ACTUALIZACIÓN!$C$2)/GETPIVOTDATA("Suma de turistas",'[1]TTDD DATOS'!$B$6,"País",$C273,"categoría","Total","tipología","Total","zona","tenerife","municipio","total municipios","Años",[1]ACTUALIZACIÓN!$C$2)</f>
        <v>1</v>
      </c>
      <c r="E273" s="294">
        <f>GETPIVOTDATA("Suma de turistas",'[1]TTDD DATOS'!$B$49,"País",$C273,"categoría","Total","tipología","Total","zona","tenerife","municipio","total municipios","Años",IF([1]ACTUALIZACIÓN!$C$1="enero",[1]ACTUALIZACIÓN!$C$2-1,[1]ACTUALIZACIÓN!$C$2))/GETPIVOTDATA("Suma de turistas",'[1]TTDD DATOS'!$B$49,"País",$C273,"categoría","Total","tipología","Total","zona","tenerife","municipio","total municipios","Años",IF([1]ACTUALIZACIÓN!$C$1="enero",[1]ACTUALIZACIÓN!$C$2-1,[1]ACTUALIZACIÓN!$C$2))</f>
        <v>1</v>
      </c>
      <c r="F273" s="295">
        <f>GETPIVOTDATA("Suma de turistas",'[1]TTDD DATOS'!$B$6,"País",$C273,"categoría","Total","tipología","Total","zona","santa cruz","municipio","total municipios","Años",[1]ACTUALIZACIÓN!$C$2)/GETPIVOTDATA("Suma de turistas",'[1]TTDD DATOS'!$B$6,"País",$C273,"categoría","Total","tipología","Total","zona","santa cruz","municipio","total municipios","Años",[1]ACTUALIZACIÓN!$C$2)</f>
        <v>1</v>
      </c>
      <c r="G273" s="294">
        <f>GETPIVOTDATA("Suma de turistas",'[1]TTDD DATOS'!$B$49,"País",$C273,"categoría","Total","tipología","Total","zona","santa cruz","municipio","total municipios","Años",IF([1]ACTUALIZACIÓN!$C$1="enero",[1]ACTUALIZACIÓN!$C$2-3,[1]ACTUALIZACIÓN!$C$2))/GETPIVOTDATA("Suma de turistas",'[1]TTDD DATOS'!$B$49,"País",$C273,"categoría","Total","tipología","Total","zona","santa cruz","municipio","total municipios","Años",IF([1]ACTUALIZACIÓN!$C$1="enero",[1]ACTUALIZACIÓN!$C$2-3,[1]ACTUALIZACIÓN!$C$2))</f>
        <v>1</v>
      </c>
      <c r="H273" s="293">
        <f>GETPIVOTDATA("Suma de turistas",'[1]TTDD DATOS'!$B$6,"País",$C273,"categoría","Total","tipología","Total","zona","la laguna-bajamar-la punta","municipio","total municipios","Años",[1]ACTUALIZACIÓN!$C$2)/GETPIVOTDATA("Suma de turistas",'[1]TTDD DATOS'!$B$6,"País",$C273,"categoría","Total","tipología","Total","zona","la laguna-bajamar-la punta","municipio","total municipios","Años",[1]ACTUALIZACIÓN!$C$2)</f>
        <v>1</v>
      </c>
      <c r="I273" s="294">
        <f>GETPIVOTDATA("Suma de turistas",'[1]TTDD DATOS'!$B$49,"País",$C273,"categoría","Total","tipología","Total","zona","la laguna-bajamar-la punta","municipio","total municipios","Años",IF([1]ACTUALIZACIÓN!$C$1="enero",[1]ACTUALIZACIÓN!$C$2-1,[1]ACTUALIZACIÓN!$C$2))/GETPIVOTDATA("Suma de turistas",'[1]TTDD DATOS'!$B$49,"País",$C273,"categoría","Total","tipología","Total","zona","la laguna-bajamar-la punta","municipio","total municipios","Años",IF([1]ACTUALIZACIÓN!$C$1="enero",[1]ACTUALIZACIÓN!$C$2-1,[1]ACTUALIZACIÓN!$C$2))</f>
        <v>1</v>
      </c>
      <c r="J273" s="293">
        <f>GETPIVOTDATA("Suma de turistas",'[1]TTDD DATOS'!$B$6,"País",$C273,"categoría","Total","tipología","Total","zona","norte","municipio","total municipios","Años",[1]ACTUALIZACIÓN!$C$2)/GETPIVOTDATA("Suma de turistas",'[1]TTDD DATOS'!$B$6,"País",$C273,"categoría","Total","tipología","Total","zona","norte","municipio","total municipios","Años",[1]ACTUALIZACIÓN!$C$2)</f>
        <v>1</v>
      </c>
      <c r="K273" s="294">
        <f>GETPIVOTDATA("Suma de turistas",'[1]TTDD DATOS'!$B$49,"País",$C273,"categoría","Total","tipología","Total","zona","norte","municipio","total municipios","Años",IF([1]ACTUALIZACIÓN!$C$1="enero",[1]ACTUALIZACIÓN!$C$2-1,[1]ACTUALIZACIÓN!$C$2))/GETPIVOTDATA("Suma de turistas",'[1]TTDD DATOS'!$B$49,"País",$C273,"categoría","Total","tipología","Total","zona","norte","municipio","total municipios","Años",IF([1]ACTUALIZACIÓN!$C$1="enero",[1]ACTUALIZACIÓN!$C$2-1,[1]ACTUALIZACIÓN!$C$2))</f>
        <v>1</v>
      </c>
      <c r="L273" s="296">
        <f>GETPIVOTDATA("Suma de turistas",'[1]TTDD DATOS'!$B$6,"País",$C273,"categoría","Total","tipología","Total","zona","sur","municipio","total municipios","Años",[1]ACTUALIZACIÓN!$C$2)/GETPIVOTDATA("Suma de turistas",'[1]TTDD DATOS'!$B$6,"País",$C273,"categoría","Total","tipología","Total","zona","sur","municipio","total municipios","Años",[1]ACTUALIZACIÓN!$C$2)</f>
        <v>1</v>
      </c>
      <c r="M273" s="297">
        <f>GETPIVOTDATA("Suma de turistas",'[1]TTDD DATOS'!$B$49,"País",$C273,"categoría","Total","tipología","Total","zona","sur","municipio","total municipios","Años",IF([1]ACTUALIZACIÓN!$C$1="enero",[1]ACTUALIZACIÓN!$C$2-1,[1]ACTUALIZACIÓN!$C$2))/GETPIVOTDATA("Suma de turistas",'[1]TTDD DATOS'!$B$49,"País",$C273,"categoría","Total","tipología","Total","zona","sur","municipio","total municipios","Años",IF([1]ACTUALIZACIÓN!$C$1="enero",[1]ACTUALIZACIÓN!$C$2-1,[1]ACTUALIZACIÓN!$C$2))</f>
        <v>1</v>
      </c>
    </row>
    <row r="274" spans="3:18" ht="18" customHeight="1" x14ac:dyDescent="0.2">
      <c r="C274" s="298"/>
      <c r="D274" s="299"/>
      <c r="E274" s="300"/>
      <c r="F274" s="299"/>
      <c r="G274" s="299"/>
      <c r="H274" s="299"/>
      <c r="I274" s="300"/>
      <c r="J274" s="299"/>
      <c r="K274" s="300"/>
      <c r="L274" s="299"/>
      <c r="M274" s="300"/>
    </row>
    <row r="275" spans="3:18" ht="5.25" customHeight="1" thickBot="1" x14ac:dyDescent="0.25">
      <c r="C275" s="101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</row>
    <row r="276" spans="3:18" ht="20.100000000000001" customHeight="1" thickBot="1" x14ac:dyDescent="0.25">
      <c r="C276" s="24" t="s">
        <v>70</v>
      </c>
      <c r="D276" s="25"/>
      <c r="E276" s="25"/>
      <c r="F276" s="25"/>
      <c r="G276" s="25"/>
      <c r="H276" s="25"/>
      <c r="I276" s="25"/>
      <c r="J276" s="25"/>
      <c r="K276" s="25"/>
      <c r="L276" s="25"/>
      <c r="M276" s="26"/>
    </row>
    <row r="277" spans="3:18" ht="5.25" customHeight="1" thickBot="1" x14ac:dyDescent="0.25"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159"/>
    </row>
    <row r="278" spans="3:18" ht="45.75" customHeight="1" thickBot="1" x14ac:dyDescent="0.25">
      <c r="C278" s="301" t="s">
        <v>7</v>
      </c>
      <c r="D278" s="302" t="s">
        <v>71</v>
      </c>
      <c r="E278" s="303" t="s">
        <v>72</v>
      </c>
      <c r="F278" s="304"/>
      <c r="G278" s="305"/>
      <c r="H278" s="306">
        <v>1169.17</v>
      </c>
      <c r="I278" s="307">
        <v>6.2E-2</v>
      </c>
      <c r="J278" s="308"/>
      <c r="K278" s="308"/>
      <c r="L278" s="308"/>
      <c r="M278" s="309" t="s">
        <v>94</v>
      </c>
      <c r="N278" s="310"/>
      <c r="O278" s="311"/>
      <c r="P278" s="312"/>
      <c r="R278" s="153"/>
    </row>
    <row r="279" spans="3:18" ht="45.75" customHeight="1" thickTop="1" thickBot="1" x14ac:dyDescent="0.25">
      <c r="C279" s="301"/>
      <c r="D279" s="302"/>
      <c r="E279" s="303" t="s">
        <v>73</v>
      </c>
      <c r="F279" s="304"/>
      <c r="G279" s="305"/>
      <c r="H279" s="306">
        <v>285.52</v>
      </c>
      <c r="I279" s="307">
        <v>2E-3</v>
      </c>
      <c r="J279" s="308"/>
      <c r="K279" s="308"/>
      <c r="L279" s="308"/>
      <c r="M279" s="313"/>
      <c r="N279" s="310"/>
      <c r="O279" s="311"/>
      <c r="P279" s="312"/>
    </row>
    <row r="280" spans="3:18" ht="45.75" customHeight="1" thickTop="1" thickBot="1" x14ac:dyDescent="0.25">
      <c r="C280" s="301"/>
      <c r="D280" s="302"/>
      <c r="E280" s="303" t="s">
        <v>74</v>
      </c>
      <c r="F280" s="304"/>
      <c r="G280" s="305"/>
      <c r="H280" s="306">
        <v>478.86</v>
      </c>
      <c r="I280" s="307">
        <v>8.0000000000000002E-3</v>
      </c>
      <c r="J280" s="308"/>
      <c r="K280" s="308" t="s">
        <v>75</v>
      </c>
      <c r="L280" s="308"/>
      <c r="M280" s="313"/>
      <c r="N280" s="310"/>
      <c r="O280" s="311"/>
      <c r="P280" s="312"/>
    </row>
    <row r="281" spans="3:18" ht="45.75" customHeight="1" thickTop="1" thickBot="1" x14ac:dyDescent="0.25">
      <c r="C281" s="301"/>
      <c r="D281" s="302"/>
      <c r="E281" s="303" t="s">
        <v>76</v>
      </c>
      <c r="F281" s="304"/>
      <c r="G281" s="305"/>
      <c r="H281" s="306">
        <v>187.51</v>
      </c>
      <c r="I281" s="307">
        <v>4.4999999999999998E-2</v>
      </c>
      <c r="J281" s="308"/>
      <c r="K281" s="308"/>
      <c r="L281" s="308"/>
      <c r="M281" s="313"/>
      <c r="N281" s="310"/>
      <c r="O281" s="311"/>
      <c r="P281" s="312"/>
    </row>
    <row r="282" spans="3:18" ht="45.75" customHeight="1" thickTop="1" thickBot="1" x14ac:dyDescent="0.25">
      <c r="C282" s="301"/>
      <c r="D282" s="314"/>
      <c r="E282" s="303" t="s">
        <v>77</v>
      </c>
      <c r="F282" s="304"/>
      <c r="G282" s="305"/>
      <c r="H282" s="306">
        <v>217.28</v>
      </c>
      <c r="I282" s="307">
        <v>0.34799999999999998</v>
      </c>
      <c r="J282" s="308"/>
      <c r="K282" s="308"/>
      <c r="L282" s="308"/>
      <c r="M282" s="313"/>
      <c r="N282" s="310"/>
      <c r="O282" s="311"/>
      <c r="P282" s="312"/>
      <c r="R282" s="153"/>
    </row>
    <row r="283" spans="3:18" ht="45.75" customHeight="1" thickTop="1" thickBot="1" x14ac:dyDescent="0.25">
      <c r="C283" s="301"/>
      <c r="D283" s="315" t="s">
        <v>78</v>
      </c>
      <c r="E283" s="316" t="s">
        <v>72</v>
      </c>
      <c r="F283" s="317"/>
      <c r="G283" s="39"/>
      <c r="H283" s="318">
        <v>143.47</v>
      </c>
      <c r="I283" s="319">
        <v>0.10100000000000001</v>
      </c>
      <c r="J283" s="320"/>
      <c r="K283" s="320"/>
      <c r="L283" s="320"/>
      <c r="M283" s="313"/>
      <c r="N283" s="310"/>
      <c r="O283" s="311"/>
      <c r="P283" s="312"/>
      <c r="R283" s="153"/>
    </row>
    <row r="284" spans="3:18" ht="45.75" customHeight="1" thickTop="1" thickBot="1" x14ac:dyDescent="0.25">
      <c r="C284" s="301"/>
      <c r="D284" s="321"/>
      <c r="E284" s="316" t="s">
        <v>73</v>
      </c>
      <c r="F284" s="317"/>
      <c r="G284" s="39"/>
      <c r="H284" s="318">
        <v>35.56</v>
      </c>
      <c r="I284" s="319">
        <v>0.03</v>
      </c>
      <c r="J284" s="320"/>
      <c r="K284" s="320"/>
      <c r="L284" s="320"/>
      <c r="M284" s="313"/>
      <c r="N284" s="310"/>
      <c r="O284" s="311"/>
      <c r="P284" s="312"/>
      <c r="R284" s="153"/>
    </row>
    <row r="285" spans="3:18" ht="45.75" customHeight="1" thickTop="1" thickBot="1" x14ac:dyDescent="0.25">
      <c r="C285" s="301"/>
      <c r="D285" s="321"/>
      <c r="E285" s="316" t="s">
        <v>74</v>
      </c>
      <c r="F285" s="317"/>
      <c r="G285" s="39"/>
      <c r="H285" s="318">
        <v>59.46</v>
      </c>
      <c r="I285" s="319">
        <v>4.5999999999999999E-2</v>
      </c>
      <c r="J285" s="320"/>
      <c r="K285" s="320"/>
      <c r="L285" s="320"/>
      <c r="M285" s="313"/>
      <c r="N285" s="310"/>
      <c r="O285" s="311"/>
      <c r="P285" s="312"/>
      <c r="R285" s="153"/>
    </row>
    <row r="286" spans="3:18" ht="45.75" customHeight="1" thickTop="1" thickBot="1" x14ac:dyDescent="0.25">
      <c r="C286" s="301"/>
      <c r="D286" s="321"/>
      <c r="E286" s="316" t="s">
        <v>76</v>
      </c>
      <c r="F286" s="317"/>
      <c r="G286" s="39"/>
      <c r="H286" s="318">
        <v>21.69</v>
      </c>
      <c r="I286" s="319">
        <v>8.5999999999999993E-2</v>
      </c>
      <c r="M286" s="313"/>
      <c r="N286" s="310"/>
      <c r="O286" s="311"/>
      <c r="P286" s="312"/>
      <c r="R286" s="153"/>
    </row>
    <row r="287" spans="3:18" ht="45.75" customHeight="1" thickTop="1" thickBot="1" x14ac:dyDescent="0.25">
      <c r="C287" s="301"/>
      <c r="D287" s="321"/>
      <c r="E287" s="316" t="s">
        <v>77</v>
      </c>
      <c r="F287" s="317"/>
      <c r="G287" s="39"/>
      <c r="H287" s="318">
        <v>26.76</v>
      </c>
      <c r="I287" s="319">
        <v>0.40400000000000003</v>
      </c>
      <c r="M287" s="322"/>
      <c r="N287" s="310"/>
      <c r="O287" s="311"/>
      <c r="P287" s="312"/>
    </row>
    <row r="288" spans="3:18" ht="5.25" customHeight="1" thickTop="1" thickBot="1" x14ac:dyDescent="0.25">
      <c r="C288" s="323"/>
      <c r="D288" s="323"/>
      <c r="E288" s="323"/>
      <c r="F288" s="323"/>
      <c r="G288" s="323"/>
      <c r="H288" s="323"/>
      <c r="I288" s="323"/>
      <c r="J288" s="323"/>
      <c r="K288" s="323"/>
      <c r="L288" s="323"/>
      <c r="M288" s="324"/>
      <c r="O288" s="153"/>
      <c r="R288" s="153"/>
    </row>
    <row r="289" spans="3:20" ht="19.5" customHeight="1" thickBot="1" x14ac:dyDescent="0.25">
      <c r="C289" s="24" t="s">
        <v>79</v>
      </c>
      <c r="D289" s="25"/>
      <c r="E289" s="25"/>
      <c r="F289" s="25"/>
      <c r="G289" s="25"/>
      <c r="H289" s="25"/>
      <c r="I289" s="25"/>
      <c r="J289" s="25"/>
      <c r="K289" s="25"/>
      <c r="L289" s="25"/>
      <c r="M289" s="26"/>
      <c r="O289" s="153"/>
      <c r="P289" s="153"/>
      <c r="Q289" s="153"/>
    </row>
    <row r="290" spans="3:20" ht="5.25" customHeight="1" x14ac:dyDescent="0.2"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159"/>
      <c r="O290" s="153"/>
      <c r="P290" s="153"/>
      <c r="Q290" s="153"/>
    </row>
    <row r="291" spans="3:20" s="153" customFormat="1" ht="47.25" customHeight="1" thickBot="1" x14ac:dyDescent="0.25">
      <c r="C291" s="325" t="s">
        <v>7</v>
      </c>
      <c r="D291" s="326"/>
      <c r="E291" s="327" t="s">
        <v>8</v>
      </c>
      <c r="F291" s="328">
        <f>GETPIVOTDATA("Plazas Autorizadas",'[1]plazas autorizadas'!$A$6,"mes",[1]ACTUALIZACIÓN!$C$7,"año",[1]ACTUALIZACIÓN!$C$8)</f>
        <v>164411</v>
      </c>
      <c r="G291" s="329"/>
      <c r="H291" s="307">
        <f>GETPIVOTDATA("Plazas Autorizadas",'[1]plazas autorizadas'!$A$6,"mes",[1]ACTUALIZACIÓN!$C$7,"año",[1]ACTUALIZACIÓN!$C$8)/GETPIVOTDATA("Plazas Autorizadas",'[1]plazas autorizadas'!$A$6,"mes","diciembre","año",[1]ACTUALIZACIÓN!$C$8-1)-1</f>
        <v>7.8402765858323065E-3</v>
      </c>
      <c r="I291" s="330" t="str">
        <f>CONCATENATE("El número de plazas autorizadas por Policía Turística a fecha de ",[1]ACTUALIZACIÓN!$C$7," ",[1]ACTUALIZACIÓN!$C$8," asciendían a ",FIXED(F291,0)," plazas, registrando un ",IF(H291&gt;0,"incremento del ","descenso del "),FIXED(H291*100,1),"% respecto al cierre del año ",[1]ACTUALIZACIÓN!C8-1,".")</f>
        <v>El número de plazas autorizadas por Policía Turística a fecha de marzo 2022 asciendían a 164.411 plazas, registrando un incremento del 0,8% respecto al cierre del año 2021.</v>
      </c>
      <c r="J291" s="331"/>
      <c r="K291" s="331"/>
      <c r="L291" s="332"/>
      <c r="M291" s="333" t="str">
        <f>CONCATENATE([1]ACTUALIZACIÓN!$C$7," ",[1]ACTUALIZACIÓN!$C$8," Policía Turística Cabildo de Tenerife")</f>
        <v>marzo 2022 Policía Turística Cabildo de Tenerife</v>
      </c>
      <c r="Q291" s="334"/>
    </row>
    <row r="292" spans="3:20" s="153" customFormat="1" ht="47.25" customHeight="1" thickTop="1" thickBot="1" x14ac:dyDescent="0.25">
      <c r="C292" s="325"/>
      <c r="D292" s="326"/>
      <c r="E292" s="335" t="s">
        <v>80</v>
      </c>
      <c r="F292" s="336">
        <f>GETPIVOTDATA("Plazas Autorizadas",'[1]plazas autorizadas'!$A$6,"Actividad","hoteles","mes",[1]ACTUALIZACIÓN!$C$7,"año",[1]ACTUALIZACIÓN!$C$8)</f>
        <v>87426</v>
      </c>
      <c r="G292" s="337"/>
      <c r="H292" s="307">
        <f>GETPIVOTDATA("Plazas Autorizadas",'[1]plazas autorizadas'!$A$6,"Actividad","hoteles","mes",[1]ACTUALIZACIÓN!$C$7,"año",[1]ACTUALIZACIÓN!$C$8)/GETPIVOTDATA("Plazas Autorizadas",'[1]plazas autorizadas'!$A$6,"Actividad","hoteles","mes","diciembre","año",[1]ACTUALIZACIÓN!$C$8-1)-1</f>
        <v>1.8452505766408001E-2</v>
      </c>
      <c r="I292" s="338" t="str">
        <f>CONCATENATE("Las plazas hoteleras autorizadas ascienden a ",FIXED(F292,0)," y representan el ",FIXED(F292/F291*100,0),"% del total. Con respecto al año ",[1]ACTUALIZACIÓN!C8-1,", las plazas hoteleras se ",IF(H292&gt;0,"incrementan un ","reducen un "),FIXED(H292*100,1),"%.")</f>
        <v>Las plazas hoteleras autorizadas ascienden a 87.426 y representan el 53% del total. Con respecto al año 2021, las plazas hoteleras se incrementan un 1,8%.</v>
      </c>
      <c r="J292" s="339"/>
      <c r="K292" s="339"/>
      <c r="L292" s="340"/>
      <c r="M292" s="333"/>
      <c r="O292" s="341"/>
      <c r="Q292" s="334"/>
    </row>
    <row r="293" spans="3:20" s="153" customFormat="1" ht="47.25" customHeight="1" thickTop="1" thickBot="1" x14ac:dyDescent="0.25">
      <c r="C293" s="325"/>
      <c r="D293" s="326"/>
      <c r="E293" s="342" t="s">
        <v>81</v>
      </c>
      <c r="F293" s="343">
        <f>GETPIVOTDATA("Plazas Autorizadas",'[1]plazas autorizadas'!$A$6,"Actividad","apartamentos","mes",[1]ACTUALIZACIÓN!$C$7,"año",[1]ACTUALIZACIÓN!$C$8)-GETPIVOTDATA("Plazas Autorizadas",'[1]plazas autorizadas'!$A$85,"TipoEstablecimientoDesc","VIVIENDA VACACIONAL","mes",[1]ACTUALIZACIÓN!$C$7,"año",[1]ACTUALIZACIÓN!$C$8)</f>
        <v>47319</v>
      </c>
      <c r="G293" s="344"/>
      <c r="H293" s="307">
        <f>(GETPIVOTDATA("Plazas Autorizadas",'[1]plazas autorizadas'!$A$6,"Actividad","apartamentos","mes",[1]ACTUALIZACIÓN!$C$7,"año",[1]ACTUALIZACIÓN!$C$8)-GETPIVOTDATA("Plazas Autorizadas",'[1]plazas autorizadas'!$A$85,"TipoEstablecimientoDesc","VIVIENDA VACACIONAL","mes",[1]ACTUALIZACIÓN!$C$7,"año",[1]ACTUALIZACIÓN!$C$8))/(GETPIVOTDATA("Plazas Autorizadas",'[1]plazas autorizadas'!$A$6,"Actividad","apartamentos","mes","diciembre","año",[1]ACTUALIZACIÓN!$C$8-1)-GETPIVOTDATA("Plazas Autorizadas",'[1]plazas autorizadas'!$A$85,"TipoEstablecimientoDesc","VIVIENDA VACACIONAL","mes","diciembre","año",[1]ACTUALIZACIÓN!$C$8-1))-1</f>
        <v>-6.8631154766402025E-3</v>
      </c>
      <c r="I293" s="345" t="str">
        <f>CONCATENATE("Las plazas extrahoteleras autorizadas, el ",FIXED(F293/F291*100,0),"% del total, ascienden a  ",FIXED(F293,0)," (no incluye oferta rural). ",IF(H293&gt;0,"Aumentan un +","Disminuye un "),FIXED(H293*100,1),"% respecto al cierre de ",[1]ACTUALIZACIÓN!C8-1,".")</f>
        <v>Las plazas extrahoteleras autorizadas, el 29% del total, ascienden a  47.319 (no incluye oferta rural). Disminuye un -0,7% respecto al cierre de 2021.</v>
      </c>
      <c r="J293" s="339"/>
      <c r="K293" s="339"/>
      <c r="L293" s="340"/>
      <c r="M293" s="333"/>
      <c r="O293" s="341"/>
      <c r="Q293" s="334"/>
    </row>
    <row r="294" spans="3:20" s="153" customFormat="1" ht="47.25" customHeight="1" thickTop="1" thickBot="1" x14ac:dyDescent="0.25">
      <c r="C294" s="325"/>
      <c r="D294" s="326"/>
      <c r="E294" s="335" t="s">
        <v>82</v>
      </c>
      <c r="F294" s="336">
        <f>GETPIVOTDATA("Plazas Autorizadas",'[1]plazas autorizadas'!$A$85,"TipoEstablecimientoDesc","VIVIENDA VACACIONAL","mes",[1]ACTUALIZACIÓN!$C$7,"año",[1]ACTUALIZACIÓN!$C$8)</f>
        <v>28047</v>
      </c>
      <c r="G294" s="337"/>
      <c r="H294" s="307">
        <f>GETPIVOTDATA("Plazas Autorizadas",'[1]plazas autorizadas'!$A$85,"TipoEstablecimientoDesc","VIVIENDA VACACIONAL","mes",[1]ACTUALIZACIÓN!$C$7,"año",[1]ACTUALIZACIÓN!$C$8)/GETPIVOTDATA("Plazas Autorizadas",'[1]plazas autorizadas'!$A$85,"TipoEstablecimientoDesc","VIVIENDA VACACIONAL","mes","diciembre","año",[1]ACTUALIZACIÓN!$C$8-1)-1</f>
        <v>-1.4259741185695951E-4</v>
      </c>
      <c r="I294" s="338" t="str">
        <f>CONCATENATE("Las plazas de vivienda vacacional autorizadas, el ",FIXED(F294/F291*100,0),"% del total, ascienden a  ",FIXED(F294,0)," plazas. ",IF(H294&gt;0,"Aumentan un +","Disminuye un "),FIXED(H294*100,1),"% respecto al cierre de ",[1]ACTUALIZACIÓN!$C$8-1,".")</f>
        <v>Las plazas de vivienda vacacional autorizadas, el 17% del total, ascienden a  28.047 plazas. Disminuye un 0,0% respecto al cierre de 2021.</v>
      </c>
      <c r="J294" s="339"/>
      <c r="K294" s="339"/>
      <c r="L294" s="340"/>
      <c r="M294" s="333"/>
      <c r="O294" s="341"/>
      <c r="Q294" s="334"/>
    </row>
    <row r="295" spans="3:20" s="153" customFormat="1" ht="47.25" customHeight="1" thickTop="1" thickBot="1" x14ac:dyDescent="0.25">
      <c r="C295" s="325"/>
      <c r="D295" s="326"/>
      <c r="E295" s="342" t="s">
        <v>83</v>
      </c>
      <c r="F295" s="343">
        <f>GETPIVOTDATA("Plazas Autorizadas",'[1]plazas autorizadas'!$A$6,"Actividad","hoteles rurales","mes",[1]ACTUALIZACIÓN!$C$7,"año",[1]ACTUALIZACIÓN!$C$8)</f>
        <v>543</v>
      </c>
      <c r="G295" s="344"/>
      <c r="H295" s="307">
        <f>GETPIVOTDATA("Plazas Autorizadas",'[1]plazas autorizadas'!$A$6,"Actividad","hoteles rurales","mes",[1]ACTUALIZACIÓN!$C$7,"año",[1]ACTUALIZACIÓN!$C$8)/GETPIVOTDATA("Plazas Autorizadas",'[1]plazas autorizadas'!$A$6,"Actividad","hoteles rurales","mes","diciembre","año",[1]ACTUALIZACIÓN!$C$8-1)-1</f>
        <v>0</v>
      </c>
      <c r="I295" s="345" t="str">
        <f>CONCATENATE("Las plazas de hoteles rurales autorizadas por Policía Turística ascienden a ",FIXED(F295,0),", con un ",IF(H295&lt;0,"descenso del ","incremento del "),FIXED(H295*100,1),"% respecto a ",[1]ACTUALIZACIÓN!$C$8-1,".")</f>
        <v>Las plazas de hoteles rurales autorizadas por Policía Turística ascienden a 543, con un incremento del 0,0% respecto a 2021.</v>
      </c>
      <c r="J295" s="339"/>
      <c r="K295" s="339"/>
      <c r="L295" s="340"/>
      <c r="M295" s="333"/>
      <c r="O295" s="341"/>
      <c r="Q295" s="334"/>
    </row>
    <row r="296" spans="3:20" s="153" customFormat="1" ht="47.25" customHeight="1" thickTop="1" thickBot="1" x14ac:dyDescent="0.25">
      <c r="C296" s="325"/>
      <c r="D296" s="326"/>
      <c r="E296" s="335" t="s">
        <v>84</v>
      </c>
      <c r="F296" s="336">
        <f>GETPIVOTDATA("Plazas Autorizadas",'[1]plazas autorizadas'!$A$6,"Actividad","casas rurales","mes",[1]ACTUALIZACIÓN!$C$7,"año",[1]ACTUALIZACIÓN!$C$8)</f>
        <v>1076</v>
      </c>
      <c r="G296" s="337"/>
      <c r="H296" s="307">
        <f>GETPIVOTDATA("Plazas Autorizadas",'[1]plazas autorizadas'!$A$6,"Actividad","casas rurales","mes",[1]ACTUALIZACIÓN!$C$7,"año",[1]ACTUALIZACIÓN!$C$8)/GETPIVOTDATA("Plazas Autorizadas",'[1]plazas autorizadas'!$A$6,"Actividad","casas rurales","mes","diciembre","año",[1]ACTUALIZACIÓN!$C$8-1)-1</f>
        <v>2.4761904761904763E-2</v>
      </c>
      <c r="I296" s="338" t="str">
        <f>CONCATENATE("Las plazas de casas rurales autorizadas por Policía Turística ascienden a ",FIXED(F296,0),", registrando un ",IF(H296&lt;0,"descenso del ","incremento del "),FIXED(H296*100,1),"% respecto a ",[1]ACTUALIZACIÓN!C8-1,".")</f>
        <v>Las plazas de casas rurales autorizadas por Policía Turística ascienden a 1.076, registrando un incremento del 2,5% respecto a 2021.</v>
      </c>
      <c r="J296" s="346"/>
      <c r="K296" s="346"/>
      <c r="L296" s="347"/>
      <c r="M296" s="333"/>
      <c r="O296" s="341"/>
      <c r="Q296" s="334"/>
    </row>
    <row r="297" spans="3:20" ht="5.25" customHeight="1" thickTop="1" x14ac:dyDescent="0.2">
      <c r="C297" s="101" t="s">
        <v>85</v>
      </c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  <c r="N297" s="348"/>
      <c r="P297" s="153"/>
      <c r="Q297" s="153"/>
      <c r="R297" s="153"/>
    </row>
    <row r="298" spans="3:20" ht="18.75" customHeight="1" thickBot="1" x14ac:dyDescent="0.25"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348"/>
      <c r="P298" s="153"/>
      <c r="Q298" s="153"/>
      <c r="R298" s="153"/>
    </row>
    <row r="299" spans="3:20" ht="50.25" customHeight="1" thickBot="1" x14ac:dyDescent="0.25">
      <c r="C299" s="1"/>
      <c r="D299" s="1"/>
      <c r="E299" s="2" t="str">
        <f>E242</f>
        <v>INDICADORES TURÍSTICOS DE TENERIFE definitivo</v>
      </c>
      <c r="F299" s="2"/>
      <c r="G299" s="2"/>
      <c r="H299" s="2"/>
      <c r="I299" s="2"/>
      <c r="J299" s="2"/>
      <c r="K299" s="2"/>
      <c r="L299" s="1"/>
      <c r="M299" s="1"/>
      <c r="O299" s="153"/>
      <c r="P299" s="153"/>
      <c r="Q299" s="153"/>
      <c r="R299" s="153"/>
      <c r="S299" s="153"/>
      <c r="T299" s="153"/>
    </row>
    <row r="300" spans="3:20" ht="5.25" customHeight="1" thickBot="1" x14ac:dyDescent="0.25">
      <c r="O300" s="153"/>
      <c r="P300" s="153"/>
      <c r="Q300" s="153"/>
      <c r="R300" s="153"/>
      <c r="S300" s="153"/>
      <c r="T300" s="153"/>
    </row>
    <row r="301" spans="3:20" ht="18" customHeight="1" thickBot="1" x14ac:dyDescent="0.25">
      <c r="C301" s="250" t="s">
        <v>86</v>
      </c>
      <c r="D301" s="251"/>
      <c r="E301" s="251"/>
      <c r="F301" s="251"/>
      <c r="G301" s="251"/>
      <c r="H301" s="251"/>
      <c r="I301" s="251"/>
      <c r="J301" s="251"/>
      <c r="K301" s="251"/>
      <c r="L301" s="251"/>
      <c r="M301" s="252"/>
      <c r="O301" s="153"/>
      <c r="P301" s="153"/>
      <c r="Q301" s="153"/>
      <c r="R301" s="153"/>
      <c r="S301" s="153"/>
      <c r="T301" s="153"/>
    </row>
    <row r="302" spans="3:20" ht="5.25" customHeight="1" x14ac:dyDescent="0.2"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159"/>
      <c r="O302" s="153"/>
      <c r="P302" s="153"/>
      <c r="Q302" s="153"/>
      <c r="R302" s="153"/>
      <c r="S302" s="153"/>
      <c r="T302" s="153"/>
    </row>
    <row r="303" spans="3:20" ht="39.75" customHeight="1" x14ac:dyDescent="0.2">
      <c r="C303" s="349" t="s">
        <v>7</v>
      </c>
      <c r="D303" s="350"/>
      <c r="E303" s="351" t="s">
        <v>8</v>
      </c>
      <c r="F303" s="352">
        <f>GETPIVOTDATA("suma de plazas",'[1]TTDD DATOS'!$B$6,"País","Total","categoría","Total","tipología","Total","zona","tenerife","municipio","total municipios","Años",[1]ACTUALIZACIÓN!$C$2)</f>
        <v>114419</v>
      </c>
      <c r="G303" s="353"/>
      <c r="H303" s="354">
        <f>GETPIVOTDATA("suma de plazas",'[1]TTDD DATOS'!$B$6,"País","Total","categoría","Total","tipología","Total","zona","tenerife","municipio","total municipios","Años",[1]ACTUALIZACIÓN!$C$2)/GETPIVOTDATA("suma de plazas",'[1]TTDD DATOS'!$B$6,"País","Total","categoría","Total","tipología","Total","zona","tenerife","municipio","total municipios","Años",[1]ACTUALIZACIÓN!$C$2-1)-1</f>
        <v>1.541797178718205</v>
      </c>
      <c r="I303" s="355" t="str">
        <f>CONCATENATE("Las plazas estimadas por el STDE del Cabildo de Tenerife en ",[1]ACTUALIZACIÓN!$C$1," de ",[1]ACTUALIZACIÓN!C2," ascienden a ",FIXED(F303,0),". Se ",IF(H303&gt;0,"incremantan ","reducen "),"un ",FIXED(H303*100,1),"% respecto al mismo período del año anterior.")</f>
        <v>Las plazas estimadas por el STDE del Cabildo de Tenerife en marzo de 2022 ascienden a 114.419. Se incremantan un 154,2% respecto al mismo período del año anterior.</v>
      </c>
      <c r="J303" s="356"/>
      <c r="K303" s="356"/>
      <c r="L303" s="357"/>
      <c r="M303" s="333" t="s">
        <v>9</v>
      </c>
      <c r="O303" s="153"/>
      <c r="P303" s="153"/>
      <c r="Q303" s="153"/>
      <c r="R303" s="153"/>
      <c r="S303" s="153"/>
      <c r="T303" s="153"/>
    </row>
    <row r="304" spans="3:20" ht="34.5" customHeight="1" x14ac:dyDescent="0.2">
      <c r="C304" s="349"/>
      <c r="D304" s="350"/>
      <c r="E304" s="358" t="s">
        <v>87</v>
      </c>
      <c r="F304" s="359">
        <f>GETPIVOTDATA("suma de plazas",'[1]TTDD DATOS'!$B$6,"País","Total","categoría","Total","tipología","hotelera","zona","tenerife","municipio","total municipios","Años",[1]ACTUALIZACIÓN!$C$2)</f>
        <v>80441</v>
      </c>
      <c r="G304" s="360"/>
      <c r="H304" s="148">
        <f>GETPIVOTDATA("suma de plazas",'[1]TTDD DATOS'!$B$6,"País","Total","categoría","Total","tipología","hotelera","zona","tenerife","municipio","total municipios","Años",[1]ACTUALIZACIÓN!$C$2)/GETPIVOTDATA("suma de plazas",'[1]TTDD DATOS'!$B$6,"País","Total","categoría","Total","tipología","hotelera","zona","tenerife","municipio","total municipios","Años",[1]ACTUALIZACIÓN!$C$2-1)-1</f>
        <v>2.2386262984137208</v>
      </c>
      <c r="I304" s="361" t="str">
        <f>CONCATENATE("La oferta hotelera estimada por el STDE del Cabildo de Tenerife se sitúa en ",FIXED(F304,0)," plazas, un ",FIXED(F304/F303*100,1),"% del total de plazas. ",IF(H304&gt;0,"Aumentan un ","Disminuyen un "),FIXED(H304*100,1),"% respecto al mismo periodo del año anterior.")</f>
        <v>La oferta hotelera estimada por el STDE del Cabildo de Tenerife se sitúa en 80.441 plazas, un 70,3% del total de plazas. Aumentan un 223,9% respecto al mismo periodo del año anterior.</v>
      </c>
      <c r="J304" s="362"/>
      <c r="K304" s="362"/>
      <c r="L304" s="363"/>
      <c r="M304" s="333"/>
      <c r="O304" s="153"/>
      <c r="P304" s="153"/>
      <c r="Q304" s="153"/>
      <c r="R304" s="153"/>
      <c r="S304" s="153"/>
      <c r="T304" s="153"/>
    </row>
    <row r="305" spans="3:18" ht="41.25" customHeight="1" thickBot="1" x14ac:dyDescent="0.25">
      <c r="C305" s="364"/>
      <c r="D305" s="365"/>
      <c r="E305" s="366" t="s">
        <v>88</v>
      </c>
      <c r="F305" s="367">
        <f>GETPIVOTDATA("suma de plazas",'[1]TTDD DATOS'!$B$6,"País","Total","categoría","Total","tipología","extrahotelera","zona","tenerife","municipio","total municipios","Años",[1]ACTUALIZACIÓN!$C$2)</f>
        <v>33978</v>
      </c>
      <c r="G305" s="368"/>
      <c r="H305" s="369">
        <f>GETPIVOTDATA("suma de plazas",'[1]TTDD DATOS'!$B$6,"País","Total","categoría","Total","tipología","extrahotelera","zona","tenerife","municipio","total municipios","Años",[1]ACTUALIZACIÓN!$C$2)/GETPIVOTDATA("suma de plazas",'[1]TTDD DATOS'!$B$6,"País","Total","categoría","Total","tipología","extrahotelera","zona","tenerife","municipio","total municipios","Años",[1]ACTUALIZACIÓN!$C$2-1)-1</f>
        <v>0.68399662982603959</v>
      </c>
      <c r="I305" s="370" t="str">
        <f>CONCATENATE("La oferta extrahotelera estimada por el STDE del Cabildo de Tenerife en ",[1]ACTUALIZACIÓN!$C$1," de ",[1]ACTUALIZACIÓN!C2,", asciende a ",FIXED(F305,0)," plazas, incluyendo oferta rural. Supone el ",FIXED(F305/F303*100,1),"% del total de las plazas turísticas, registrando un ",IF(H305&gt;0,"incremento del ","descenso del "),FIXED(H305*100,1),"%.")</f>
        <v>La oferta extrahotelera estimada por el STDE del Cabildo de Tenerife en marzo de 2022, asciende a 33.978 plazas, incluyendo oferta rural. Supone el 29,7% del total de las plazas turísticas, registrando un incremento del 68,4%.</v>
      </c>
      <c r="J305" s="371"/>
      <c r="K305" s="371"/>
      <c r="L305" s="372"/>
      <c r="M305" s="333"/>
      <c r="Q305" s="373"/>
    </row>
    <row r="306" spans="3:18" ht="18.75" hidden="1" customHeight="1" x14ac:dyDescent="0.2">
      <c r="C306" s="374" t="s">
        <v>12</v>
      </c>
      <c r="D306" s="375"/>
      <c r="E306" s="376" t="s">
        <v>8</v>
      </c>
      <c r="F306" s="377">
        <f>GETPIVOTDATA("suma de plazas",'[1]TTDD DATOS'!$B$6,"País","Total","categoría","Total","tipología","Total","zona","santa cruz","municipio","total municipios","Años",[1]ACTUALIZACIÓN!$C$2)</f>
        <v>2381</v>
      </c>
      <c r="G306" s="377"/>
      <c r="H306" s="378">
        <f>GETPIVOTDATA("suma de plazas",'[1]TTDD DATOS'!$B$6,"País","Total","categoría","Total","tipología","Total","zona","santa cruz","municipio","total municipios","Años",[1]ACTUALIZACIÓN!$C$2)/GETPIVOTDATA("suma de plazas",'[1]TTDD DATOS'!$B$6,"País","Total","categoría","Total","tipología","Total","zona","santa cruz","municipio","total municipios","Años",[1]ACTUALIZACIÓN!$C$2-3)-1</f>
        <v>-0.42805668988710066</v>
      </c>
      <c r="I306" s="379" t="str">
        <f>CONCATENATE("Las plazas estimadas por el STDE  del Cabildo de Tenerife en la zona de Santa Cruz, ascienden a ",FIXED(F307,0),", todas ellas pertenecientes a la tipología hotelera. Se registra un ",IF(H307&gt;0,"incremento ","descenso "),"con respecto al año anterior del ",FIXED(H307*100,1),"%.")</f>
        <v>Las plazas estimadas por el STDE  del Cabildo de Tenerife en la zona de Santa Cruz, ascienden a 2.373, todas ellas pertenecientes a la tipología hotelera. Se registra un incremento con respecto al año anterior del 18,2%.</v>
      </c>
      <c r="J306" s="380"/>
      <c r="K306" s="380"/>
      <c r="L306" s="381"/>
      <c r="M306" s="333"/>
      <c r="Q306" s="373"/>
    </row>
    <row r="307" spans="3:18" ht="48.75" customHeight="1" thickTop="1" thickBot="1" x14ac:dyDescent="0.25">
      <c r="C307" s="382"/>
      <c r="D307" s="383"/>
      <c r="E307" s="384" t="s">
        <v>87</v>
      </c>
      <c r="F307" s="385">
        <f>GETPIVOTDATA("suma de plazas",'[1]TTDD DATOS'!$B$6,"País","Total","categoría","Total","tipología","hotelera","zona","santa cruz","municipio","total municipios","Años",[1]ACTUALIZACIÓN!$C$2)</f>
        <v>2373</v>
      </c>
      <c r="G307" s="386"/>
      <c r="H307" s="369">
        <f>GETPIVOTDATA("suma de plazas",'[1]TTDD DATOS'!$B$6,"País","Total","categoría","Total","tipología","hotelera","zona","santa cruz","municipio","total municipios","Años",[1]ACTUALIZACIÓN!$C$2)/GETPIVOTDATA("suma de plazas",'[1]TTDD DATOS'!$B$6,"País","Total","categoría","Total","tipología","hotelera","zona","santa cruz","municipio","total municipios","Años",[1]ACTUALIZACIÓN!$C$2-1)-1</f>
        <v>0.18177290836653381</v>
      </c>
      <c r="I307" s="387" t="str">
        <f>CONCATENATE("Las plazas estimadas por el STDE  del Cabildo de Tenerife en la zona de Santa Cruz, ascienden a ",FIXED(F307,0),", todas ellas pertenecientes a la tipología hotelera. Se registra un ",IF(H307&gt;0,"incremento ","descenso "),"con respecto al año anterior del ",FIXED(H307*100,1),"%.")</f>
        <v>Las plazas estimadas por el STDE  del Cabildo de Tenerife en la zona de Santa Cruz, ascienden a 2.373, todas ellas pertenecientes a la tipología hotelera. Se registra un incremento con respecto al año anterior del 18,2%.</v>
      </c>
      <c r="J307" s="331"/>
      <c r="K307" s="331"/>
      <c r="L307" s="332"/>
      <c r="M307" s="333"/>
    </row>
    <row r="308" spans="3:18" ht="42" customHeight="1" thickTop="1" x14ac:dyDescent="0.2">
      <c r="C308" s="388" t="s">
        <v>13</v>
      </c>
      <c r="D308" s="389"/>
      <c r="E308" s="390" t="s">
        <v>8</v>
      </c>
      <c r="F308" s="391">
        <f>GETPIVOTDATA("suma de plazas",'[1]TTDD DATOS'!$B$6,"País","Total","categoría","Total","tipología","Total","zona","la laguna-bajamar-la punta","municipio","total municipios","Años",[1]ACTUALIZACIÓN!$C$2)</f>
        <v>823</v>
      </c>
      <c r="G308" s="392"/>
      <c r="H308" s="378">
        <f>GETPIVOTDATA("suma de plazas",'[1]TTDD DATOS'!$B$6,"País","Total","categoría","Total","tipología","Total","zona","la laguna-bajamar-la punta","municipio","total municipios","Años",[1]ACTUALIZACIÓN!$C$2)/GETPIVOTDATA("suma de plazas",'[1]TTDD DATOS'!$B$6,"País","Total","categoría","Total","tipología","Total","zona","la laguna-bajamar-la punta","municipio","total municipios","Años",[1]ACTUALIZACIÓN!$C$2-1)-1</f>
        <v>0.39728353140916806</v>
      </c>
      <c r="I308" s="393" t="str">
        <f>CONCATENATE("Las plazas estimadas para la zona de La Laguna, Bajamar, La Punta ascienden a ",FIXED(F308,0)," en ",[1]ACTUALIZACIÓN!$C$1," de ",[1]ACTUALIZACIÓN!C2,", registrando un ",IF(H308&gt;0,"incremento ","descenso "),"respecto al mismo periodo del año anterior del ",FIXED(H308*100,1),"%.")</f>
        <v>Las plazas estimadas para la zona de La Laguna, Bajamar, La Punta ascienden a 823 en marzo de 2022, registrando un incremento respecto al mismo periodo del año anterior del 39,7%.</v>
      </c>
      <c r="J308" s="394"/>
      <c r="K308" s="394"/>
      <c r="L308" s="395"/>
      <c r="M308" s="333"/>
    </row>
    <row r="309" spans="3:18" ht="34.5" customHeight="1" x14ac:dyDescent="0.2">
      <c r="C309" s="396"/>
      <c r="D309" s="397"/>
      <c r="E309" s="398" t="s">
        <v>87</v>
      </c>
      <c r="F309" s="399">
        <f>GETPIVOTDATA("suma de plazas",'[1]TTDD DATOS'!$B$6,"País","Total","categoría","Total","tipología","hotelera","zona","la laguna-bajamar-la punta","municipio","total municipios","Años",[1]ACTUALIZACIÓN!$C$2)</f>
        <v>625</v>
      </c>
      <c r="G309" s="400"/>
      <c r="H309" s="148">
        <f>GETPIVOTDATA("suma de plazas",'[1]TTDD DATOS'!$B$6,"País","Total","categoría","Total","tipología","hotelera","zona","la laguna-bajamar-la punta","municipio","total municipios","Años",[1]ACTUALIZACIÓN!$C$2)/GETPIVOTDATA("suma de plazas",'[1]TTDD DATOS'!$B$6,"País","Total","categoría","Total","tipología","hotelera","zona","la laguna-bajamar-la punta","municipio","total municipios","Años",[1]ACTUALIZACIÓN!$C$2-1)-1</f>
        <v>0.17041198501872667</v>
      </c>
      <c r="I309" s="401" t="str">
        <f>CONCATENATE("Las plazas hoteleras estimadas se sitúan en ",FIXED(F309,0)," plazas, registrando un ",IF(H309&gt;0,"incremento del ","descenso del "),FIXED(H309*100,1),"%.")</f>
        <v>Las plazas hoteleras estimadas se sitúan en 625 plazas, registrando un incremento del 17,0%.</v>
      </c>
      <c r="J309" s="362"/>
      <c r="K309" s="362"/>
      <c r="L309" s="363"/>
      <c r="M309" s="333"/>
    </row>
    <row r="310" spans="3:18" ht="34.5" customHeight="1" thickBot="1" x14ac:dyDescent="0.25">
      <c r="C310" s="402"/>
      <c r="D310" s="403"/>
      <c r="E310" s="404" t="s">
        <v>88</v>
      </c>
      <c r="F310" s="405">
        <f>GETPIVOTDATA("suma de plazas",'[1]TTDD DATOS'!$B$6,"País","Total","categoría","Total","tipología","extrahotelera","zona","la laguna-bajamar-la punta","municipio","total municipios","Años",[1]ACTUALIZACIÓN!$C$2)</f>
        <v>198</v>
      </c>
      <c r="G310" s="406"/>
      <c r="H310" s="369">
        <f>GETPIVOTDATA("suma de plazas",'[1]TTDD DATOS'!$B$6,"País","Total","categoría","Total","tipología","extrahotelera","zona","la laguna-bajamar-la punta","municipio","total municipios","Años",[1]ACTUALIZACIÓN!$C$2)/GETPIVOTDATA("suma de plazas",'[1]TTDD DATOS'!$B$6,"País","Total","categoría","Total","tipología","extrahotelera","zona","la laguna-bajamar-la punta","municipio","total municipios","Años",[1]ACTUALIZACIÓN!$C$2-1)-1</f>
        <v>2.6</v>
      </c>
      <c r="I310" s="407" t="str">
        <f>CONCATENATE("Las plazas extrahoteleras se estiman en ",FIXED(F310,0),", registrándose un ",IF(H310&gt;0,"incremento del ","descenso del "),FIXED(H310*100,1),"% respecto al ",IF(OR([1]ACTUALIZACIÓN!C1="enero",[1]ACTUALIZACIÓN!C1="febrero",[1]ACTUALIZACIÓN!C1="marzo",[1]ACTUALIZACIÓN!C1="abil",[1]ACTUALIZACIÓN!C1="mayo",[1]ACTUALIZACIÓN!C1="junio"),"I semestre del ","II semestre del "),"año anterior.")</f>
        <v>Las plazas extrahoteleras se estiman en 198, registrándose un incremento del 260,0% respecto al I semestre del año anterior.</v>
      </c>
      <c r="J310" s="371"/>
      <c r="K310" s="371"/>
      <c r="L310" s="372"/>
      <c r="M310" s="333"/>
    </row>
    <row r="311" spans="3:18" ht="39.75" customHeight="1" thickTop="1" x14ac:dyDescent="0.2">
      <c r="C311" s="374" t="s">
        <v>14</v>
      </c>
      <c r="D311" s="375"/>
      <c r="E311" s="376" t="s">
        <v>8</v>
      </c>
      <c r="F311" s="408">
        <f>GETPIVOTDATA("suma de plazas",'[1]TTDD DATOS'!$B$6,"País","Total","categoría","Total","tipología","Total","zona","norte","municipio","total municipios","Años",[1]ACTUALIZACIÓN!$C$2)</f>
        <v>19276</v>
      </c>
      <c r="G311" s="409"/>
      <c r="H311" s="378">
        <f>GETPIVOTDATA("suma de plazas",'[1]TTDD DATOS'!$B$6,"País","Total","categoría","Total","tipología","Total","zona","norte","municipio","total municipios","Años",[1]ACTUALIZACIÓN!$C$2)/GETPIVOTDATA("suma de plazas",'[1]TTDD DATOS'!$B$6,"País","Total","categoría","Total","tipología","Total","zona","norte","municipio","total municipios","Años",[1]ACTUALIZACIÓN!$C$2-1)-1</f>
        <v>1.6543651886532635</v>
      </c>
      <c r="I311" s="410" t="str">
        <f>CONCATENATE("Las plazas totales estimadas para la zona Norte se sitúan en las ",FIXED(F311,0)," plazas,  registrándose un ",IF(H311&gt;0,"incremento del ","descenso del "),FIXED(H311*100,1),"% con respecto al ",IF(OR([1]ACTUALIZACIÓN!C1="enero",[1]ACTUALIZACIÓN!C1="febrero",[1]ACTUALIZACIÓN!C1="marzo",[1]ACTUALIZACIÓN!C1="abril",[1]ACTUALIZACIÓN!C1="mayo",[1]ACTUALIZACIÓN!C1="junio"),"I semestre del ","II semestre del "),"año anterior.")</f>
        <v>Las plazas totales estimadas para la zona Norte se sitúan en las 19.276 plazas,  registrándose un incremento del 165,4% con respecto al I semestre del año anterior.</v>
      </c>
      <c r="J311" s="394"/>
      <c r="K311" s="394"/>
      <c r="L311" s="395"/>
      <c r="M311" s="333"/>
    </row>
    <row r="312" spans="3:18" ht="34.5" customHeight="1" x14ac:dyDescent="0.2">
      <c r="C312" s="325"/>
      <c r="D312" s="411"/>
      <c r="E312" s="412" t="s">
        <v>87</v>
      </c>
      <c r="F312" s="413">
        <f>GETPIVOTDATA("suma de plazas",'[1]TTDD DATOS'!$B$6,"País","Total","categoría","Total","tipología","hotelera","zona","norte","municipio","total municipios","Años",[1]ACTUALIZACIÓN!$C$2)</f>
        <v>14441</v>
      </c>
      <c r="G312" s="414"/>
      <c r="H312" s="148">
        <f>GETPIVOTDATA("suma de plazas",'[1]TTDD DATOS'!$B$6,"País","Total","categoría","Total","tipología","hotelera","zona","norte","municipio","total municipios","Años",[1]ACTUALIZACIÓN!$C$2)/GETPIVOTDATA("suma de plazas",'[1]TTDD DATOS'!$B$6,"País","Total","categoría","Total","tipología","hotelera","zona","norte","municipio","total municipios","Años",[1]ACTUALIZACIÓN!$C$2-1)-1</f>
        <v>2.9903288201160541</v>
      </c>
      <c r="I312" s="415" t="str">
        <f>CONCATENATE("La oferta hotelera asciende a ",FIXED(F312,0),", cifra que se ",IF(H312&gt;0,"incrementa un ","reduce un "),FIXED(H312*100,1),"% respecto al año anterior.")</f>
        <v>La oferta hotelera asciende a 14.441, cifra que se incrementa un 299,0% respecto al año anterior.</v>
      </c>
      <c r="J312" s="362"/>
      <c r="K312" s="362"/>
      <c r="L312" s="363"/>
      <c r="M312" s="333"/>
    </row>
    <row r="313" spans="3:18" ht="34.5" customHeight="1" thickBot="1" x14ac:dyDescent="0.25">
      <c r="C313" s="382"/>
      <c r="D313" s="383"/>
      <c r="E313" s="384" t="s">
        <v>88</v>
      </c>
      <c r="F313" s="385">
        <f>GETPIVOTDATA("suma de plazas",'[1]TTDD DATOS'!$B$6,"País","Total","categoría","Total","tipología","extrahotelera","zona","norte","municipio","total municipios","Años",[1]ACTUALIZACIÓN!$C$2)</f>
        <v>4835</v>
      </c>
      <c r="G313" s="386"/>
      <c r="H313" s="369">
        <f>GETPIVOTDATA("suma de plazas",'[1]TTDD DATOS'!$B$6,"País","Total","categoría","Total","tipología","extrahotelera","zona","norte","municipio","total municipios","Años",[1]ACTUALIZACIÓN!$C$2)/GETPIVOTDATA("suma de plazas",'[1]TTDD DATOS'!$B$6,"País","Total","categoría","Total","tipología","extrahotelera","zona","norte","municipio","total municipios","Años",[1]ACTUALIZACIÓN!$C$2-1)-1</f>
        <v>0.32720285479000832</v>
      </c>
      <c r="I313" s="416" t="str">
        <f>CONCATENATE("Las plazas extrahoteras estimadas ascienden a ",FIXED(F313,0),", las cuales ",IF(H313&gt;0,"se incrementan un ","descienden un "),FIXED(H313*100,1),"%.")</f>
        <v>Las plazas extrahoteras estimadas ascienden a 4.835, las cuales se incrementan un 32,7%.</v>
      </c>
      <c r="J313" s="371"/>
      <c r="K313" s="371"/>
      <c r="L313" s="372"/>
      <c r="M313" s="333"/>
    </row>
    <row r="314" spans="3:18" ht="34.5" customHeight="1" thickTop="1" x14ac:dyDescent="0.2">
      <c r="C314" s="417" t="s">
        <v>15</v>
      </c>
      <c r="D314" s="418"/>
      <c r="E314" s="419" t="s">
        <v>8</v>
      </c>
      <c r="F314" s="420">
        <f>GETPIVOTDATA("suma de plazas",'[1]TTDD DATOS'!$B$6,"País","Total","categoría","Total","tipología","Total","zona","sur","municipio","total municipios","Años",[1]ACTUALIZACIÓN!$C$2)</f>
        <v>91939</v>
      </c>
      <c r="G314" s="421"/>
      <c r="H314" s="378">
        <f>GETPIVOTDATA("suma de plazas",'[1]TTDD DATOS'!$B$6,"País","Total","categoría","Total","tipología","Total","zona","sur","municipio","total municipios","Años",[1]ACTUALIZACIÓN!$C$2)/GETPIVOTDATA("suma de plazas",'[1]TTDD DATOS'!$B$6,"País","Total","categoría","Total","tipología","Total","zona","sur","municipio","total municipios","Años",[1]ACTUALIZACIÓN!$C$2-1)-1</f>
        <v>1.615767611243883</v>
      </c>
      <c r="I314" s="393" t="str">
        <f>CONCATENATE("Las plazas estimadas para la zona Sur por el STDE del Cabildo ascienden a ",FIXED(F314,0)," experimentando un ",IF(H314&gt;0,"incremento interanual del ","descenso interanual del "),FIXED(H314*100,1),"%.")</f>
        <v>Las plazas estimadas para la zona Sur por el STDE del Cabildo ascienden a 91.939 experimentando un incremento interanual del 161,6%.</v>
      </c>
      <c r="J314" s="394"/>
      <c r="K314" s="394"/>
      <c r="L314" s="395"/>
      <c r="M314" s="333"/>
    </row>
    <row r="315" spans="3:18" ht="34.5" customHeight="1" x14ac:dyDescent="0.2">
      <c r="C315" s="422"/>
      <c r="D315" s="423"/>
      <c r="E315" s="424" t="s">
        <v>87</v>
      </c>
      <c r="F315" s="425">
        <f>GETPIVOTDATA("suma de plazas",'[1]TTDD DATOS'!$B$6,"País","Total","categoría","Total","tipología","hotelera","zona","sur","municipio","total municipios","Años",[1]ACTUALIZACIÓN!$C$2)</f>
        <v>63002</v>
      </c>
      <c r="G315" s="426"/>
      <c r="H315" s="148">
        <f>GETPIVOTDATA("suma de plazas",'[1]TTDD DATOS'!$B$6,"País","Total","categoría","Total","tipología","hotelera","zona","sur","municipio","total municipios","Años",[1]ACTUALIZACIÓN!$C$2)/GETPIVOTDATA("suma de plazas",'[1]TTDD DATOS'!$B$6,"País","Total","categoría","Total","tipología","hotelera","zona","sur","municipio","total municipios","Años",[1]ACTUALIZACIÓN!$C$2-1)-1</f>
        <v>2.3732398136745729</v>
      </c>
      <c r="I315" s="401" t="str">
        <f>CONCATENATE("Las plazas hoteleras, con un oferta de ",FIXED(F315,0)," plazas, se ",IF(H315&gt;0,"incrementan un ","reducen un "),FIXED(H315*100,1),"% respecto al mismo período del año anterior.")</f>
        <v>Las plazas hoteleras, con un oferta de 63.002 plazas, se incrementan un 237,3% respecto al mismo período del año anterior.</v>
      </c>
      <c r="J315" s="362"/>
      <c r="K315" s="362"/>
      <c r="L315" s="363"/>
      <c r="M315" s="333"/>
    </row>
    <row r="316" spans="3:18" ht="34.5" customHeight="1" x14ac:dyDescent="0.2">
      <c r="C316" s="422"/>
      <c r="D316" s="423"/>
      <c r="E316" s="427" t="s">
        <v>88</v>
      </c>
      <c r="F316" s="428">
        <f>GETPIVOTDATA("suma de plazas",'[1]TTDD DATOS'!$B$6,"País","Total","categoría","Total","tipología","extrahotelera","zona","sur","municipio","total municipios","Años",[1]ACTUALIZACIÓN!$C$2)</f>
        <v>28937</v>
      </c>
      <c r="G316" s="429"/>
      <c r="H316" s="430">
        <f>GETPIVOTDATA("suma de plazas",'[1]TTDD DATOS'!$B$6,"País","Total","categoría","Total","tipología","extrahotelera","zona","sur","municipio","total municipios","Años",[1]ACTUALIZACIÓN!$C$2)/GETPIVOTDATA("suma de plazas",'[1]TTDD DATOS'!$B$6,"País","Total","categoría","Total","tipología","extrahotelera","zona","sur","municipio","total municipios","Años",[1]ACTUALIZACIÓN!$C$2-1)-1</f>
        <v>0.75684536458017115</v>
      </c>
      <c r="I316" s="431" t="str">
        <f>CONCATENATE("Las plazas extrahoteleras estimadas se sitúan en las ",FIXED(F316,0)," en ",[1]ACTUALIZACIÓN!$C$1," de "," ",[1]ACTUALIZACIÓN!C2,", con un ",IF(H316&gt;0,"incremento del ","descenso del "),FIXED(H316*100,1),"%  respecto a ",[1]ACTUALIZACIÓN!$C$1," del año anterior.")</f>
        <v>Las plazas extrahoteleras estimadas se sitúan en las 28.937 en marzo de  2022, con un incremento del 75,7%  respecto a marzo del año anterior.</v>
      </c>
      <c r="J316" s="432"/>
      <c r="K316" s="432"/>
      <c r="L316" s="433"/>
      <c r="M316" s="333"/>
    </row>
    <row r="317" spans="3:18" ht="5.25" customHeight="1" thickBot="1" x14ac:dyDescent="0.25">
      <c r="C317" s="323"/>
      <c r="D317" s="323"/>
      <c r="E317" s="323"/>
      <c r="F317" s="323"/>
      <c r="G317" s="323"/>
      <c r="H317" s="323"/>
      <c r="I317" s="323"/>
      <c r="J317" s="323"/>
      <c r="K317" s="323"/>
      <c r="L317" s="323"/>
      <c r="M317" s="324"/>
      <c r="O317" s="153"/>
      <c r="R317" s="153"/>
    </row>
    <row r="318" spans="3:18" ht="19.5" customHeight="1" thickBot="1" x14ac:dyDescent="0.25">
      <c r="C318" s="24" t="s">
        <v>89</v>
      </c>
      <c r="D318" s="25"/>
      <c r="E318" s="25"/>
      <c r="F318" s="25"/>
      <c r="G318" s="25"/>
      <c r="H318" s="25"/>
      <c r="I318" s="25"/>
      <c r="J318" s="25"/>
      <c r="K318" s="25"/>
      <c r="L318" s="25"/>
      <c r="M318" s="26"/>
      <c r="O318" s="153"/>
      <c r="P318" s="153"/>
      <c r="Q318" s="153"/>
    </row>
    <row r="319" spans="3:18" ht="5.25" customHeight="1" x14ac:dyDescent="0.2"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159"/>
      <c r="O319" s="153"/>
      <c r="P319" s="153"/>
      <c r="Q319" s="153"/>
    </row>
    <row r="320" spans="3:18" ht="44.25" customHeight="1" thickBot="1" x14ac:dyDescent="0.25">
      <c r="C320" s="325" t="s">
        <v>90</v>
      </c>
      <c r="D320" s="411"/>
      <c r="E320" s="434" t="s">
        <v>91</v>
      </c>
      <c r="F320" s="435">
        <f>GETPIVOTDATA("Suma de Pasajeros",[1]cruceros!$A$3,"año",[1]ACTUALIZACIÓN!$C$12)</f>
        <v>141996</v>
      </c>
      <c r="G320" s="436"/>
      <c r="H320" s="307">
        <f>GETPIVOTDATA("Suma de Pasajeros",[1]cruceros!$A$3,"año",[1]ACTUALIZACIÓN!$C$12)/GETPIVOTDATA("Suma de Pasajeros",[1]cruceros!$A$3,"año",[1]ACTUALIZACIÓN!$C$12-1)-1</f>
        <v>5.4614124499453949</v>
      </c>
      <c r="I320" s="387" t="str">
        <f>CONCATENATE("Por el Puerto de Santa Cruz de Tenerife han pasado en ",IF([1]ACTUALIZACIÓN!C11="enero","el primer mes del año ",IF([1]ACTUALIZACIÓN!C11="febrero","los primeros dos meses del año ",IF([1]ACTUALIZACIÓN!C11="marzo","los primeros tres meses del año ",IF([1]ACTUALIZACIÓN!C11="abril","los primeros cuatro meses del año ",IF([1]ACTUALIZACIÓN!C11="mayo","los primeros cinco meses del año ",IF([1]ACTUALIZACIÓN!C11="junio","los primeros seis meses del año ",IF([1]ACTUALIZACIÓN!C11="julio","los primeros siete meses del año ",IF([1]ACTUALIZACIÓN!C11="agosto","los primeros ocho meses del año ",IF([1]ACTUALIZACIÓN!C11="septiembre","los primeros nueve meses del año ",IF([1]ACTUALIZACIÓN!C11="octubre","los primeros diez meses del año ",IF([1]ACTUALIZACIÓN!C11="noviembre","los primeros once meses del año ",IF([1]ACTUALIZACIÓN!C11="diciembre","el año ")))))))))))),[1]ACTUALIZACIÓN!$C$12,", ",FIXED(F320,0)," cruceristas, un ",FIXED(H320*100,1),"% ",IF(H320&gt;0,"más ","menos "),"en comparación al mismo período del año ",[1]ACTUALIZACIÓN!C12-1)</f>
        <v>Por el Puerto de Santa Cruz de Tenerife han pasado en los primeros tres meses del año 2022, 141.996 cruceristas, un 546,1% más en comparación al mismo período del año 2021</v>
      </c>
      <c r="J320" s="437"/>
      <c r="K320" s="437"/>
      <c r="L320" s="438"/>
      <c r="M320" s="333" t="str">
        <f>CONCATENATE(IF(OR([1]ACTUALIZACIÓN!D11="enero",[1]ACTUALIZACIÓN!C11="diciembre"),"","Acumulado "),IF([1]ACTUALIZACIÓN!D11="diciembre","año",[1]ACTUALIZACIÓN!D11)," ",[1]ACTUALIZACIÓN!D12,"
FUENTE: Autoridad Portuaria de S/C de Tenerife")</f>
        <v>Acumulado  
FUENTE: Autoridad Portuaria de S/C de Tenerife</v>
      </c>
    </row>
    <row r="321" spans="3:13" ht="40.5" customHeight="1" thickTop="1" thickBot="1" x14ac:dyDescent="0.25">
      <c r="C321" s="439"/>
      <c r="D321" s="440"/>
      <c r="E321" s="441" t="s">
        <v>92</v>
      </c>
      <c r="F321" s="442">
        <f>GETPIVOTDATA("Suma de Buques",[1]cruceros!$A$3,"año",[1]ACTUALIZACIÓN!$C$12)</f>
        <v>123</v>
      </c>
      <c r="G321" s="443"/>
      <c r="H321" s="444">
        <f>GETPIVOTDATA("Suma de Buques",[1]cruceros!$A$3,"año",[1]ACTUALIZACIÓN!$C$12)/GETPIVOTDATA("Suma de Buques",[1]cruceros!$A$3,"año",[1]ACTUALIZACIÓN!$C$12-1)-1</f>
        <v>0.80882352941176472</v>
      </c>
      <c r="I321" s="445" t="str">
        <f>CONCATENATE("El número de buques de crucero en el Puerto de Santa Cruz de Tenerife ", IF( [1]ACTUALIZACIÓN!C11="enero","en ","hasta "),[1]ACTUALIZACIÓN!C11," ",[1]ACTUALIZACIÓN!C12," ascienden a un total de ",FIXED(F321,0)," cruceros, cifra que se ",IF(H321&gt;0,"incrementa un +","reduce un "),FIXED(H321*100,1),"% respecto al mismo período del año anterior.")</f>
        <v>El número de buques de crucero en el Puerto de Santa Cruz de Tenerife hasta marzo 2022 ascienden a un total de 123 cruceros, cifra que se incrementa un +80,9% respecto al mismo período del año anterior.</v>
      </c>
      <c r="J321" s="446"/>
      <c r="K321" s="446"/>
      <c r="L321" s="447"/>
      <c r="M321" s="448"/>
    </row>
    <row r="322" spans="3:13" ht="13.5" thickTop="1" x14ac:dyDescent="0.2">
      <c r="C322" s="449"/>
      <c r="D322" s="449"/>
      <c r="E322" s="449"/>
      <c r="F322" s="449"/>
      <c r="G322" s="449"/>
      <c r="H322" s="449"/>
      <c r="I322" s="449"/>
      <c r="J322" s="449"/>
      <c r="K322" s="449"/>
      <c r="L322" s="449"/>
      <c r="M322" s="449"/>
    </row>
    <row r="323" spans="3:13" ht="29.25" customHeight="1" x14ac:dyDescent="0.2"/>
    <row r="324" spans="3:13" ht="18" customHeight="1" x14ac:dyDescent="0.2">
      <c r="C324" s="450" t="s">
        <v>93</v>
      </c>
      <c r="D324" s="450"/>
      <c r="E324" s="450"/>
      <c r="F324" s="450"/>
      <c r="G324" s="450"/>
      <c r="H324" s="450"/>
      <c r="I324" s="450"/>
      <c r="J324" s="450"/>
      <c r="K324" s="450"/>
      <c r="L324" s="450"/>
      <c r="M324" s="450"/>
    </row>
    <row r="326" spans="3:13" ht="6.75" customHeight="1" x14ac:dyDescent="0.2"/>
    <row r="328" spans="3:13" ht="8.25" customHeight="1" x14ac:dyDescent="0.2"/>
    <row r="331" spans="3:13" x14ac:dyDescent="0.2">
      <c r="E331" s="451"/>
      <c r="F331" s="451"/>
      <c r="G331" s="451"/>
    </row>
    <row r="332" spans="3:13" x14ac:dyDescent="0.2">
      <c r="E332" s="451"/>
      <c r="F332" s="451"/>
      <c r="G332" s="451"/>
    </row>
    <row r="335" spans="3:13" ht="21.75" customHeight="1" x14ac:dyDescent="0.2"/>
    <row r="337" ht="6" customHeight="1" x14ac:dyDescent="0.2"/>
  </sheetData>
  <mergeCells count="189">
    <mergeCell ref="C324:M324"/>
    <mergeCell ref="C318:M318"/>
    <mergeCell ref="C320:D321"/>
    <mergeCell ref="F320:G320"/>
    <mergeCell ref="I320:L320"/>
    <mergeCell ref="M320:M321"/>
    <mergeCell ref="F321:G321"/>
    <mergeCell ref="I321:L321"/>
    <mergeCell ref="C314:D316"/>
    <mergeCell ref="F314:G314"/>
    <mergeCell ref="I314:L314"/>
    <mergeCell ref="F315:G315"/>
    <mergeCell ref="I315:L315"/>
    <mergeCell ref="F316:G316"/>
    <mergeCell ref="I316:L316"/>
    <mergeCell ref="C311:D313"/>
    <mergeCell ref="F311:G311"/>
    <mergeCell ref="I311:L311"/>
    <mergeCell ref="F312:G312"/>
    <mergeCell ref="I312:L312"/>
    <mergeCell ref="F313:G313"/>
    <mergeCell ref="I313:L313"/>
    <mergeCell ref="F307:G307"/>
    <mergeCell ref="I307:L307"/>
    <mergeCell ref="C308:D310"/>
    <mergeCell ref="F308:G308"/>
    <mergeCell ref="I308:L308"/>
    <mergeCell ref="F309:G309"/>
    <mergeCell ref="I309:L309"/>
    <mergeCell ref="F310:G310"/>
    <mergeCell ref="I310:L310"/>
    <mergeCell ref="C303:D305"/>
    <mergeCell ref="F303:G303"/>
    <mergeCell ref="I303:L303"/>
    <mergeCell ref="M303:M316"/>
    <mergeCell ref="F304:G304"/>
    <mergeCell ref="I304:L304"/>
    <mergeCell ref="F305:G305"/>
    <mergeCell ref="I305:L305"/>
    <mergeCell ref="C306:D307"/>
    <mergeCell ref="I306:L306"/>
    <mergeCell ref="F295:G295"/>
    <mergeCell ref="I295:L295"/>
    <mergeCell ref="F296:G296"/>
    <mergeCell ref="I296:L296"/>
    <mergeCell ref="E299:K299"/>
    <mergeCell ref="C301:M301"/>
    <mergeCell ref="C291:D296"/>
    <mergeCell ref="F291:G291"/>
    <mergeCell ref="I291:L291"/>
    <mergeCell ref="M291:M296"/>
    <mergeCell ref="F292:G292"/>
    <mergeCell ref="I292:L292"/>
    <mergeCell ref="F293:G293"/>
    <mergeCell ref="I293:L293"/>
    <mergeCell ref="F294:G294"/>
    <mergeCell ref="I294:L294"/>
    <mergeCell ref="E283:G283"/>
    <mergeCell ref="E284:G284"/>
    <mergeCell ref="E285:G285"/>
    <mergeCell ref="E286:G286"/>
    <mergeCell ref="E287:G287"/>
    <mergeCell ref="C289:M289"/>
    <mergeCell ref="C276:M276"/>
    <mergeCell ref="C278:C287"/>
    <mergeCell ref="D278:D282"/>
    <mergeCell ref="E278:G278"/>
    <mergeCell ref="M278:M287"/>
    <mergeCell ref="E279:G279"/>
    <mergeCell ref="E280:G280"/>
    <mergeCell ref="E281:G281"/>
    <mergeCell ref="E282:G282"/>
    <mergeCell ref="D283:D287"/>
    <mergeCell ref="E242:K242"/>
    <mergeCell ref="C244:M244"/>
    <mergeCell ref="D246:E246"/>
    <mergeCell ref="F246:G246"/>
    <mergeCell ref="H246:I246"/>
    <mergeCell ref="J246:K246"/>
    <mergeCell ref="L246:M246"/>
    <mergeCell ref="P188:Q188"/>
    <mergeCell ref="C214:Q214"/>
    <mergeCell ref="C215:Q215"/>
    <mergeCell ref="D216:E216"/>
    <mergeCell ref="F216:G216"/>
    <mergeCell ref="H216:I216"/>
    <mergeCell ref="J216:K216"/>
    <mergeCell ref="L216:M216"/>
    <mergeCell ref="N216:O216"/>
    <mergeCell ref="P216:Q216"/>
    <mergeCell ref="C183:M183"/>
    <mergeCell ref="E184:K184"/>
    <mergeCell ref="C186:Q186"/>
    <mergeCell ref="C187:Q187"/>
    <mergeCell ref="D188:E188"/>
    <mergeCell ref="F188:G188"/>
    <mergeCell ref="H188:I188"/>
    <mergeCell ref="J188:K188"/>
    <mergeCell ref="L188:M188"/>
    <mergeCell ref="N188:O188"/>
    <mergeCell ref="C151:M151"/>
    <mergeCell ref="H152:I152"/>
    <mergeCell ref="D154:E154"/>
    <mergeCell ref="F154:G154"/>
    <mergeCell ref="H154:I154"/>
    <mergeCell ref="J154:K154"/>
    <mergeCell ref="L154:M154"/>
    <mergeCell ref="C116:M116"/>
    <mergeCell ref="E117:K117"/>
    <mergeCell ref="C119:M119"/>
    <mergeCell ref="H120:I120"/>
    <mergeCell ref="D122:E122"/>
    <mergeCell ref="F122:G122"/>
    <mergeCell ref="H122:I122"/>
    <mergeCell ref="J122:K122"/>
    <mergeCell ref="L122:M122"/>
    <mergeCell ref="C100:M100"/>
    <mergeCell ref="C102:D106"/>
    <mergeCell ref="I102:I106"/>
    <mergeCell ref="M102:M106"/>
    <mergeCell ref="C108:M108"/>
    <mergeCell ref="C110:D114"/>
    <mergeCell ref="I110:I114"/>
    <mergeCell ref="M110:M114"/>
    <mergeCell ref="C86:D90"/>
    <mergeCell ref="I86:I90"/>
    <mergeCell ref="M86:M90"/>
    <mergeCell ref="C92:M92"/>
    <mergeCell ref="C94:D98"/>
    <mergeCell ref="I94:I98"/>
    <mergeCell ref="M94:M98"/>
    <mergeCell ref="I74:I76"/>
    <mergeCell ref="C77:D79"/>
    <mergeCell ref="I77:I79"/>
    <mergeCell ref="C80:D82"/>
    <mergeCell ref="I80:I82"/>
    <mergeCell ref="C84:M84"/>
    <mergeCell ref="C62:G63"/>
    <mergeCell ref="I62:M63"/>
    <mergeCell ref="C64:D64"/>
    <mergeCell ref="C66:M66"/>
    <mergeCell ref="C68:D70"/>
    <mergeCell ref="I68:I70"/>
    <mergeCell ref="M68:M82"/>
    <mergeCell ref="C71:D73"/>
    <mergeCell ref="I71:I73"/>
    <mergeCell ref="C74:D76"/>
    <mergeCell ref="C54:D56"/>
    <mergeCell ref="I54:I56"/>
    <mergeCell ref="C57:D59"/>
    <mergeCell ref="I57:I59"/>
    <mergeCell ref="C60:M60"/>
    <mergeCell ref="E61:K61"/>
    <mergeCell ref="C39:D41"/>
    <mergeCell ref="I39:I41"/>
    <mergeCell ref="C43:M43"/>
    <mergeCell ref="C45:D47"/>
    <mergeCell ref="I45:I47"/>
    <mergeCell ref="M45:M59"/>
    <mergeCell ref="C48:D50"/>
    <mergeCell ref="I48:I50"/>
    <mergeCell ref="C51:D53"/>
    <mergeCell ref="I51:I53"/>
    <mergeCell ref="C25:M25"/>
    <mergeCell ref="C27:D29"/>
    <mergeCell ref="I27:I29"/>
    <mergeCell ref="M27:M41"/>
    <mergeCell ref="C30:D32"/>
    <mergeCell ref="I30:I32"/>
    <mergeCell ref="C33:D35"/>
    <mergeCell ref="I33:I35"/>
    <mergeCell ref="C36:D38"/>
    <mergeCell ref="I36:I38"/>
    <mergeCell ref="C15:D17"/>
    <mergeCell ref="I15:I17"/>
    <mergeCell ref="C18:D20"/>
    <mergeCell ref="I18:I20"/>
    <mergeCell ref="C21:D23"/>
    <mergeCell ref="I21:I23"/>
    <mergeCell ref="E1:K1"/>
    <mergeCell ref="C2:G3"/>
    <mergeCell ref="I2:M3"/>
    <mergeCell ref="C5:D5"/>
    <mergeCell ref="C7:M7"/>
    <mergeCell ref="C9:D11"/>
    <mergeCell ref="I9:I11"/>
    <mergeCell ref="M9:M23"/>
    <mergeCell ref="C12:D14"/>
    <mergeCell ref="I12:I14"/>
  </mergeCells>
  <conditionalFormatting sqref="N278">
    <cfRule type="expression" dxfId="38" priority="39">
      <formula>$C287="Todos los países"</formula>
    </cfRule>
  </conditionalFormatting>
  <conditionalFormatting sqref="O11:O13 L9:L23">
    <cfRule type="expression" dxfId="37" priority="37">
      <formula>L9&lt;0</formula>
    </cfRule>
    <cfRule type="expression" dxfId="36" priority="38">
      <formula>L9&gt;=0</formula>
    </cfRule>
  </conditionalFormatting>
  <conditionalFormatting sqref="L27:L41">
    <cfRule type="expression" dxfId="35" priority="35">
      <formula>L27&gt;=0</formula>
    </cfRule>
    <cfRule type="expression" dxfId="34" priority="36">
      <formula>L27&lt;0</formula>
    </cfRule>
  </conditionalFormatting>
  <conditionalFormatting sqref="L45:L59">
    <cfRule type="expression" dxfId="33" priority="33">
      <formula>L45&lt;0</formula>
    </cfRule>
    <cfRule type="expression" dxfId="32" priority="34">
      <formula>L45&gt;=0</formula>
    </cfRule>
  </conditionalFormatting>
  <conditionalFormatting sqref="L68:L82">
    <cfRule type="expression" dxfId="31" priority="31">
      <formula>L68&lt;0</formula>
    </cfRule>
    <cfRule type="expression" dxfId="30" priority="32">
      <formula>L68&gt;=0</formula>
    </cfRule>
  </conditionalFormatting>
  <conditionalFormatting sqref="L86:L90 L94:L98">
    <cfRule type="expression" dxfId="29" priority="29">
      <formula>L86&lt;0</formula>
    </cfRule>
    <cfRule type="expression" dxfId="28" priority="30">
      <formula>L86&gt;=0</formula>
    </cfRule>
  </conditionalFormatting>
  <conditionalFormatting sqref="L102:L106 L110:L114">
    <cfRule type="expression" dxfId="27" priority="27">
      <formula>L102&lt;0</formula>
    </cfRule>
    <cfRule type="expression" dxfId="26" priority="28">
      <formula>L102&gt;=0</formula>
    </cfRule>
  </conditionalFormatting>
  <conditionalFormatting sqref="E124:E149 G124:G149 I124:I149 K124:K149 M124:M149">
    <cfRule type="expression" dxfId="25" priority="25">
      <formula>E124&lt;0</formula>
    </cfRule>
    <cfRule type="expression" dxfId="24" priority="26">
      <formula>E124&gt;=0</formula>
    </cfRule>
  </conditionalFormatting>
  <conditionalFormatting sqref="E156:E181 G156:G181 I156:I181 K156:K181 M156:M181">
    <cfRule type="expression" dxfId="23" priority="23">
      <formula>E156&lt;0</formula>
    </cfRule>
    <cfRule type="expression" dxfId="22" priority="24">
      <formula>E156&gt;0</formula>
    </cfRule>
  </conditionalFormatting>
  <conditionalFormatting sqref="H303:H316 H320:H321">
    <cfRule type="expression" dxfId="21" priority="21">
      <formula>H303&lt;0</formula>
    </cfRule>
    <cfRule type="expression" dxfId="20" priority="22">
      <formula>H303&gt;0</formula>
    </cfRule>
  </conditionalFormatting>
  <conditionalFormatting sqref="H291:H296">
    <cfRule type="expression" dxfId="19" priority="19">
      <formula>H291&lt;0</formula>
    </cfRule>
    <cfRule type="expression" dxfId="18" priority="20">
      <formula>H291&gt;0</formula>
    </cfRule>
  </conditionalFormatting>
  <conditionalFormatting sqref="I278:I287">
    <cfRule type="expression" dxfId="17" priority="17">
      <formula>I278&lt;0</formula>
    </cfRule>
    <cfRule type="expression" dxfId="16" priority="18">
      <formula>I278&gt;0</formula>
    </cfRule>
  </conditionalFormatting>
  <conditionalFormatting sqref="G9:G23">
    <cfRule type="expression" dxfId="15" priority="15">
      <formula>G9&lt;0</formula>
    </cfRule>
    <cfRule type="expression" dxfId="14" priority="16">
      <formula>G9&gt;=0</formula>
    </cfRule>
  </conditionalFormatting>
  <conditionalFormatting sqref="G27:G41">
    <cfRule type="expression" dxfId="13" priority="13">
      <formula>G27&gt;=0</formula>
    </cfRule>
    <cfRule type="expression" dxfId="12" priority="14">
      <formula>G27&lt;0</formula>
    </cfRule>
  </conditionalFormatting>
  <conditionalFormatting sqref="G45:G59">
    <cfRule type="expression" dxfId="11" priority="11">
      <formula>G45&lt;0</formula>
    </cfRule>
    <cfRule type="expression" dxfId="10" priority="12">
      <formula>G45&gt;=0</formula>
    </cfRule>
  </conditionalFormatting>
  <conditionalFormatting sqref="G68:G82">
    <cfRule type="expression" dxfId="9" priority="9">
      <formula>G68&lt;0</formula>
    </cfRule>
    <cfRule type="expression" dxfId="8" priority="10">
      <formula>G68&gt;=0</formula>
    </cfRule>
  </conditionalFormatting>
  <conditionalFormatting sqref="G86:G90">
    <cfRule type="expression" dxfId="7" priority="7">
      <formula>G86&lt;0</formula>
    </cfRule>
    <cfRule type="expression" dxfId="6" priority="8">
      <formula>G86&gt;=0</formula>
    </cfRule>
  </conditionalFormatting>
  <conditionalFormatting sqref="G94:G98">
    <cfRule type="expression" dxfId="5" priority="5">
      <formula>G94&lt;0</formula>
    </cfRule>
    <cfRule type="expression" dxfId="4" priority="6">
      <formula>G94&gt;=0</formula>
    </cfRule>
  </conditionalFormatting>
  <conditionalFormatting sqref="G102:G106">
    <cfRule type="expression" dxfId="3" priority="3">
      <formula>G102&lt;0</formula>
    </cfRule>
    <cfRule type="expression" dxfId="2" priority="4">
      <formula>G102&gt;=0</formula>
    </cfRule>
  </conditionalFormatting>
  <conditionalFormatting sqref="G110:G114">
    <cfRule type="expression" dxfId="1" priority="1">
      <formula>G110&lt;0</formula>
    </cfRule>
    <cfRule type="expression" dxfId="0" priority="2">
      <formula>G110&gt;=0</formula>
    </cfRule>
  </conditionalFormatting>
  <printOptions horizontalCentered="1"/>
  <pageMargins left="0.31496062992125984" right="0.19685039370078741" top="0.35433070866141736" bottom="0" header="0.39370078740157483" footer="0"/>
  <pageSetup paperSize="9" scale="51" fitToHeight="5" orientation="portrait" r:id="rId1"/>
  <headerFooter alignWithMargins="0">
    <oddFooter>&amp;R&amp;P</oddFooter>
  </headerFooter>
  <rowBreaks count="4" manualBreakCount="4">
    <brk id="60" min="2" max="12" man="1"/>
    <brk id="115" min="2" max="12" man="1"/>
    <brk id="181" min="2" max="12" man="1"/>
    <brk id="297" min="2" max="1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69C42FB1FA284BA60CDF94DEB4DBF3" ma:contentTypeVersion="17" ma:contentTypeDescription="Crear nuevo documento." ma:contentTypeScope="" ma:versionID="28c30c2f192ead6e99ae8cbe25c4cfc2">
  <xsd:schema xmlns:xsd="http://www.w3.org/2001/XMLSchema" xmlns:xs="http://www.w3.org/2001/XMLSchema" xmlns:p="http://schemas.microsoft.com/office/2006/metadata/properties" xmlns:ns2="9b82f571-e864-4b98-84bd-930f661ed42a" xmlns:ns3="8c9163ab-4d1c-46a7-8d61-b5cee27b7450" targetNamespace="http://schemas.microsoft.com/office/2006/metadata/properties" ma:root="true" ma:fieldsID="24e0e84cb67ec0eade9d98934e2e9530" ns2:_="" ns3:_="">
    <xsd:import namespace="9b82f571-e864-4b98-84bd-930f661ed42a"/>
    <xsd:import namespace="8c9163ab-4d1c-46a7-8d61-b5cee27b74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2f571-e864-4b98-84bd-930f661ed4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3325280-2aef-4f39-8940-b77a215173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163ab-4d1c-46a7-8d61-b5cee27b745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db4f369-2d72-4174-95fe-41f9ef52a544}" ma:internalName="TaxCatchAll" ma:showField="CatchAllData" ma:web="8c9163ab-4d1c-46a7-8d61-b5cee27b74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82f571-e864-4b98-84bd-930f661ed42a">
      <Terms xmlns="http://schemas.microsoft.com/office/infopath/2007/PartnerControls"/>
    </lcf76f155ced4ddcb4097134ff3c332f>
    <TaxCatchAll xmlns="8c9163ab-4d1c-46a7-8d61-b5cee27b7450" xsi:nil="true"/>
  </documentManagement>
</p:properties>
</file>

<file path=customXml/itemProps1.xml><?xml version="1.0" encoding="utf-8"?>
<ds:datastoreItem xmlns:ds="http://schemas.openxmlformats.org/officeDocument/2006/customXml" ds:itemID="{1A3E914B-9C94-4061-9235-08429917DBEB}"/>
</file>

<file path=customXml/itemProps2.xml><?xml version="1.0" encoding="utf-8"?>
<ds:datastoreItem xmlns:ds="http://schemas.openxmlformats.org/officeDocument/2006/customXml" ds:itemID="{7C247EE6-2A75-4ACF-A9A9-2A7FD750E777}"/>
</file>

<file path=customXml/itemProps3.xml><?xml version="1.0" encoding="utf-8"?>
<ds:datastoreItem xmlns:ds="http://schemas.openxmlformats.org/officeDocument/2006/customXml" ds:itemID="{76D6B849-1905-4E38-85DC-25242CC056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febrero 2022</vt:lpstr>
      <vt:lpstr>'febrero 2022'!Área_de_impresión</vt:lpstr>
      <vt:lpstr>'febrero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Marjorie Perez Garcia</dc:creator>
  <cp:lastModifiedBy>Marjorie Pérez García</cp:lastModifiedBy>
  <dcterms:created xsi:type="dcterms:W3CDTF">2022-06-24T08:44:10Z</dcterms:created>
  <dcterms:modified xsi:type="dcterms:W3CDTF">2022-06-24T09:00:37Z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0x010100F969C42FB1FA284BA60CDF94DEB4DBF3</vt:lpwstr>
  </property>
</Properties>
</file>