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DE TENERIFE/2022/"/>
    </mc:Choice>
  </mc:AlternateContent>
  <xr:revisionPtr revIDLastSave="0" documentId="8_{D655F48F-4256-4F18-A7F3-0A3CFA3AC3FE}" xr6:coauthVersionLast="47" xr6:coauthVersionMax="47" xr10:uidLastSave="{00000000-0000-0000-0000-000000000000}"/>
  <bookViews>
    <workbookView xWindow="-120" yWindow="-120" windowWidth="29040" windowHeight="15720" xr2:uid="{B2773E57-4EF9-4440-A6A3-852DC34B869C}"/>
  </bookViews>
  <sheets>
    <sheet name="Ind turísticos (vinculo)" sheetId="1" r:id="rId1"/>
  </sheets>
  <externalReferences>
    <externalReference r:id="rId2"/>
  </externalReferences>
  <definedNames>
    <definedName name="_xlnm.Print_Area" localSheetId="0">'Ind turísticos (vinculo)'!$C$1:$M$324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(vinculo)'!$C$1:$M$326</definedName>
    <definedName name="Z_B161D6A3_44F3_469D_B50D_76D907B3525C_.wvu.Cols" localSheetId="0" hidden="1">'Ind turísticos (vinculo)'!#REF!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40" i="1" l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G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G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87" i="1"/>
  <c r="M64" i="1"/>
  <c r="L64" i="1"/>
  <c r="K64" i="1"/>
  <c r="J64" i="1"/>
  <c r="I64" i="1"/>
  <c r="G64" i="1"/>
  <c r="F64" i="1"/>
  <c r="E64" i="1"/>
  <c r="D64" i="1"/>
  <c r="C64" i="1"/>
  <c r="G120" i="1"/>
  <c r="H309" i="1" l="1"/>
  <c r="H314" i="1"/>
  <c r="H312" i="1"/>
  <c r="H304" i="1"/>
  <c r="H315" i="1"/>
  <c r="H306" i="1"/>
  <c r="H313" i="1"/>
  <c r="E242" i="1"/>
  <c r="E299" i="1" s="1"/>
  <c r="E184" i="1"/>
  <c r="E117" i="1"/>
  <c r="G152" i="1"/>
  <c r="C215" i="1"/>
  <c r="I62" i="1"/>
</calcChain>
</file>

<file path=xl/sharedStrings.xml><?xml version="1.0" encoding="utf-8"?>
<sst xmlns="http://schemas.openxmlformats.org/spreadsheetml/2006/main" count="595" uniqueCount="115">
  <si>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</si>
  <si>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</si>
  <si>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</si>
  <si>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</si>
  <si>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</si>
  <si>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</si>
  <si>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</si>
  <si>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</si>
  <si>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</si>
  <si>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</si>
  <si>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</si>
  <si>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</si>
  <si>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</si>
  <si>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</si>
  <si>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</si>
  <si>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</si>
  <si>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</si>
  <si>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</si>
  <si>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</si>
  <si>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</si>
  <si>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</si>
  <si>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</si>
  <si>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</si>
  <si>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</si>
  <si>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</si>
  <si>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</si>
  <si>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</si>
  <si>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</si>
  <si>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</si>
  <si>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</si>
  <si>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</si>
  <si>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</si>
  <si>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</si>
  <si>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</si>
  <si>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</si>
  <si>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</si>
  <si>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</si>
  <si>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</si>
  <si>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</si>
  <si>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</si>
  <si>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</si>
  <si>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</si>
  <si>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</si>
  <si>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</si>
  <si>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</si>
  <si>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</si>
  <si>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</si>
  <si>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</si>
  <si>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</si>
  <si>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</si>
  <si>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</si>
  <si>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</si>
  <si>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</si>
  <si>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</si>
  <si>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</si>
  <si>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</si>
  <si>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</si>
  <si>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</si>
  <si>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</si>
  <si>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</si>
  <si>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</si>
  <si>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</si>
  <si>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</si>
  <si>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</si>
  <si>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</si>
  <si>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</si>
  <si>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</si>
  <si>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</si>
  <si>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</si>
  <si>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</si>
  <si>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</si>
  <si>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</si>
  <si>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</si>
  <si>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</si>
  <si>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III trimestre 2021
Encuesta sobre el gasto turístico ISTAC</t>
  </si>
  <si>
    <t>Gasto Transporte Nacional o Internacional</t>
  </si>
  <si>
    <t>Gasto en alojamiento</t>
  </si>
  <si>
    <t>Gasto en Alimentación</t>
  </si>
  <si>
    <t>otros gastos</t>
  </si>
  <si>
    <t>Gasto por turista y día</t>
  </si>
  <si>
    <t>PLAZAS ALOJATIVAS AUTORIZADAS A FECHA DEL PERÍODO ANALIZADO</t>
  </si>
  <si>
    <t>Hotelera</t>
  </si>
  <si>
    <t>Apartamentos</t>
  </si>
  <si>
    <t>Vivienda vacacional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</si>
  <si>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</si>
  <si>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</si>
  <si>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</si>
  <si>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</si>
  <si>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</si>
  <si>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</si>
  <si>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</si>
  <si>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</si>
  <si>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</si>
  <si>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</si>
  <si>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</si>
  <si>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</si>
  <si>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enero 2022</t>
  </si>
  <si>
    <t>año 2021</t>
  </si>
  <si>
    <t>El número de plazas autorizadas por Policía Turística a fecha de diciembre 2021 asciendían a 163.132 plazas, registrando un descenso del -3,7% respecto al cierre del año 2020.</t>
  </si>
  <si>
    <t>Las plazas hoteleras autorizadas ascienden a 85.842 y representan el 53% del total. Con respecto al año 2020, las plazas hoteleras se reducen un -4,6%.</t>
  </si>
  <si>
    <t>Las plazas extrahoteleras autorizadas, el 29% del total, ascienden a  47.646 (no incluye oferta rural). Disminuye un -4,4% respecto al cierre de 2020.</t>
  </si>
  <si>
    <t>Las plazas de vivienda vacacional autorizadas, el 17% del total, ascienden a  28.051 plazas. Disminuye un -0,3% respecto al cierre de 2020.</t>
  </si>
  <si>
    <t>Las plazas de hoteles rurales autorizadas por Policía Turística ascienden a 543, con un incremento del 7,7% respecto a 2020.</t>
  </si>
  <si>
    <t>Las plazas de casas rurales autorizadas por Policía Turística ascienden a 1.050, registrando un incremento del 0,0% respecto a 2020.</t>
  </si>
  <si>
    <t>diciembre 2021 Policía Turística Cabildo de Tenerife</t>
  </si>
  <si>
    <t>Las plazas estimadas por el STDE del Cabildo de Tenerife en enero de 2022 ascienden a 113.811. Se incremantan un 114,2% respecto al mismo período del año anterior.</t>
  </si>
  <si>
    <t>La oferta extrahotelera estimada por el STDE del Cabildo de Tenerife en enero de 2022, asciende a 34.262 plazas, incluyendo oferta rural. Supone el 30,1% del total de las plazas turísticas, registrando un incremento del 57,8%.</t>
  </si>
  <si>
    <t>Las plazas estimadas para la zona de La Laguna, Bajamar, La Punta ascienden a 823 en enero de 2022, registrando un incremento respecto al mismo periodo del año anterior del 36,0%.</t>
  </si>
  <si>
    <t>Las plazas extrahoteleras se estiman en 198, registrándose un incremento del 407,7% respecto al I semestre del año anterior.</t>
  </si>
  <si>
    <t>Las plazas totales estimadas para la zona Norte se sitúan en las 18.939 plazas,  registrándose un incremento del 137,8% con respecto al I semestre del año anterior.</t>
  </si>
  <si>
    <t>Las plazas extrahoteleras estimadas se sitúan en las 28.937 en enero de  2022, con un incremento del 61,1%  respecto a enero del año anterior.</t>
  </si>
  <si>
    <t>Las plazas estimadas por el STDE del Cabildo de Tenerife en el I semestre de 2022 ascienden a 113.811. Se incremantan un 114,2% respecto al mismo período del año anterior.</t>
  </si>
  <si>
    <t>Por el Puerto de Santa Cruz de Tenerife han pasado en el primer mes del año 2022, 43.927 cruceristas, un 626,2% más en comparación al mismo período del año 2021</t>
  </si>
  <si>
    <t>El número de buques de crucero en el Puerto de Santa Cruz de Tenerife en enero 2022 ascienden a un total de 39 cruceros, cifra que se incrementa un +34,5% respecto al mismo período del año anterior.</t>
  </si>
  <si>
    <t>enero 2022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</si>
</sst>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&quot;€&quot;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14"/>
      <color theme="0" tint="-0.499984740745262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12"/>
      <color theme="0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 style="thick">
        <color theme="0" tint="-0.14990691854609822"/>
      </right>
      <top/>
      <bottom/>
      <diagonal/>
    </border>
    <border>
      <left/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3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7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17" fontId="4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17" fontId="6" fillId="0" borderId="0" xfId="0" applyNumberFormat="1" applyFont="1" applyAlignment="1" applyProtection="1">
      <alignment horizontal="center" vertical="center" wrapText="1"/>
      <protection hidden="1"/>
    </xf>
    <xf numFmtId="17" fontId="6" fillId="0" borderId="5" xfId="0" applyNumberFormat="1" applyFont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Border="1" applyAlignment="1" applyProtection="1">
      <alignment horizontal="center" vertical="center" wrapText="1"/>
      <protection hidden="1"/>
    </xf>
    <xf numFmtId="17" fontId="6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6" borderId="14" xfId="0" applyFont="1" applyFill="1" applyBorder="1" applyAlignment="1" applyProtection="1">
      <alignment horizontal="center" vertical="center" wrapText="1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3" fontId="9" fillId="6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6" borderId="18" xfId="0" applyFont="1" applyFill="1" applyBorder="1" applyAlignment="1" applyProtection="1">
      <alignment horizontal="center" vertical="center" wrapText="1"/>
      <protection hidden="1"/>
    </xf>
    <xf numFmtId="0" fontId="8" fillId="6" borderId="19" xfId="0" applyFont="1" applyFill="1" applyBorder="1" applyAlignment="1" applyProtection="1">
      <alignment horizontal="center" vertical="center" wrapText="1"/>
      <protection hidden="1"/>
    </xf>
    <xf numFmtId="3" fontId="9" fillId="6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8" fillId="6" borderId="21" xfId="0" applyFont="1" applyFill="1" applyBorder="1" applyAlignment="1" applyProtection="1">
      <alignment horizontal="center" vertical="center" wrapText="1"/>
      <protection hidden="1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0" fontId="8" fillId="6" borderId="22" xfId="0" applyFont="1" applyFill="1" applyBorder="1" applyAlignment="1" applyProtection="1">
      <alignment horizontal="center" vertical="center" wrapText="1"/>
      <protection hidden="1"/>
    </xf>
    <xf numFmtId="3" fontId="9" fillId="6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vertical="center" wrapText="1"/>
      <protection hidden="1"/>
    </xf>
    <xf numFmtId="164" fontId="10" fillId="7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25" xfId="0" applyFont="1" applyFill="1" applyBorder="1" applyAlignment="1" applyProtection="1">
      <alignment horizontal="center" vertical="center" wrapText="1"/>
      <protection hidden="1"/>
    </xf>
    <xf numFmtId="0" fontId="8" fillId="6" borderId="26" xfId="0" applyFont="1" applyFill="1" applyBorder="1" applyAlignment="1" applyProtection="1">
      <alignment horizontal="center" vertical="center" wrapText="1"/>
      <protection hidden="1"/>
    </xf>
    <xf numFmtId="0" fontId="8" fillId="6" borderId="26" xfId="0" applyFont="1" applyFill="1" applyBorder="1" applyAlignment="1" applyProtection="1">
      <alignment horizontal="center" vertical="center" wrapText="1"/>
      <protection hidden="1"/>
    </xf>
    <xf numFmtId="0" fontId="8" fillId="6" borderId="27" xfId="0" applyFont="1" applyFill="1" applyBorder="1" applyAlignment="1" applyProtection="1">
      <alignment horizontal="center" vertical="center" wrapText="1"/>
      <protection hidden="1"/>
    </xf>
    <xf numFmtId="0" fontId="8" fillId="6" borderId="28" xfId="0" applyFont="1" applyFill="1" applyBorder="1" applyAlignment="1" applyProtection="1">
      <alignment horizontal="center" vertical="center" wrapText="1"/>
      <protection hidden="1"/>
    </xf>
    <xf numFmtId="3" fontId="9" fillId="6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Border="1" applyAlignment="1" applyProtection="1">
      <alignment horizontal="center" vertical="center" wrapText="1"/>
      <protection hidden="1"/>
    </xf>
    <xf numFmtId="164" fontId="10" fillId="7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Border="1" applyAlignment="1" applyProtection="1">
      <alignment horizontal="center" vertical="center" wrapText="1"/>
      <protection hidden="1"/>
    </xf>
    <xf numFmtId="164" fontId="10" fillId="7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8" borderId="18" xfId="0" applyFont="1" applyFill="1" applyBorder="1" applyAlignment="1" applyProtection="1">
      <alignment horizontal="center" vertical="center" wrapText="1"/>
      <protection hidden="1"/>
    </xf>
    <xf numFmtId="0" fontId="12" fillId="8" borderId="19" xfId="0" applyFont="1" applyFill="1" applyBorder="1" applyAlignment="1" applyProtection="1">
      <alignment horizontal="center" vertical="center" wrapText="1"/>
      <protection hidden="1"/>
    </xf>
    <xf numFmtId="0" fontId="12" fillId="8" borderId="19" xfId="0" applyFont="1" applyFill="1" applyBorder="1" applyAlignment="1" applyProtection="1">
      <alignment horizontal="center" vertical="center" wrapText="1"/>
      <protection hidden="1"/>
    </xf>
    <xf numFmtId="3" fontId="10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21" xfId="0" applyFont="1" applyFill="1" applyBorder="1" applyAlignment="1" applyProtection="1">
      <alignment horizontal="center" vertical="center" wrapText="1"/>
      <protection hidden="1"/>
    </xf>
    <xf numFmtId="0" fontId="12" fillId="8" borderId="22" xfId="0" applyFont="1" applyFill="1" applyBorder="1" applyAlignment="1" applyProtection="1">
      <alignment horizontal="center" vertical="center" wrapText="1"/>
      <protection hidden="1"/>
    </xf>
    <xf numFmtId="0" fontId="12" fillId="8" borderId="22" xfId="0" applyFont="1" applyFill="1" applyBorder="1" applyAlignment="1" applyProtection="1">
      <alignment horizontal="center" vertical="center" wrapText="1"/>
      <protection hidden="1"/>
    </xf>
    <xf numFmtId="3" fontId="10" fillId="8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27" xfId="0" applyFont="1" applyFill="1" applyBorder="1" applyAlignment="1" applyProtection="1">
      <alignment horizontal="center" vertical="center" wrapText="1"/>
      <protection hidden="1"/>
    </xf>
    <xf numFmtId="0" fontId="12" fillId="8" borderId="28" xfId="0" applyFont="1" applyFill="1" applyBorder="1" applyAlignment="1" applyProtection="1">
      <alignment horizontal="center" vertical="center" wrapText="1"/>
      <protection hidden="1"/>
    </xf>
    <xf numFmtId="0" fontId="12" fillId="8" borderId="28" xfId="0" applyFont="1" applyFill="1" applyBorder="1" applyAlignment="1" applyProtection="1">
      <alignment horizontal="center" vertical="center" wrapText="1"/>
      <protection hidden="1"/>
    </xf>
    <xf numFmtId="3" fontId="1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6" borderId="19" xfId="0" applyFont="1" applyFill="1" applyBorder="1" applyAlignment="1" applyProtection="1">
      <alignment horizontal="center" vertical="center" wrapText="1"/>
      <protection hidden="1"/>
    </xf>
    <xf numFmtId="0" fontId="8" fillId="6" borderId="28" xfId="0" applyFont="1" applyFill="1" applyBorder="1" applyAlignment="1" applyProtection="1">
      <alignment horizontal="center" vertical="center" wrapText="1"/>
      <protection hidden="1"/>
    </xf>
    <xf numFmtId="2" fontId="9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7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6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7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6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7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Border="1" applyAlignment="1" applyProtection="1">
      <alignment horizontal="center" vertical="center" wrapText="1"/>
      <protection hidden="1"/>
    </xf>
    <xf numFmtId="2" fontId="10" fillId="8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32" xfId="0" applyFont="1" applyFill="1" applyBorder="1" applyAlignment="1" applyProtection="1">
      <alignment horizontal="center" vertical="center" wrapText="1"/>
      <protection hidden="1"/>
    </xf>
    <xf numFmtId="0" fontId="12" fillId="7" borderId="33" xfId="0" applyFont="1" applyFill="1" applyBorder="1" applyAlignment="1" applyProtection="1">
      <alignment horizontal="center" vertical="center" wrapText="1"/>
      <protection hidden="1"/>
    </xf>
    <xf numFmtId="0" fontId="12" fillId="7" borderId="33" xfId="0" applyFont="1" applyFill="1" applyBorder="1" applyAlignment="1" applyProtection="1">
      <alignment horizontal="center" vertical="center" wrapText="1"/>
      <protection hidden="1"/>
    </xf>
    <xf numFmtId="2" fontId="10" fillId="7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64" fontId="9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Border="1" applyAlignment="1" applyProtection="1">
      <alignment horizontal="center" vertical="center" wrapText="1"/>
      <protection hidden="1"/>
    </xf>
    <xf numFmtId="164" fontId="10" fillId="8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Border="1" applyAlignment="1" applyProtection="1">
      <alignment horizontal="center" vertical="center" wrapText="1"/>
      <protection hidden="1"/>
    </xf>
    <xf numFmtId="4" fontId="10" fillId="8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164" fontId="6" fillId="4" borderId="0" xfId="1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43" xfId="0" applyFont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left" vertical="center" wrapText="1"/>
      <protection hidden="1"/>
    </xf>
    <xf numFmtId="3" fontId="10" fillId="0" borderId="55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right" vertical="center" wrapText="1"/>
      <protection hidden="1"/>
    </xf>
    <xf numFmtId="3" fontId="10" fillId="0" borderId="58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right" vertical="center" wrapText="1"/>
      <protection hidden="1"/>
    </xf>
    <xf numFmtId="3" fontId="10" fillId="0" borderId="61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8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8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Border="1" applyAlignment="1" applyProtection="1">
      <alignment horizontal="left" vertical="center" wrapText="1"/>
      <protection hidden="1"/>
    </xf>
    <xf numFmtId="3" fontId="14" fillId="8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7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68" xfId="0" applyFont="1" applyFill="1" applyBorder="1" applyAlignment="1" applyProtection="1">
      <alignment horizontal="left" vertical="center" wrapText="1"/>
      <protection hidden="1"/>
    </xf>
    <xf numFmtId="3" fontId="9" fillId="6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7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164" fontId="16" fillId="7" borderId="59" xfId="1" applyNumberFormat="1" applyFont="1" applyFill="1" applyBorder="1" applyAlignment="1" applyProtection="1">
      <alignment horizontal="center" vertical="center" wrapText="1"/>
      <protection hidden="1"/>
    </xf>
    <xf numFmtId="3" fontId="16" fillId="0" borderId="58" xfId="0" applyNumberFormat="1" applyFont="1" applyBorder="1" applyAlignment="1" applyProtection="1">
      <alignment horizontal="right" vertical="center" wrapText="1" indent="1"/>
      <protection hidden="1"/>
    </xf>
    <xf numFmtId="164" fontId="16" fillId="7" borderId="62" xfId="1" applyNumberFormat="1" applyFont="1" applyFill="1" applyBorder="1" applyAlignment="1" applyProtection="1">
      <alignment horizontal="center" vertical="center" wrapText="1"/>
      <protection hidden="1"/>
    </xf>
    <xf numFmtId="3" fontId="16" fillId="0" borderId="61" xfId="0" applyNumberFormat="1" applyFont="1" applyBorder="1" applyAlignment="1" applyProtection="1">
      <alignment horizontal="right" vertical="center" wrapText="1" indent="1"/>
      <protection hidden="1"/>
    </xf>
    <xf numFmtId="0" fontId="6" fillId="9" borderId="71" xfId="0" applyFont="1" applyFill="1" applyBorder="1" applyAlignment="1" applyProtection="1">
      <alignment horizontal="center" vertical="center" wrapText="1"/>
      <protection hidden="1"/>
    </xf>
    <xf numFmtId="0" fontId="6" fillId="9" borderId="72" xfId="0" applyFont="1" applyFill="1" applyBorder="1" applyAlignment="1" applyProtection="1">
      <alignment horizontal="center" vertical="center" wrapText="1"/>
      <protection hidden="1"/>
    </xf>
    <xf numFmtId="0" fontId="6" fillId="9" borderId="73" xfId="0" applyFont="1" applyFill="1" applyBorder="1" applyAlignment="1" applyProtection="1">
      <alignment horizontal="center" vertical="center" wrapText="1"/>
      <protection hidden="1"/>
    </xf>
    <xf numFmtId="0" fontId="6" fillId="9" borderId="8" xfId="0" applyFont="1" applyFill="1" applyBorder="1" applyAlignment="1" applyProtection="1">
      <alignment horizontal="center" vertical="center" wrapText="1"/>
      <protection hidden="1"/>
    </xf>
    <xf numFmtId="0" fontId="6" fillId="9" borderId="0" xfId="0" applyFont="1" applyFill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17" fontId="6" fillId="9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9" borderId="0" xfId="0" applyNumberFormat="1" applyFont="1" applyFill="1" applyAlignment="1" applyProtection="1">
      <alignment horizontal="center" vertical="center" wrapText="1"/>
      <protection hidden="1"/>
    </xf>
    <xf numFmtId="0" fontId="2" fillId="10" borderId="10" xfId="0" applyFont="1" applyFill="1" applyBorder="1" applyAlignment="1" applyProtection="1">
      <alignment vertical="center" wrapText="1"/>
      <protection hidden="1"/>
    </xf>
    <xf numFmtId="0" fontId="17" fillId="6" borderId="74" xfId="0" applyFont="1" applyFill="1" applyBorder="1" applyAlignment="1" applyProtection="1">
      <alignment horizontal="center" vertical="center"/>
      <protection hidden="1"/>
    </xf>
    <xf numFmtId="0" fontId="17" fillId="6" borderId="75" xfId="0" applyFont="1" applyFill="1" applyBorder="1" applyAlignment="1" applyProtection="1">
      <alignment horizontal="center" vertical="center"/>
      <protection hidden="1"/>
    </xf>
    <xf numFmtId="0" fontId="18" fillId="9" borderId="76" xfId="0" applyFont="1" applyFill="1" applyBorder="1" applyAlignment="1" applyProtection="1">
      <alignment horizontal="center" vertical="center" wrapText="1"/>
      <protection hidden="1"/>
    </xf>
    <xf numFmtId="0" fontId="13" fillId="10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10" borderId="77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77" xfId="0" applyFont="1" applyFill="1" applyBorder="1" applyAlignment="1" applyProtection="1">
      <alignment horizontal="right" vertical="center" wrapText="1"/>
      <protection hidden="1"/>
    </xf>
    <xf numFmtId="3" fontId="6" fillId="9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9" borderId="0" xfId="0" applyNumberFormat="1" applyFont="1" applyFill="1" applyAlignment="1" applyProtection="1">
      <alignment horizontal="center" vertical="center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20" fillId="5" borderId="43" xfId="0" applyFont="1" applyFill="1" applyBorder="1" applyAlignment="1" applyProtection="1">
      <alignment horizontal="center" vertical="center" wrapText="1"/>
      <protection hidden="1"/>
    </xf>
    <xf numFmtId="0" fontId="20" fillId="5" borderId="44" xfId="0" applyFont="1" applyFill="1" applyBorder="1" applyAlignment="1" applyProtection="1">
      <alignment horizontal="center" vertical="center" wrapText="1"/>
      <protection hidden="1"/>
    </xf>
    <xf numFmtId="0" fontId="20" fillId="5" borderId="45" xfId="0" applyFont="1" applyFill="1" applyBorder="1" applyAlignment="1" applyProtection="1">
      <alignment horizontal="center" vertical="center" wrapText="1"/>
      <protection hidden="1"/>
    </xf>
    <xf numFmtId="0" fontId="14" fillId="0" borderId="78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Border="1" applyAlignment="1" applyProtection="1">
      <alignment horizontal="center" vertical="center" wrapText="1"/>
      <protection hidden="1"/>
    </xf>
    <xf numFmtId="164" fontId="14" fillId="8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8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left" vertical="center" wrapText="1"/>
      <protection hidden="1"/>
    </xf>
    <xf numFmtId="164" fontId="14" fillId="8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8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8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6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9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0" fontId="21" fillId="0" borderId="0" xfId="1" applyNumberFormat="1" applyFont="1" applyAlignment="1" applyProtection="1">
      <alignment horizontal="center" vertical="center" wrapText="1"/>
      <protection hidden="1"/>
    </xf>
    <xf numFmtId="164" fontId="21" fillId="0" borderId="0" xfId="0" applyNumberFormat="1" applyFont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 wrapText="1"/>
      <protection hidden="1"/>
    </xf>
    <xf numFmtId="0" fontId="12" fillId="8" borderId="93" xfId="0" applyFont="1" applyFill="1" applyBorder="1" applyAlignment="1" applyProtection="1">
      <alignment horizontal="center" vertical="center" wrapText="1"/>
      <protection hidden="1"/>
    </xf>
    <xf numFmtId="0" fontId="12" fillId="8" borderId="94" xfId="0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center" vertical="center" wrapText="1"/>
      <protection hidden="1"/>
    </xf>
    <xf numFmtId="166" fontId="10" fillId="8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7" borderId="95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vertical="center" wrapText="1"/>
      <protection hidden="1"/>
    </xf>
    <xf numFmtId="0" fontId="12" fillId="0" borderId="96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1" applyNumberFormat="1" applyFont="1"/>
    <xf numFmtId="0" fontId="2" fillId="8" borderId="97" xfId="0" applyFont="1" applyFill="1" applyBorder="1" applyAlignment="1" applyProtection="1">
      <alignment vertical="center" wrapText="1"/>
      <protection hidden="1"/>
    </xf>
    <xf numFmtId="0" fontId="12" fillId="8" borderId="98" xfId="0" applyFont="1" applyFill="1" applyBorder="1" applyAlignment="1" applyProtection="1">
      <alignment horizontal="center" vertical="center" wrapText="1"/>
      <protection hidden="1"/>
    </xf>
    <xf numFmtId="0" fontId="12" fillId="0" borderId="99" xfId="0" applyFont="1" applyBorder="1" applyAlignment="1" applyProtection="1">
      <alignment horizontal="center" vertical="center" wrapText="1"/>
      <protection hidden="1"/>
    </xf>
    <xf numFmtId="0" fontId="12" fillId="0" borderId="94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166" fontId="10" fillId="0" borderId="61" xfId="0" applyNumberFormat="1" applyFont="1" applyBorder="1" applyAlignment="1" applyProtection="1">
      <alignment horizontal="right" vertical="center" wrapText="1" indent="1"/>
      <protection hidden="1"/>
    </xf>
    <xf numFmtId="164" fontId="10" fillId="0" borderId="9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97" xfId="0" applyFont="1" applyBorder="1" applyAlignment="1" applyProtection="1">
      <alignment horizontal="left" vertical="center" wrapText="1"/>
      <protection hidden="1"/>
    </xf>
    <xf numFmtId="0" fontId="12" fillId="0" borderId="100" xfId="0" applyFont="1" applyBorder="1" applyAlignment="1" applyProtection="1">
      <alignment horizontal="center" vertical="center" wrapText="1"/>
      <protection hidden="1"/>
    </xf>
    <xf numFmtId="0" fontId="12" fillId="0" borderId="101" xfId="0" applyFont="1" applyBorder="1" applyAlignment="1" applyProtection="1">
      <alignment horizontal="center" vertical="center" wrapText="1"/>
      <protection hidden="1"/>
    </xf>
    <xf numFmtId="0" fontId="2" fillId="0" borderId="97" xfId="0" applyFont="1" applyBorder="1" applyAlignment="1" applyProtection="1">
      <alignment vertical="center" wrapText="1"/>
      <protection hidden="1"/>
    </xf>
    <xf numFmtId="0" fontId="12" fillId="0" borderId="102" xfId="0" applyFont="1" applyBorder="1" applyAlignment="1" applyProtection="1">
      <alignment horizontal="center" vertical="center" wrapText="1"/>
      <protection hidden="1"/>
    </xf>
    <xf numFmtId="0" fontId="6" fillId="4" borderId="103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6" borderId="104" xfId="0" applyFont="1" applyFill="1" applyBorder="1" applyAlignment="1" applyProtection="1">
      <alignment horizontal="center" vertical="center" wrapText="1"/>
      <protection hidden="1"/>
    </xf>
    <xf numFmtId="3" fontId="10" fillId="6" borderId="95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95" xfId="0" applyFont="1" applyFill="1" applyBorder="1" applyAlignment="1" applyProtection="1">
      <alignment horizontal="left" vertical="center" wrapText="1"/>
      <protection hidden="1"/>
    </xf>
    <xf numFmtId="0" fontId="2" fillId="6" borderId="105" xfId="0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/>
    <xf numFmtId="0" fontId="12" fillId="0" borderId="106" xfId="0" applyFont="1" applyBorder="1" applyAlignment="1" applyProtection="1">
      <alignment horizontal="center" vertical="center" wrapText="1"/>
      <protection hidden="1"/>
    </xf>
    <xf numFmtId="3" fontId="10" fillId="0" borderId="107" xfId="0" applyNumberFormat="1" applyFont="1" applyBorder="1" applyAlignment="1" applyProtection="1">
      <alignment horizontal="center" vertical="center" wrapText="1"/>
      <protection hidden="1"/>
    </xf>
    <xf numFmtId="0" fontId="2" fillId="0" borderId="107" xfId="0" applyFont="1" applyBorder="1" applyAlignment="1" applyProtection="1">
      <alignment horizontal="left" vertical="center" wrapText="1"/>
      <protection hidden="1"/>
    </xf>
    <xf numFmtId="0" fontId="0" fillId="0" borderId="107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8" borderId="106" xfId="0" applyFont="1" applyFill="1" applyBorder="1" applyAlignment="1" applyProtection="1">
      <alignment horizontal="center" vertical="center" wrapText="1"/>
      <protection hidden="1"/>
    </xf>
    <xf numFmtId="3" fontId="10" fillId="8" borderId="107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07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Protection="1">
      <protection hidden="1"/>
    </xf>
    <xf numFmtId="0" fontId="8" fillId="6" borderId="109" xfId="0" applyFont="1" applyFill="1" applyBorder="1" applyAlignment="1" applyProtection="1">
      <alignment horizontal="center" vertical="center" wrapText="1"/>
      <protection hidden="1"/>
    </xf>
    <xf numFmtId="0" fontId="8" fillId="6" borderId="110" xfId="0" applyFont="1" applyFill="1" applyBorder="1" applyAlignment="1" applyProtection="1">
      <alignment horizontal="center" vertical="center" wrapText="1"/>
      <protection hidden="1"/>
    </xf>
    <xf numFmtId="0" fontId="8" fillId="6" borderId="111" xfId="0" applyFont="1" applyFill="1" applyBorder="1" applyAlignment="1" applyProtection="1">
      <alignment horizontal="center" vertical="center" wrapText="1"/>
      <protection hidden="1"/>
    </xf>
    <xf numFmtId="164" fontId="10" fillId="7" borderId="15" xfId="1" applyNumberFormat="1" applyFont="1" applyFill="1" applyBorder="1" applyAlignment="1" applyProtection="1">
      <alignment horizontal="center" vertical="center" wrapText="1"/>
      <protection hidden="1"/>
    </xf>
    <xf numFmtId="0" fontId="22" fillId="6" borderId="15" xfId="0" applyFont="1" applyFill="1" applyBorder="1" applyAlignment="1" applyProtection="1">
      <alignment horizontal="justify" vertical="center" wrapText="1"/>
      <protection hidden="1"/>
    </xf>
    <xf numFmtId="0" fontId="22" fillId="6" borderId="112" xfId="0" applyFont="1" applyFill="1" applyBorder="1" applyAlignment="1" applyProtection="1">
      <alignment horizontal="justify" vertical="center" wrapText="1"/>
      <protection hidden="1"/>
    </xf>
    <xf numFmtId="0" fontId="8" fillId="6" borderId="113" xfId="0" applyFont="1" applyFill="1" applyBorder="1" applyAlignment="1" applyProtection="1">
      <alignment horizontal="center" vertical="center" wrapText="1"/>
      <protection hidden="1"/>
    </xf>
    <xf numFmtId="0" fontId="8" fillId="6" borderId="114" xfId="0" applyFont="1" applyFill="1" applyBorder="1" applyAlignment="1" applyProtection="1">
      <alignment horizontal="center" vertical="center" wrapText="1"/>
      <protection hidden="1"/>
    </xf>
    <xf numFmtId="0" fontId="8" fillId="6" borderId="115" xfId="0" applyFont="1" applyFill="1" applyBorder="1" applyAlignment="1" applyProtection="1">
      <alignment horizontal="center" vertical="center" wrapText="1"/>
      <protection hidden="1"/>
    </xf>
    <xf numFmtId="0" fontId="22" fillId="6" borderId="22" xfId="0" applyFont="1" applyFill="1" applyBorder="1" applyAlignment="1" applyProtection="1">
      <alignment horizontal="justify" vertical="center" wrapText="1"/>
      <protection hidden="1"/>
    </xf>
    <xf numFmtId="0" fontId="22" fillId="6" borderId="116" xfId="0" applyFont="1" applyFill="1" applyBorder="1" applyAlignment="1" applyProtection="1">
      <alignment horizontal="justify" vertical="center" wrapText="1"/>
      <protection hidden="1"/>
    </xf>
    <xf numFmtId="0" fontId="8" fillId="6" borderId="117" xfId="0" applyFont="1" applyFill="1" applyBorder="1" applyAlignment="1" applyProtection="1">
      <alignment horizontal="center" vertical="center" wrapText="1"/>
      <protection hidden="1"/>
    </xf>
    <xf numFmtId="0" fontId="8" fillId="6" borderId="118" xfId="0" applyFont="1" applyFill="1" applyBorder="1" applyAlignment="1" applyProtection="1">
      <alignment horizontal="center" vertical="center" wrapText="1"/>
      <protection hidden="1"/>
    </xf>
    <xf numFmtId="0" fontId="8" fillId="6" borderId="119" xfId="0" applyFont="1" applyFill="1" applyBorder="1" applyAlignment="1" applyProtection="1">
      <alignment horizontal="center" vertical="center" wrapText="1"/>
      <protection hidden="1"/>
    </xf>
    <xf numFmtId="3" fontId="9" fillId="6" borderId="120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20" xfId="1" applyNumberFormat="1" applyFont="1" applyFill="1" applyBorder="1" applyAlignment="1" applyProtection="1">
      <alignment horizontal="center" vertical="center" wrapText="1"/>
      <protection hidden="1"/>
    </xf>
    <xf numFmtId="0" fontId="22" fillId="6" borderId="120" xfId="0" applyFont="1" applyFill="1" applyBorder="1" applyAlignment="1" applyProtection="1">
      <alignment horizontal="justify" vertical="center" wrapText="1"/>
      <protection hidden="1"/>
    </xf>
    <xf numFmtId="0" fontId="22" fillId="6" borderId="121" xfId="0" applyFont="1" applyFill="1" applyBorder="1" applyAlignment="1" applyProtection="1">
      <alignment horizontal="justify" vertical="center" wrapText="1"/>
      <protection hidden="1"/>
    </xf>
    <xf numFmtId="0" fontId="2" fillId="0" borderId="0" xfId="2" applyFont="1"/>
    <xf numFmtId="0" fontId="12" fillId="0" borderId="122" xfId="0" applyFont="1" applyBorder="1" applyAlignment="1" applyProtection="1">
      <alignment horizontal="center" vertical="center" wrapText="1"/>
      <protection hidden="1"/>
    </xf>
    <xf numFmtId="0" fontId="12" fillId="0" borderId="123" xfId="0" applyFont="1" applyBorder="1" applyAlignment="1" applyProtection="1">
      <alignment horizontal="center" vertical="center" wrapText="1"/>
      <protection hidden="1"/>
    </xf>
    <xf numFmtId="0" fontId="12" fillId="0" borderId="124" xfId="0" applyFont="1" applyBorder="1" applyAlignment="1" applyProtection="1">
      <alignment horizontal="center" vertical="center" wrapText="1"/>
      <protection hidden="1"/>
    </xf>
    <xf numFmtId="3" fontId="10" fillId="0" borderId="125" xfId="0" applyNumberFormat="1" applyFont="1" applyBorder="1" applyAlignment="1" applyProtection="1">
      <alignment horizontal="center" vertical="center" wrapText="1"/>
      <protection hidden="1"/>
    </xf>
    <xf numFmtId="164" fontId="10" fillId="7" borderId="1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5" xfId="0" applyFont="1" applyBorder="1" applyAlignment="1" applyProtection="1">
      <alignment horizontal="justify" vertical="center" wrapText="1"/>
      <protection hidden="1"/>
    </xf>
    <xf numFmtId="0" fontId="2" fillId="0" borderId="126" xfId="0" applyFont="1" applyBorder="1" applyAlignment="1" applyProtection="1">
      <alignment horizontal="justify" vertical="center" wrapText="1"/>
      <protection hidden="1"/>
    </xf>
    <xf numFmtId="0" fontId="12" fillId="0" borderId="127" xfId="0" applyFont="1" applyBorder="1" applyAlignment="1" applyProtection="1">
      <alignment horizontal="center" vertical="center" wrapText="1"/>
      <protection hidden="1"/>
    </xf>
    <xf numFmtId="0" fontId="12" fillId="0" borderId="128" xfId="0" applyFont="1" applyBorder="1" applyAlignment="1" applyProtection="1">
      <alignment horizontal="center" vertical="center" wrapText="1"/>
      <protection hidden="1"/>
    </xf>
    <xf numFmtId="0" fontId="12" fillId="0" borderId="119" xfId="0" applyFont="1" applyBorder="1" applyAlignment="1" applyProtection="1">
      <alignment horizontal="center" vertical="center" wrapText="1"/>
      <protection hidden="1"/>
    </xf>
    <xf numFmtId="3" fontId="10" fillId="0" borderId="120" xfId="0" applyNumberFormat="1" applyFont="1" applyBorder="1" applyAlignment="1" applyProtection="1">
      <alignment horizontal="center" vertical="center" wrapText="1"/>
      <protection hidden="1"/>
    </xf>
    <xf numFmtId="0" fontId="2" fillId="0" borderId="120" xfId="0" applyFont="1" applyBorder="1" applyAlignment="1" applyProtection="1">
      <alignment horizontal="justify" vertical="center" wrapText="1"/>
      <protection hidden="1"/>
    </xf>
    <xf numFmtId="0" fontId="2" fillId="0" borderId="121" xfId="0" applyFont="1" applyBorder="1" applyAlignment="1" applyProtection="1">
      <alignment horizontal="justify" vertical="center" wrapText="1"/>
      <protection hidden="1"/>
    </xf>
    <xf numFmtId="0" fontId="12" fillId="8" borderId="122" xfId="0" applyFont="1" applyFill="1" applyBorder="1" applyAlignment="1" applyProtection="1">
      <alignment horizontal="center" vertical="center" wrapText="1"/>
      <protection hidden="1"/>
    </xf>
    <xf numFmtId="0" fontId="12" fillId="8" borderId="123" xfId="0" applyFont="1" applyFill="1" applyBorder="1" applyAlignment="1" applyProtection="1">
      <alignment horizontal="center" vertical="center" wrapText="1"/>
      <protection hidden="1"/>
    </xf>
    <xf numFmtId="0" fontId="12" fillId="8" borderId="124" xfId="0" applyFont="1" applyFill="1" applyBorder="1" applyAlignment="1" applyProtection="1">
      <alignment horizontal="center" vertical="center" wrapText="1"/>
      <protection hidden="1"/>
    </xf>
    <xf numFmtId="3" fontId="10" fillId="8" borderId="125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25" xfId="0" applyFont="1" applyFill="1" applyBorder="1" applyAlignment="1" applyProtection="1">
      <alignment horizontal="justify" vertical="center" wrapText="1"/>
      <protection hidden="1"/>
    </xf>
    <xf numFmtId="0" fontId="2" fillId="8" borderId="126" xfId="0" applyFont="1" applyFill="1" applyBorder="1" applyAlignment="1" applyProtection="1">
      <alignment horizontal="justify" vertical="center" wrapText="1"/>
      <protection hidden="1"/>
    </xf>
    <xf numFmtId="0" fontId="12" fillId="8" borderId="129" xfId="0" applyFont="1" applyFill="1" applyBorder="1" applyAlignment="1" applyProtection="1">
      <alignment horizontal="center" vertical="center" wrapText="1"/>
      <protection hidden="1"/>
    </xf>
    <xf numFmtId="0" fontId="12" fillId="8" borderId="130" xfId="0" applyFont="1" applyFill="1" applyBorder="1" applyAlignment="1" applyProtection="1">
      <alignment horizontal="center" vertical="center" wrapText="1"/>
      <protection hidden="1"/>
    </xf>
    <xf numFmtId="0" fontId="12" fillId="8" borderId="115" xfId="0" applyFont="1" applyFill="1" applyBorder="1" applyAlignment="1" applyProtection="1">
      <alignment horizontal="center" vertical="center" wrapText="1"/>
      <protection hidden="1"/>
    </xf>
    <xf numFmtId="0" fontId="2" fillId="8" borderId="22" xfId="0" applyFont="1" applyFill="1" applyBorder="1" applyAlignment="1" applyProtection="1">
      <alignment horizontal="justify" vertical="center" wrapText="1"/>
      <protection hidden="1"/>
    </xf>
    <xf numFmtId="0" fontId="2" fillId="8" borderId="116" xfId="0" applyFont="1" applyFill="1" applyBorder="1" applyAlignment="1" applyProtection="1">
      <alignment horizontal="justify" vertical="center" wrapText="1"/>
      <protection hidden="1"/>
    </xf>
    <xf numFmtId="0" fontId="12" fillId="8" borderId="127" xfId="0" applyFont="1" applyFill="1" applyBorder="1" applyAlignment="1" applyProtection="1">
      <alignment horizontal="center" vertical="center" wrapText="1"/>
      <protection hidden="1"/>
    </xf>
    <xf numFmtId="0" fontId="12" fillId="8" borderId="128" xfId="0" applyFont="1" applyFill="1" applyBorder="1" applyAlignment="1" applyProtection="1">
      <alignment horizontal="center" vertical="center" wrapText="1"/>
      <protection hidden="1"/>
    </xf>
    <xf numFmtId="0" fontId="12" fillId="8" borderId="119" xfId="0" applyFont="1" applyFill="1" applyBorder="1" applyAlignment="1" applyProtection="1">
      <alignment horizontal="center" vertical="center" wrapText="1"/>
      <protection hidden="1"/>
    </xf>
    <xf numFmtId="3" fontId="10" fillId="8" borderId="120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20" xfId="0" applyFont="1" applyFill="1" applyBorder="1" applyAlignment="1" applyProtection="1">
      <alignment horizontal="justify" vertical="center" wrapText="1"/>
      <protection hidden="1"/>
    </xf>
    <xf numFmtId="0" fontId="2" fillId="8" borderId="121" xfId="0" applyFont="1" applyFill="1" applyBorder="1" applyAlignment="1" applyProtection="1">
      <alignment horizontal="justify" vertical="center" wrapText="1"/>
      <protection hidden="1"/>
    </xf>
    <xf numFmtId="0" fontId="12" fillId="0" borderId="131" xfId="0" applyFont="1" applyBorder="1" applyAlignment="1" applyProtection="1">
      <alignment horizontal="center" vertical="center" wrapText="1"/>
      <protection hidden="1"/>
    </xf>
    <xf numFmtId="0" fontId="12" fillId="0" borderId="132" xfId="0" applyFont="1" applyBorder="1" applyAlignment="1" applyProtection="1">
      <alignment horizontal="center" vertical="center" wrapText="1"/>
      <protection hidden="1"/>
    </xf>
    <xf numFmtId="0" fontId="12" fillId="0" borderId="113" xfId="0" applyFont="1" applyBorder="1" applyAlignment="1" applyProtection="1">
      <alignment horizontal="center" vertical="center" wrapText="1"/>
      <protection hidden="1"/>
    </xf>
    <xf numFmtId="0" fontId="12" fillId="0" borderId="114" xfId="0" applyFont="1" applyBorder="1" applyAlignment="1" applyProtection="1">
      <alignment horizontal="center" vertical="center" wrapText="1"/>
      <protection hidden="1"/>
    </xf>
    <xf numFmtId="0" fontId="12" fillId="0" borderId="115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justify" vertical="center" wrapText="1"/>
      <protection hidden="1"/>
    </xf>
    <xf numFmtId="0" fontId="2" fillId="0" borderId="116" xfId="0" applyFont="1" applyBorder="1" applyAlignment="1" applyProtection="1">
      <alignment horizontal="justify" vertical="center" wrapText="1"/>
      <protection hidden="1"/>
    </xf>
    <xf numFmtId="0" fontId="12" fillId="0" borderId="117" xfId="0" applyFont="1" applyBorder="1" applyAlignment="1" applyProtection="1">
      <alignment horizontal="center" vertical="center" wrapText="1"/>
      <protection hidden="1"/>
    </xf>
    <xf numFmtId="0" fontId="12" fillId="0" borderId="118" xfId="0" applyFont="1" applyBorder="1" applyAlignment="1" applyProtection="1">
      <alignment horizontal="center" vertical="center" wrapText="1"/>
      <protection hidden="1"/>
    </xf>
    <xf numFmtId="0" fontId="12" fillId="7" borderId="122" xfId="0" applyFont="1" applyFill="1" applyBorder="1" applyAlignment="1" applyProtection="1">
      <alignment horizontal="center" vertical="center" wrapText="1"/>
      <protection hidden="1"/>
    </xf>
    <xf numFmtId="0" fontId="12" fillId="7" borderId="123" xfId="0" applyFont="1" applyFill="1" applyBorder="1" applyAlignment="1" applyProtection="1">
      <alignment horizontal="center" vertical="center" wrapText="1"/>
      <protection hidden="1"/>
    </xf>
    <xf numFmtId="0" fontId="12" fillId="7" borderId="124" xfId="0" applyFont="1" applyFill="1" applyBorder="1" applyAlignment="1" applyProtection="1">
      <alignment horizontal="center" vertical="center" wrapText="1"/>
      <protection hidden="1"/>
    </xf>
    <xf numFmtId="3" fontId="10" fillId="7" borderId="125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29" xfId="0" applyFont="1" applyFill="1" applyBorder="1" applyAlignment="1" applyProtection="1">
      <alignment horizontal="center" vertical="center" wrapText="1"/>
      <protection hidden="1"/>
    </xf>
    <xf numFmtId="0" fontId="12" fillId="7" borderId="130" xfId="0" applyFont="1" applyFill="1" applyBorder="1" applyAlignment="1" applyProtection="1">
      <alignment horizontal="center" vertical="center" wrapText="1"/>
      <protection hidden="1"/>
    </xf>
    <xf numFmtId="0" fontId="12" fillId="7" borderId="115" xfId="0" applyFont="1" applyFill="1" applyBorder="1" applyAlignment="1" applyProtection="1">
      <alignment horizontal="center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3" fontId="10" fillId="7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26" xfId="0" applyFont="1" applyFill="1" applyBorder="1" applyAlignment="1" applyProtection="1">
      <alignment horizontal="justify" vertical="center" wrapText="1"/>
      <protection hidden="1"/>
    </xf>
    <xf numFmtId="0" fontId="2" fillId="8" borderId="134" xfId="0" applyFont="1" applyFill="1" applyBorder="1" applyAlignment="1" applyProtection="1">
      <alignment horizontal="justify" vertical="center" wrapText="1"/>
      <protection hidden="1"/>
    </xf>
    <xf numFmtId="0" fontId="12" fillId="0" borderId="129" xfId="0" applyFont="1" applyBorder="1" applyAlignment="1" applyProtection="1">
      <alignment horizontal="center" vertical="center" wrapText="1"/>
      <protection hidden="1"/>
    </xf>
    <xf numFmtId="0" fontId="12" fillId="0" borderId="135" xfId="0" applyFont="1" applyBorder="1" applyAlignment="1" applyProtection="1">
      <alignment horizontal="center" vertical="center" wrapText="1"/>
      <protection hidden="1"/>
    </xf>
    <xf numFmtId="3" fontId="10" fillId="0" borderId="95" xfId="0" applyNumberFormat="1" applyFont="1" applyBorder="1" applyAlignment="1" applyProtection="1">
      <alignment horizontal="center" vertical="center" wrapText="1"/>
      <protection hidden="1"/>
    </xf>
    <xf numFmtId="0" fontId="2" fillId="0" borderId="95" xfId="0" applyFont="1" applyBorder="1" applyAlignment="1" applyProtection="1">
      <alignment horizontal="justify" vertical="center" wrapText="1"/>
      <protection hidden="1"/>
    </xf>
    <xf numFmtId="0" fontId="2" fillId="0" borderId="105" xfId="0" applyFont="1" applyBorder="1" applyAlignment="1" applyProtection="1">
      <alignment horizontal="justify" vertical="center" wrapText="1"/>
      <protection hidden="1"/>
    </xf>
    <xf numFmtId="0" fontId="12" fillId="8" borderId="136" xfId="0" applyFont="1" applyFill="1" applyBorder="1" applyAlignment="1" applyProtection="1">
      <alignment horizontal="center" vertical="center" wrapText="1"/>
      <protection hidden="1"/>
    </xf>
    <xf numFmtId="3" fontId="10" fillId="8" borderId="13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37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137" xfId="0" applyFont="1" applyFill="1" applyBorder="1" applyAlignment="1" applyProtection="1">
      <alignment horizontal="justify" vertical="center" wrapText="1"/>
      <protection hidden="1"/>
    </xf>
    <xf numFmtId="0" fontId="2" fillId="8" borderId="138" xfId="0" applyFont="1" applyFill="1" applyBorder="1" applyAlignment="1" applyProtection="1">
      <alignment horizontal="justify" vertical="center" wrapText="1"/>
      <protection hidden="1"/>
    </xf>
    <xf numFmtId="0" fontId="2" fillId="0" borderId="139" xfId="0" applyFont="1" applyBorder="1" applyAlignment="1" applyProtection="1">
      <alignment vertical="center" wrapText="1"/>
      <protection hidden="1"/>
    </xf>
    <xf numFmtId="0" fontId="23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/>
  </cellXfs>
  <cellStyles count="3">
    <cellStyle name="Normal" xfId="0" builtinId="0"/>
    <cellStyle name="Normal 2" xfId="2" xr:uid="{C6B05BAA-27B3-4F8F-9146-C56C7B952735}"/>
    <cellStyle name="Porcentaje" xfId="1" builtinId="5"/>
  </cellStyles>
  <dxfs count="23"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8"/>
      </font>
    </dxf>
    <dxf>
      <font>
        <color theme="6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8"/>
      </font>
    </dxf>
    <dxf>
      <font>
        <color theme="6"/>
      </font>
    </dxf>
    <dxf>
      <font>
        <color theme="6"/>
      </font>
    </dxf>
    <dxf>
      <font>
        <color theme="8"/>
      </font>
    </dxf>
    <dxf>
      <font>
        <b/>
        <i val="0"/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298</xdr:row>
      <xdr:rowOff>0</xdr:rowOff>
    </xdr:from>
    <xdr:to>
      <xdr:col>2</xdr:col>
      <xdr:colOff>1200149</xdr:colOff>
      <xdr:row>299</xdr:row>
      <xdr:rowOff>16755</xdr:rowOff>
    </xdr:to>
    <xdr:pic>
      <xdr:nvPicPr>
        <xdr:cNvPr id="2" name="2298 Imagen">
          <a:extLst>
            <a:ext uri="{FF2B5EF4-FFF2-40B4-BE49-F238E27FC236}">
              <a16:creationId xmlns:a16="http://schemas.microsoft.com/office/drawing/2014/main" id="{7114518E-F79E-4EAE-B93F-BB73CF1B9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4952225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321</xdr:row>
      <xdr:rowOff>9525</xdr:rowOff>
    </xdr:from>
    <xdr:to>
      <xdr:col>9</xdr:col>
      <xdr:colOff>257175</xdr:colOff>
      <xdr:row>322</xdr:row>
      <xdr:rowOff>285750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1AADD3-BA88-46FD-B6B1-8CCE3EDB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3458050"/>
          <a:ext cx="38385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0</xdr:row>
      <xdr:rowOff>47625</xdr:rowOff>
    </xdr:from>
    <xdr:to>
      <xdr:col>3</xdr:col>
      <xdr:colOff>657225</xdr:colOff>
      <xdr:row>0</xdr:row>
      <xdr:rowOff>565846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7078BC-8ACD-4444-8BCD-8EFB616D6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47625"/>
          <a:ext cx="1895475" cy="518221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60</xdr:row>
      <xdr:rowOff>85725</xdr:rowOff>
    </xdr:from>
    <xdr:to>
      <xdr:col>3</xdr:col>
      <xdr:colOff>657225</xdr:colOff>
      <xdr:row>60</xdr:row>
      <xdr:rowOff>603946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FF4769-F601-462F-8D30-96EABAFAA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6687800"/>
          <a:ext cx="1895475" cy="51822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116</xdr:row>
      <xdr:rowOff>57150</xdr:rowOff>
    </xdr:from>
    <xdr:to>
      <xdr:col>3</xdr:col>
      <xdr:colOff>647700</xdr:colOff>
      <xdr:row>116</xdr:row>
      <xdr:rowOff>575371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A315D8D-082D-4985-BBA1-9CD275040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3823275"/>
          <a:ext cx="1895475" cy="51822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241</xdr:row>
      <xdr:rowOff>38100</xdr:rowOff>
    </xdr:from>
    <xdr:to>
      <xdr:col>3</xdr:col>
      <xdr:colOff>647700</xdr:colOff>
      <xdr:row>241</xdr:row>
      <xdr:rowOff>556321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AEB91B7-FB21-4CC8-9E4C-304D50232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4473475"/>
          <a:ext cx="1895475" cy="518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IGACION/Documentos%20compartidos/General/BOLETIN%20ESTAD&#205;STICO%20SPET/INDICADORES%20TURISTICOS%20DE%20TENERIFE/Indicadore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Hoja3"/>
      <sheetName val="TTDD DATOS"/>
      <sheetName val="Hoja4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9F46E-711B-498A-85F4-050410B93DB7}">
  <sheetPr published="0" codeName="Hoja2">
    <tabColor theme="5" tint="0.39997558519241921"/>
  </sheetPr>
  <dimension ref="C1:T337"/>
  <sheetViews>
    <sheetView showGridLines="0" tabSelected="1" showRuler="0" zoomScale="85" zoomScaleNormal="85" workbookViewId="0">
      <selection activeCell="E1" sqref="E1:K1"/>
    </sheetView>
  </sheetViews>
  <sheetFormatPr baseColWidth="10" defaultRowHeight="12.75" x14ac:dyDescent="0.2"/>
  <cols>
    <col min="1" max="2" width="2.85546875" style="3" customWidth="1"/>
    <col min="3" max="3" width="20.7109375" style="3" customWidth="1"/>
    <col min="4" max="4" width="16.42578125" style="3" customWidth="1"/>
    <col min="5" max="5" width="16.140625" style="3" customWidth="1"/>
    <col min="6" max="6" width="16" style="3" customWidth="1"/>
    <col min="7" max="7" width="16.7109375" style="3" customWidth="1"/>
    <col min="8" max="9" width="16.140625" style="3" customWidth="1"/>
    <col min="10" max="10" width="16.7109375" style="3" customWidth="1"/>
    <col min="11" max="11" width="16.140625" style="3" customWidth="1"/>
    <col min="12" max="13" width="15.7109375" style="3" customWidth="1"/>
    <col min="14" max="14" width="12.140625" style="3" bestFit="1" customWidth="1"/>
    <col min="15" max="17" width="8.85546875" style="3" customWidth="1"/>
    <col min="18" max="18" width="23.28515625" style="3" customWidth="1"/>
    <col min="19" max="19" width="2.7109375" style="3" customWidth="1"/>
    <col min="20" max="20" width="23.28515625" style="3" customWidth="1"/>
    <col min="21" max="21" width="2.7109375" style="3" customWidth="1"/>
    <col min="22" max="22" width="23.28515625" style="3" customWidth="1"/>
    <col min="23" max="16384" width="11.42578125" style="3"/>
  </cols>
  <sheetData>
    <row r="1" spans="3:13" ht="50.25" customHeight="1" thickBot="1" x14ac:dyDescent="0.25">
      <c r="C1" s="1"/>
      <c r="D1" s="1"/>
      <c r="E1" s="2" t="s">
        <v>95</v>
      </c>
      <c r="F1" s="2"/>
      <c r="G1" s="2"/>
      <c r="H1" s="2"/>
      <c r="I1" s="2"/>
      <c r="J1" s="2"/>
      <c r="K1" s="2"/>
      <c r="L1" s="1"/>
      <c r="M1" s="1"/>
    </row>
    <row r="2" spans="3:13" ht="15" customHeight="1" x14ac:dyDescent="0.2">
      <c r="C2" s="4" t="s">
        <v>96</v>
      </c>
      <c r="D2" s="4"/>
      <c r="E2" s="4"/>
      <c r="F2" s="4"/>
      <c r="G2" s="4"/>
      <c r="H2" s="5"/>
      <c r="I2" s="6" t="s">
        <v>97</v>
      </c>
      <c r="J2" s="6"/>
      <c r="K2" s="6"/>
      <c r="L2" s="6"/>
      <c r="M2" s="6"/>
    </row>
    <row r="3" spans="3:13" ht="16.5" customHeight="1" thickBot="1" x14ac:dyDescent="0.25">
      <c r="C3" s="7"/>
      <c r="D3" s="7"/>
      <c r="E3" s="7"/>
      <c r="F3" s="7"/>
      <c r="G3" s="7"/>
      <c r="H3" s="8"/>
      <c r="I3" s="9"/>
      <c r="J3" s="9"/>
      <c r="K3" s="9"/>
      <c r="L3" s="9"/>
      <c r="M3" s="9"/>
    </row>
    <row r="4" spans="3:13" ht="5.25" customHeight="1" x14ac:dyDescent="0.2">
      <c r="C4" s="10"/>
      <c r="E4" s="11"/>
      <c r="F4" s="11"/>
      <c r="G4" s="12"/>
      <c r="H4" s="13"/>
      <c r="I4" s="14"/>
      <c r="J4" s="11"/>
      <c r="K4" s="15"/>
      <c r="L4" s="16"/>
      <c r="M4" s="17"/>
    </row>
    <row r="5" spans="3:13" ht="81.75" customHeight="1" x14ac:dyDescent="0.2">
      <c r="C5" s="18" t="s">
        <v>0</v>
      </c>
      <c r="D5" s="19"/>
      <c r="E5" s="20" t="s">
        <v>1</v>
      </c>
      <c r="F5" s="20" t="s">
        <v>2</v>
      </c>
      <c r="G5" s="21" t="s">
        <v>3</v>
      </c>
      <c r="H5" s="22"/>
      <c r="I5" s="23" t="s">
        <v>0</v>
      </c>
      <c r="J5" s="20" t="s">
        <v>1</v>
      </c>
      <c r="K5" s="20" t="s">
        <v>4</v>
      </c>
      <c r="L5" s="20" t="s">
        <v>3</v>
      </c>
      <c r="M5" s="21" t="s">
        <v>5</v>
      </c>
    </row>
    <row r="6" spans="3:13" ht="5.25" customHeight="1" thickBot="1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3:13" ht="18.75" thickBot="1" x14ac:dyDescent="0.25">
      <c r="C7" s="25" t="s">
        <v>6</v>
      </c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3:13" ht="5.25" customHeight="1" thickBot="1" x14ac:dyDescent="0.25"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3:13" ht="24.75" customHeight="1" x14ac:dyDescent="0.2">
      <c r="C9" s="30" t="s">
        <v>7</v>
      </c>
      <c r="D9" s="31"/>
      <c r="E9" s="32" t="s">
        <v>8</v>
      </c>
      <c r="F9" s="33">
        <v>253428</v>
      </c>
      <c r="G9" s="34">
        <v>3.7311354217227342</v>
      </c>
      <c r="H9" s="35"/>
      <c r="I9" s="36" t="s">
        <v>7</v>
      </c>
      <c r="J9" s="37" t="s">
        <v>8</v>
      </c>
      <c r="K9" s="38">
        <v>2354005</v>
      </c>
      <c r="L9" s="39">
        <v>0.2901110512519367</v>
      </c>
      <c r="M9" s="40" t="s">
        <v>9</v>
      </c>
    </row>
    <row r="10" spans="3:13" ht="24.75" customHeight="1" x14ac:dyDescent="0.2">
      <c r="C10" s="41"/>
      <c r="D10" s="42"/>
      <c r="E10" s="43" t="s">
        <v>10</v>
      </c>
      <c r="F10" s="44">
        <v>194762</v>
      </c>
      <c r="G10" s="45">
        <v>3.9021394412282913</v>
      </c>
      <c r="H10" s="46"/>
      <c r="I10" s="41"/>
      <c r="J10" s="43" t="s">
        <v>10</v>
      </c>
      <c r="K10" s="44">
        <v>1840642</v>
      </c>
      <c r="L10" s="47">
        <v>0.42869384533108135</v>
      </c>
      <c r="M10" s="40"/>
    </row>
    <row r="11" spans="3:13" ht="24.75" customHeight="1" thickBot="1" x14ac:dyDescent="0.25">
      <c r="C11" s="48"/>
      <c r="D11" s="49"/>
      <c r="E11" s="50" t="s">
        <v>11</v>
      </c>
      <c r="F11" s="33">
        <v>58666</v>
      </c>
      <c r="G11" s="34">
        <v>3.2400982943047127</v>
      </c>
      <c r="H11" s="46"/>
      <c r="I11" s="51"/>
      <c r="J11" s="52" t="s">
        <v>11</v>
      </c>
      <c r="K11" s="53">
        <v>513363</v>
      </c>
      <c r="L11" s="54">
        <v>-4.2793960254627006E-2</v>
      </c>
      <c r="M11" s="40"/>
    </row>
    <row r="12" spans="3:13" ht="24.75" hidden="1" customHeight="1" x14ac:dyDescent="0.2">
      <c r="C12" s="55" t="s">
        <v>12</v>
      </c>
      <c r="D12" s="56"/>
      <c r="E12" s="57" t="s">
        <v>8</v>
      </c>
      <c r="F12" s="58">
        <v>13870</v>
      </c>
      <c r="G12" s="59">
        <v>1.2468815810788918</v>
      </c>
      <c r="H12" s="60"/>
      <c r="I12" s="55" t="s">
        <v>12</v>
      </c>
      <c r="J12" s="57" t="s">
        <v>8</v>
      </c>
      <c r="K12" s="58">
        <v>163524</v>
      </c>
      <c r="L12" s="39">
        <v>0.5546766557015459</v>
      </c>
      <c r="M12" s="40"/>
    </row>
    <row r="13" spans="3:13" ht="46.5" customHeight="1" thickBot="1" x14ac:dyDescent="0.25">
      <c r="C13" s="61"/>
      <c r="D13" s="62"/>
      <c r="E13" s="63" t="s">
        <v>10</v>
      </c>
      <c r="F13" s="64">
        <v>13870</v>
      </c>
      <c r="G13" s="45">
        <v>1.2468815810788918</v>
      </c>
      <c r="H13" s="60"/>
      <c r="I13" s="61"/>
      <c r="J13" s="63" t="s">
        <v>10</v>
      </c>
      <c r="K13" s="64">
        <v>163524</v>
      </c>
      <c r="L13" s="47">
        <v>0.5546766557015459</v>
      </c>
      <c r="M13" s="40"/>
    </row>
    <row r="14" spans="3:13" ht="24.75" hidden="1" customHeight="1" x14ac:dyDescent="0.2">
      <c r="C14" s="65"/>
      <c r="D14" s="66"/>
      <c r="E14" s="67" t="s">
        <v>11</v>
      </c>
      <c r="F14" s="68">
        <v>0</v>
      </c>
      <c r="G14" s="69" t="s">
        <v>38</v>
      </c>
      <c r="H14" s="60"/>
      <c r="I14" s="65"/>
      <c r="J14" s="67" t="s">
        <v>11</v>
      </c>
      <c r="K14" s="68">
        <v>0</v>
      </c>
      <c r="L14" s="54" t="s">
        <v>38</v>
      </c>
      <c r="M14" s="40"/>
    </row>
    <row r="15" spans="3:13" ht="24.75" customHeight="1" x14ac:dyDescent="0.2">
      <c r="C15" s="70" t="s">
        <v>13</v>
      </c>
      <c r="D15" s="71"/>
      <c r="E15" s="72" t="s">
        <v>8</v>
      </c>
      <c r="F15" s="73">
        <v>3898</v>
      </c>
      <c r="G15" s="59">
        <v>1.9002976190476191</v>
      </c>
      <c r="H15" s="60"/>
      <c r="I15" s="70" t="s">
        <v>13</v>
      </c>
      <c r="J15" s="72" t="s">
        <v>8</v>
      </c>
      <c r="K15" s="73">
        <v>35897</v>
      </c>
      <c r="L15" s="39">
        <v>0.28898703723652552</v>
      </c>
      <c r="M15" s="40"/>
    </row>
    <row r="16" spans="3:13" ht="24.75" customHeight="1" x14ac:dyDescent="0.2">
      <c r="C16" s="74"/>
      <c r="D16" s="75"/>
      <c r="E16" s="76" t="s">
        <v>10</v>
      </c>
      <c r="F16" s="77">
        <v>3511</v>
      </c>
      <c r="G16" s="45">
        <v>1.663884673748103</v>
      </c>
      <c r="H16" s="60"/>
      <c r="I16" s="74"/>
      <c r="J16" s="76" t="s">
        <v>10</v>
      </c>
      <c r="K16" s="77">
        <v>34165</v>
      </c>
      <c r="L16" s="47">
        <v>0.46914642012470442</v>
      </c>
      <c r="M16" s="40"/>
    </row>
    <row r="17" spans="3:13" ht="24.75" customHeight="1" thickBot="1" x14ac:dyDescent="0.25">
      <c r="C17" s="78"/>
      <c r="D17" s="79"/>
      <c r="E17" s="80" t="s">
        <v>11</v>
      </c>
      <c r="F17" s="81">
        <v>387</v>
      </c>
      <c r="G17" s="69">
        <v>13.884615384615385</v>
      </c>
      <c r="H17" s="60"/>
      <c r="I17" s="78"/>
      <c r="J17" s="80" t="s">
        <v>11</v>
      </c>
      <c r="K17" s="81">
        <v>1732</v>
      </c>
      <c r="L17" s="54">
        <v>-0.62298650413582934</v>
      </c>
      <c r="M17" s="40"/>
    </row>
    <row r="18" spans="3:13" ht="24.75" customHeight="1" x14ac:dyDescent="0.2">
      <c r="C18" s="55" t="s">
        <v>14</v>
      </c>
      <c r="D18" s="56"/>
      <c r="E18" s="57" t="s">
        <v>8</v>
      </c>
      <c r="F18" s="58">
        <v>39176</v>
      </c>
      <c r="G18" s="59">
        <v>3.1473639635824684</v>
      </c>
      <c r="H18" s="60"/>
      <c r="I18" s="55" t="s">
        <v>14</v>
      </c>
      <c r="J18" s="57" t="s">
        <v>8</v>
      </c>
      <c r="K18" s="58">
        <v>419414</v>
      </c>
      <c r="L18" s="39">
        <v>0.24839714015275538</v>
      </c>
      <c r="M18" s="40"/>
    </row>
    <row r="19" spans="3:13" ht="24.75" customHeight="1" x14ac:dyDescent="0.2">
      <c r="C19" s="61"/>
      <c r="D19" s="62"/>
      <c r="E19" s="63" t="s">
        <v>10</v>
      </c>
      <c r="F19" s="64">
        <v>30675</v>
      </c>
      <c r="G19" s="45">
        <v>4.2579705176551252</v>
      </c>
      <c r="H19" s="60"/>
      <c r="I19" s="61"/>
      <c r="J19" s="63" t="s">
        <v>10</v>
      </c>
      <c r="K19" s="64">
        <v>322508</v>
      </c>
      <c r="L19" s="47">
        <v>0.36479549734453354</v>
      </c>
      <c r="M19" s="40"/>
    </row>
    <row r="20" spans="3:13" ht="24.75" customHeight="1" thickBot="1" x14ac:dyDescent="0.25">
      <c r="C20" s="65"/>
      <c r="D20" s="66"/>
      <c r="E20" s="67" t="s">
        <v>11</v>
      </c>
      <c r="F20" s="68">
        <v>8501</v>
      </c>
      <c r="G20" s="69">
        <v>1.3535437430786268</v>
      </c>
      <c r="H20" s="60"/>
      <c r="I20" s="65"/>
      <c r="J20" s="67" t="s">
        <v>11</v>
      </c>
      <c r="K20" s="68">
        <v>96906</v>
      </c>
      <c r="L20" s="54">
        <v>-2.7604684066347529E-2</v>
      </c>
      <c r="M20" s="40"/>
    </row>
    <row r="21" spans="3:13" ht="24.75" customHeight="1" x14ac:dyDescent="0.2">
      <c r="C21" s="82" t="s">
        <v>15</v>
      </c>
      <c r="D21" s="83"/>
      <c r="E21" s="84" t="s">
        <v>8</v>
      </c>
      <c r="F21" s="85">
        <v>196484</v>
      </c>
      <c r="G21" s="59">
        <v>4.3679753025708274</v>
      </c>
      <c r="H21" s="60"/>
      <c r="I21" s="82" t="s">
        <v>15</v>
      </c>
      <c r="J21" s="84" t="s">
        <v>8</v>
      </c>
      <c r="K21" s="85">
        <v>1735170</v>
      </c>
      <c r="L21" s="39">
        <v>0.27994482392340259</v>
      </c>
      <c r="M21" s="40"/>
    </row>
    <row r="22" spans="3:13" ht="24.75" customHeight="1" x14ac:dyDescent="0.2">
      <c r="C22" s="86"/>
      <c r="D22" s="87"/>
      <c r="E22" s="88" t="s">
        <v>10</v>
      </c>
      <c r="F22" s="89">
        <v>146706</v>
      </c>
      <c r="G22" s="45">
        <v>4.5559931831092593</v>
      </c>
      <c r="H22" s="60"/>
      <c r="I22" s="86"/>
      <c r="J22" s="88" t="s">
        <v>10</v>
      </c>
      <c r="K22" s="89">
        <v>1320445</v>
      </c>
      <c r="L22" s="47">
        <v>0.42967657972037587</v>
      </c>
      <c r="M22" s="40"/>
    </row>
    <row r="23" spans="3:13" ht="24.75" customHeight="1" thickBot="1" x14ac:dyDescent="0.25">
      <c r="C23" s="90"/>
      <c r="D23" s="91"/>
      <c r="E23" s="92" t="s">
        <v>11</v>
      </c>
      <c r="F23" s="93">
        <v>49778</v>
      </c>
      <c r="G23" s="69">
        <v>3.8811531672877031</v>
      </c>
      <c r="H23" s="60"/>
      <c r="I23" s="90"/>
      <c r="J23" s="92" t="s">
        <v>11</v>
      </c>
      <c r="K23" s="93">
        <v>414725</v>
      </c>
      <c r="L23" s="54">
        <v>-4.0128407199875982E-2</v>
      </c>
      <c r="M23" s="40"/>
    </row>
    <row r="24" spans="3:13" ht="5.25" customHeight="1" thickBot="1" x14ac:dyDescent="0.25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3:13" ht="20.100000000000001" customHeight="1" thickBot="1" x14ac:dyDescent="0.25">
      <c r="C25" s="25" t="s">
        <v>16</v>
      </c>
      <c r="D25" s="26"/>
      <c r="E25" s="26"/>
      <c r="F25" s="26"/>
      <c r="G25" s="26"/>
      <c r="H25" s="26"/>
      <c r="I25" s="26"/>
      <c r="J25" s="26"/>
      <c r="K25" s="26"/>
      <c r="L25" s="26"/>
      <c r="M25" s="27"/>
    </row>
    <row r="26" spans="3:13" ht="5.25" customHeight="1" thickBot="1" x14ac:dyDescent="0.2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95"/>
    </row>
    <row r="27" spans="3:13" ht="24.95" customHeight="1" x14ac:dyDescent="0.2">
      <c r="C27" s="36" t="s">
        <v>7</v>
      </c>
      <c r="D27" s="96"/>
      <c r="E27" s="37" t="s">
        <v>8</v>
      </c>
      <c r="F27" s="33">
        <v>1876995</v>
      </c>
      <c r="G27" s="34">
        <v>6.4171642410327943</v>
      </c>
      <c r="H27" s="35"/>
      <c r="I27" s="36" t="s">
        <v>7</v>
      </c>
      <c r="J27" s="37" t="s">
        <v>8</v>
      </c>
      <c r="K27" s="38">
        <v>13272146</v>
      </c>
      <c r="L27" s="39">
        <v>0.10739853735222016</v>
      </c>
      <c r="M27" s="40" t="s">
        <v>9</v>
      </c>
    </row>
    <row r="28" spans="3:13" ht="24.95" customHeight="1" x14ac:dyDescent="0.2">
      <c r="C28" s="41"/>
      <c r="D28" s="42"/>
      <c r="E28" s="43" t="s">
        <v>10</v>
      </c>
      <c r="F28" s="44">
        <v>1352536</v>
      </c>
      <c r="G28" s="45">
        <v>6.972367125839213</v>
      </c>
      <c r="H28" s="46"/>
      <c r="I28" s="41"/>
      <c r="J28" s="43" t="s">
        <v>10</v>
      </c>
      <c r="K28" s="44">
        <v>10047460</v>
      </c>
      <c r="L28" s="47">
        <v>0.29187454925645717</v>
      </c>
      <c r="M28" s="40"/>
    </row>
    <row r="29" spans="3:13" ht="24.95" customHeight="1" thickBot="1" x14ac:dyDescent="0.25">
      <c r="C29" s="51"/>
      <c r="D29" s="97"/>
      <c r="E29" s="52" t="s">
        <v>11</v>
      </c>
      <c r="F29" s="33">
        <v>524459</v>
      </c>
      <c r="G29" s="34">
        <v>5.2878740648379052</v>
      </c>
      <c r="H29" s="46"/>
      <c r="I29" s="51"/>
      <c r="J29" s="52" t="s">
        <v>11</v>
      </c>
      <c r="K29" s="53">
        <v>3224686</v>
      </c>
      <c r="L29" s="54">
        <v>-0.23359532269372918</v>
      </c>
      <c r="M29" s="40"/>
    </row>
    <row r="30" spans="3:13" ht="24.95" hidden="1" customHeight="1" x14ac:dyDescent="0.2">
      <c r="C30" s="55" t="s">
        <v>12</v>
      </c>
      <c r="D30" s="56"/>
      <c r="E30" s="57" t="s">
        <v>8</v>
      </c>
      <c r="F30" s="58">
        <v>41280</v>
      </c>
      <c r="G30" s="59">
        <v>2.5811572829010152</v>
      </c>
      <c r="H30" s="60"/>
      <c r="I30" s="55" t="s">
        <v>12</v>
      </c>
      <c r="J30" s="57" t="s">
        <v>8</v>
      </c>
      <c r="K30" s="58">
        <v>380085</v>
      </c>
      <c r="L30" s="39">
        <v>0.67062251935071271</v>
      </c>
      <c r="M30" s="40"/>
    </row>
    <row r="31" spans="3:13" ht="48" customHeight="1" thickBot="1" x14ac:dyDescent="0.25">
      <c r="C31" s="61"/>
      <c r="D31" s="62"/>
      <c r="E31" s="63" t="s">
        <v>10</v>
      </c>
      <c r="F31" s="64">
        <v>41280</v>
      </c>
      <c r="G31" s="45">
        <v>2.5811572829010152</v>
      </c>
      <c r="H31" s="60"/>
      <c r="I31" s="61"/>
      <c r="J31" s="63" t="s">
        <v>10</v>
      </c>
      <c r="K31" s="64">
        <v>380085</v>
      </c>
      <c r="L31" s="47">
        <v>0.67062251935071271</v>
      </c>
      <c r="M31" s="40"/>
    </row>
    <row r="32" spans="3:13" ht="24.95" hidden="1" customHeight="1" x14ac:dyDescent="0.2">
      <c r="C32" s="65"/>
      <c r="D32" s="66"/>
      <c r="E32" s="67" t="s">
        <v>11</v>
      </c>
      <c r="F32" s="68">
        <v>0</v>
      </c>
      <c r="G32" s="69" t="s">
        <v>38</v>
      </c>
      <c r="H32" s="60"/>
      <c r="I32" s="65"/>
      <c r="J32" s="67" t="s">
        <v>11</v>
      </c>
      <c r="K32" s="68">
        <v>0</v>
      </c>
      <c r="L32" s="54" t="s">
        <v>38</v>
      </c>
      <c r="M32" s="40"/>
    </row>
    <row r="33" spans="3:13" ht="24.95" customHeight="1" x14ac:dyDescent="0.2">
      <c r="C33" s="70" t="s">
        <v>13</v>
      </c>
      <c r="D33" s="71"/>
      <c r="E33" s="72" t="s">
        <v>8</v>
      </c>
      <c r="F33" s="73">
        <v>12321</v>
      </c>
      <c r="G33" s="59">
        <v>2.7887453874538743</v>
      </c>
      <c r="H33" s="60"/>
      <c r="I33" s="70" t="s">
        <v>13</v>
      </c>
      <c r="J33" s="72" t="s">
        <v>8</v>
      </c>
      <c r="K33" s="73">
        <v>89190</v>
      </c>
      <c r="L33" s="39">
        <v>0.17486662714878487</v>
      </c>
      <c r="M33" s="40"/>
    </row>
    <row r="34" spans="3:13" ht="24.95" customHeight="1" x14ac:dyDescent="0.2">
      <c r="C34" s="74"/>
      <c r="D34" s="75"/>
      <c r="E34" s="76" t="s">
        <v>10</v>
      </c>
      <c r="F34" s="77">
        <v>10671</v>
      </c>
      <c r="G34" s="45">
        <v>2.4963958060288336</v>
      </c>
      <c r="H34" s="60"/>
      <c r="I34" s="74"/>
      <c r="J34" s="76" t="s">
        <v>10</v>
      </c>
      <c r="K34" s="77">
        <v>81652</v>
      </c>
      <c r="L34" s="47">
        <v>0.48188747731397452</v>
      </c>
      <c r="M34" s="40"/>
    </row>
    <row r="35" spans="3:13" ht="24.95" customHeight="1" thickBot="1" x14ac:dyDescent="0.25">
      <c r="C35" s="78"/>
      <c r="D35" s="79"/>
      <c r="E35" s="80" t="s">
        <v>11</v>
      </c>
      <c r="F35" s="81">
        <v>1650</v>
      </c>
      <c r="G35" s="69">
        <v>7.25</v>
      </c>
      <c r="H35" s="60"/>
      <c r="I35" s="78"/>
      <c r="J35" s="80" t="s">
        <v>11</v>
      </c>
      <c r="K35" s="81">
        <v>7538</v>
      </c>
      <c r="L35" s="54">
        <v>-0.63785731443670435</v>
      </c>
      <c r="M35" s="40"/>
    </row>
    <row r="36" spans="3:13" ht="24.95" customHeight="1" x14ac:dyDescent="0.2">
      <c r="C36" s="55" t="s">
        <v>14</v>
      </c>
      <c r="D36" s="56"/>
      <c r="E36" s="57" t="s">
        <v>8</v>
      </c>
      <c r="F36" s="58">
        <v>293012</v>
      </c>
      <c r="G36" s="59">
        <v>7.4548707294552177</v>
      </c>
      <c r="H36" s="60"/>
      <c r="I36" s="55" t="s">
        <v>14</v>
      </c>
      <c r="J36" s="57" t="s">
        <v>8</v>
      </c>
      <c r="K36" s="58">
        <v>2157169</v>
      </c>
      <c r="L36" s="39">
        <v>-5.2743535366250871E-3</v>
      </c>
      <c r="M36" s="40"/>
    </row>
    <row r="37" spans="3:13" ht="24.95" customHeight="1" x14ac:dyDescent="0.2">
      <c r="C37" s="61"/>
      <c r="D37" s="62"/>
      <c r="E37" s="63" t="s">
        <v>10</v>
      </c>
      <c r="F37" s="64">
        <v>217112</v>
      </c>
      <c r="G37" s="45">
        <v>10.695954317728816</v>
      </c>
      <c r="H37" s="60"/>
      <c r="I37" s="61"/>
      <c r="J37" s="63" t="s">
        <v>10</v>
      </c>
      <c r="K37" s="64">
        <v>1635414</v>
      </c>
      <c r="L37" s="47">
        <v>0.1465606629439169</v>
      </c>
      <c r="M37" s="40"/>
    </row>
    <row r="38" spans="3:13" ht="24.95" customHeight="1" thickBot="1" x14ac:dyDescent="0.25">
      <c r="C38" s="65"/>
      <c r="D38" s="66"/>
      <c r="E38" s="67" t="s">
        <v>11</v>
      </c>
      <c r="F38" s="68">
        <v>75900</v>
      </c>
      <c r="G38" s="69">
        <v>3.7163362952836634</v>
      </c>
      <c r="H38" s="60"/>
      <c r="I38" s="65"/>
      <c r="J38" s="67" t="s">
        <v>11</v>
      </c>
      <c r="K38" s="68">
        <v>521755</v>
      </c>
      <c r="L38" s="54">
        <v>-0.29705540780500161</v>
      </c>
      <c r="M38" s="40"/>
    </row>
    <row r="39" spans="3:13" ht="24.95" customHeight="1" x14ac:dyDescent="0.2">
      <c r="C39" s="82" t="s">
        <v>15</v>
      </c>
      <c r="D39" s="83"/>
      <c r="E39" s="84" t="s">
        <v>8</v>
      </c>
      <c r="F39" s="85">
        <v>1530382</v>
      </c>
      <c r="G39" s="59">
        <v>6.5156512429650437</v>
      </c>
      <c r="H39" s="60"/>
      <c r="I39" s="82" t="s">
        <v>15</v>
      </c>
      <c r="J39" s="84" t="s">
        <v>8</v>
      </c>
      <c r="K39" s="85">
        <v>10645702</v>
      </c>
      <c r="L39" s="39">
        <v>0.11907544078888721</v>
      </c>
      <c r="M39" s="40"/>
    </row>
    <row r="40" spans="3:13" ht="24.95" customHeight="1" x14ac:dyDescent="0.2">
      <c r="C40" s="86"/>
      <c r="D40" s="87"/>
      <c r="E40" s="88" t="s">
        <v>10</v>
      </c>
      <c r="F40" s="89">
        <v>1083473</v>
      </c>
      <c r="G40" s="45">
        <v>6.9368915325504901</v>
      </c>
      <c r="H40" s="60"/>
      <c r="I40" s="86"/>
      <c r="J40" s="88" t="s">
        <v>10</v>
      </c>
      <c r="K40" s="89">
        <v>7950309</v>
      </c>
      <c r="L40" s="47">
        <v>0.31010516522255838</v>
      </c>
      <c r="M40" s="40"/>
    </row>
    <row r="41" spans="3:13" ht="24.95" customHeight="1" thickBot="1" x14ac:dyDescent="0.25">
      <c r="C41" s="90"/>
      <c r="D41" s="91"/>
      <c r="E41" s="92" t="s">
        <v>11</v>
      </c>
      <c r="F41" s="93">
        <v>446909</v>
      </c>
      <c r="G41" s="69">
        <v>5.6588542054682263</v>
      </c>
      <c r="H41" s="60"/>
      <c r="I41" s="90"/>
      <c r="J41" s="92" t="s">
        <v>11</v>
      </c>
      <c r="K41" s="93">
        <v>2695393</v>
      </c>
      <c r="L41" s="54">
        <v>-0.21747757942896095</v>
      </c>
      <c r="M41" s="40"/>
    </row>
    <row r="42" spans="3:13" ht="5.25" customHeight="1" thickBot="1" x14ac:dyDescent="0.25">
      <c r="C42" s="94"/>
      <c r="D42" s="94"/>
      <c r="F42" s="94"/>
      <c r="G42" s="94"/>
      <c r="H42" s="94"/>
      <c r="I42" s="94"/>
      <c r="J42" s="94"/>
      <c r="K42" s="94"/>
      <c r="L42" s="94"/>
      <c r="M42" s="94"/>
    </row>
    <row r="43" spans="3:13" ht="20.100000000000001" customHeight="1" thickBot="1" x14ac:dyDescent="0.25">
      <c r="C43" s="25" t="s">
        <v>17</v>
      </c>
      <c r="D43" s="26"/>
      <c r="E43" s="26"/>
      <c r="F43" s="26"/>
      <c r="G43" s="26"/>
      <c r="H43" s="26"/>
      <c r="I43" s="26"/>
      <c r="J43" s="26"/>
      <c r="K43" s="26"/>
      <c r="L43" s="26"/>
      <c r="M43" s="27"/>
    </row>
    <row r="44" spans="3:13" ht="5.25" customHeight="1" thickBo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95"/>
    </row>
    <row r="45" spans="3:13" ht="24.75" customHeight="1" x14ac:dyDescent="0.2">
      <c r="C45" s="36" t="s">
        <v>7</v>
      </c>
      <c r="D45" s="96"/>
      <c r="E45" s="37" t="s">
        <v>8</v>
      </c>
      <c r="F45" s="98">
        <v>7.4064231260949853</v>
      </c>
      <c r="G45" s="99">
        <v>2.6821390653101593</v>
      </c>
      <c r="H45" s="35"/>
      <c r="I45" s="36" t="s">
        <v>7</v>
      </c>
      <c r="J45" s="37" t="s">
        <v>8</v>
      </c>
      <c r="K45" s="98">
        <v>5.6381129181968603</v>
      </c>
      <c r="L45" s="100">
        <v>-0.93024665482880575</v>
      </c>
      <c r="M45" s="40" t="s">
        <v>9</v>
      </c>
    </row>
    <row r="46" spans="3:13" ht="24.75" customHeight="1" x14ac:dyDescent="0.2">
      <c r="C46" s="41"/>
      <c r="D46" s="42"/>
      <c r="E46" s="43" t="s">
        <v>10</v>
      </c>
      <c r="F46" s="101">
        <v>6.9445579733212845</v>
      </c>
      <c r="G46" s="102">
        <v>2.6744094709301445</v>
      </c>
      <c r="H46" s="46"/>
      <c r="I46" s="41"/>
      <c r="J46" s="43" t="s">
        <v>10</v>
      </c>
      <c r="K46" s="101">
        <v>5.4586714852752465</v>
      </c>
      <c r="L46" s="103">
        <v>-0.57811464011566382</v>
      </c>
      <c r="M46" s="40"/>
    </row>
    <row r="47" spans="3:13" ht="24.75" customHeight="1" thickBot="1" x14ac:dyDescent="0.25">
      <c r="C47" s="51"/>
      <c r="D47" s="97"/>
      <c r="E47" s="52" t="s">
        <v>11</v>
      </c>
      <c r="F47" s="104">
        <v>8.9397436334503801</v>
      </c>
      <c r="G47" s="105">
        <v>2.9114117456215283</v>
      </c>
      <c r="H47" s="46"/>
      <c r="I47" s="51"/>
      <c r="J47" s="52" t="s">
        <v>11</v>
      </c>
      <c r="K47" s="104">
        <v>6.2814928228173823</v>
      </c>
      <c r="L47" s="106">
        <v>-1.5638179466199249</v>
      </c>
      <c r="M47" s="40"/>
    </row>
    <row r="48" spans="3:13" ht="24.75" hidden="1" customHeight="1" x14ac:dyDescent="0.2">
      <c r="C48" s="55" t="s">
        <v>12</v>
      </c>
      <c r="D48" s="56"/>
      <c r="E48" s="57" t="s">
        <v>8</v>
      </c>
      <c r="F48" s="107">
        <v>2.9762076423936552</v>
      </c>
      <c r="G48" s="99">
        <v>1.1088821928553432</v>
      </c>
      <c r="H48" s="60"/>
      <c r="I48" s="55" t="s">
        <v>12</v>
      </c>
      <c r="J48" s="57" t="s">
        <v>8</v>
      </c>
      <c r="K48" s="107">
        <v>2.3243377118955015</v>
      </c>
      <c r="L48" s="100">
        <v>0.16131552178692798</v>
      </c>
      <c r="M48" s="40"/>
    </row>
    <row r="49" spans="3:13" ht="50.25" customHeight="1" thickBot="1" x14ac:dyDescent="0.25">
      <c r="C49" s="61"/>
      <c r="D49" s="62"/>
      <c r="E49" s="63" t="s">
        <v>10</v>
      </c>
      <c r="F49" s="108">
        <v>2.9762076423936552</v>
      </c>
      <c r="G49" s="102">
        <v>1.1088821928553432</v>
      </c>
      <c r="H49" s="60"/>
      <c r="I49" s="61"/>
      <c r="J49" s="63" t="s">
        <v>10</v>
      </c>
      <c r="K49" s="108">
        <v>2.3243377118955015</v>
      </c>
      <c r="L49" s="103">
        <v>0.16131552178692798</v>
      </c>
      <c r="M49" s="40"/>
    </row>
    <row r="50" spans="3:13" ht="24.75" hidden="1" customHeight="1" x14ac:dyDescent="0.2">
      <c r="C50" s="65"/>
      <c r="D50" s="66"/>
      <c r="E50" s="67" t="s">
        <v>11</v>
      </c>
      <c r="F50" s="109" t="s">
        <v>38</v>
      </c>
      <c r="G50" s="105" t="s">
        <v>38</v>
      </c>
      <c r="H50" s="60"/>
      <c r="I50" s="65"/>
      <c r="J50" s="67" t="s">
        <v>11</v>
      </c>
      <c r="K50" s="109" t="e">
        <v>#DIV/0!</v>
      </c>
      <c r="L50" s="106" t="s">
        <v>38</v>
      </c>
      <c r="M50" s="40"/>
    </row>
    <row r="51" spans="3:13" ht="24.75" customHeight="1" x14ac:dyDescent="0.2">
      <c r="C51" s="70" t="s">
        <v>13</v>
      </c>
      <c r="D51" s="71"/>
      <c r="E51" s="72" t="s">
        <v>8</v>
      </c>
      <c r="F51" s="110">
        <v>3.1608517188301692</v>
      </c>
      <c r="G51" s="99">
        <v>0.74120886168731204</v>
      </c>
      <c r="H51" s="60"/>
      <c r="I51" s="70" t="s">
        <v>13</v>
      </c>
      <c r="J51" s="72" t="s">
        <v>8</v>
      </c>
      <c r="K51" s="110">
        <v>2.4846087416775777</v>
      </c>
      <c r="L51" s="100">
        <v>-0.24134192082376904</v>
      </c>
      <c r="M51" s="40"/>
    </row>
    <row r="52" spans="3:13" ht="24.75" customHeight="1" x14ac:dyDescent="0.2">
      <c r="C52" s="74"/>
      <c r="D52" s="75"/>
      <c r="E52" s="76" t="s">
        <v>10</v>
      </c>
      <c r="F52" s="111">
        <v>3.0393050412987752</v>
      </c>
      <c r="G52" s="102">
        <v>0.7236752992653912</v>
      </c>
      <c r="H52" s="60"/>
      <c r="I52" s="74"/>
      <c r="J52" s="76" t="s">
        <v>10</v>
      </c>
      <c r="K52" s="111">
        <v>2.3899312161568855</v>
      </c>
      <c r="L52" s="103">
        <v>2.0548287754391659E-2</v>
      </c>
      <c r="M52" s="40"/>
    </row>
    <row r="53" spans="3:13" ht="24.75" customHeight="1" thickBot="1" x14ac:dyDescent="0.25">
      <c r="C53" s="78"/>
      <c r="D53" s="79"/>
      <c r="E53" s="80" t="s">
        <v>11</v>
      </c>
      <c r="F53" s="112">
        <v>4.2635658914728678</v>
      </c>
      <c r="G53" s="105">
        <v>-3.4287418008348247</v>
      </c>
      <c r="H53" s="60"/>
      <c r="I53" s="78"/>
      <c r="J53" s="80" t="s">
        <v>11</v>
      </c>
      <c r="K53" s="112">
        <v>4.3521939953810627</v>
      </c>
      <c r="L53" s="106">
        <v>-0.17871588707431396</v>
      </c>
      <c r="M53" s="40"/>
    </row>
    <row r="54" spans="3:13" ht="24.75" customHeight="1" x14ac:dyDescent="0.2">
      <c r="C54" s="55" t="s">
        <v>14</v>
      </c>
      <c r="D54" s="56"/>
      <c r="E54" s="57" t="s">
        <v>8</v>
      </c>
      <c r="F54" s="107">
        <v>7.4793751276291607</v>
      </c>
      <c r="G54" s="99">
        <v>3.8105205860242486</v>
      </c>
      <c r="H54" s="60"/>
      <c r="I54" s="55" t="s">
        <v>14</v>
      </c>
      <c r="J54" s="57" t="s">
        <v>8</v>
      </c>
      <c r="K54" s="107">
        <v>5.143292784694836</v>
      </c>
      <c r="L54" s="100">
        <v>-1.3116247357390227</v>
      </c>
      <c r="M54" s="40"/>
    </row>
    <row r="55" spans="3:13" ht="24.75" customHeight="1" x14ac:dyDescent="0.2">
      <c r="C55" s="61"/>
      <c r="D55" s="62"/>
      <c r="E55" s="63" t="s">
        <v>10</v>
      </c>
      <c r="F55" s="108">
        <v>7.0778158109209457</v>
      </c>
      <c r="G55" s="102">
        <v>3.8959508811986283</v>
      </c>
      <c r="H55" s="60"/>
      <c r="I55" s="61"/>
      <c r="J55" s="63" t="s">
        <v>10</v>
      </c>
      <c r="K55" s="108">
        <v>5.0709253723938632</v>
      </c>
      <c r="L55" s="103">
        <v>-0.96519320317584523</v>
      </c>
      <c r="M55" s="40"/>
    </row>
    <row r="56" spans="3:13" ht="24.75" customHeight="1" thickBot="1" x14ac:dyDescent="0.25">
      <c r="C56" s="65"/>
      <c r="D56" s="66"/>
      <c r="E56" s="67" t="s">
        <v>11</v>
      </c>
      <c r="F56" s="109">
        <v>8.9283613692506769</v>
      </c>
      <c r="G56" s="105">
        <v>4.4729350126615293</v>
      </c>
      <c r="H56" s="60"/>
      <c r="I56" s="65"/>
      <c r="J56" s="67" t="s">
        <v>11</v>
      </c>
      <c r="K56" s="109">
        <v>5.3841351412709226</v>
      </c>
      <c r="L56" s="106">
        <v>-2.0638313839104496</v>
      </c>
      <c r="M56" s="40"/>
    </row>
    <row r="57" spans="3:13" ht="24.75" customHeight="1" x14ac:dyDescent="0.2">
      <c r="C57" s="82" t="s">
        <v>15</v>
      </c>
      <c r="D57" s="83"/>
      <c r="E57" s="84" t="s">
        <v>8</v>
      </c>
      <c r="F57" s="113">
        <v>7.7888377679607501</v>
      </c>
      <c r="G57" s="99">
        <v>2.2257418468613865</v>
      </c>
      <c r="H57" s="60"/>
      <c r="I57" s="82" t="s">
        <v>15</v>
      </c>
      <c r="J57" s="84" t="s">
        <v>8</v>
      </c>
      <c r="K57" s="113">
        <v>6.1352501484004449</v>
      </c>
      <c r="L57" s="100">
        <v>-0.88195475548400992</v>
      </c>
      <c r="M57" s="40"/>
    </row>
    <row r="58" spans="3:13" ht="24.75" customHeight="1" x14ac:dyDescent="0.2">
      <c r="C58" s="86"/>
      <c r="D58" s="87"/>
      <c r="E58" s="88" t="s">
        <v>10</v>
      </c>
      <c r="F58" s="114">
        <v>7.3853352964432268</v>
      </c>
      <c r="G58" s="102">
        <v>2.2154432305466161</v>
      </c>
      <c r="H58" s="60"/>
      <c r="I58" s="86"/>
      <c r="J58" s="88" t="s">
        <v>10</v>
      </c>
      <c r="K58" s="114">
        <v>6.0209315798840546</v>
      </c>
      <c r="L58" s="103">
        <v>-0.54952176719264667</v>
      </c>
      <c r="M58" s="40"/>
    </row>
    <row r="59" spans="3:13" ht="24.75" customHeight="1" thickBot="1" x14ac:dyDescent="0.25">
      <c r="C59" s="115"/>
      <c r="D59" s="116"/>
      <c r="E59" s="117" t="s">
        <v>11</v>
      </c>
      <c r="F59" s="118">
        <v>8.9780425087388007</v>
      </c>
      <c r="G59" s="119">
        <v>2.3968501180739645</v>
      </c>
      <c r="H59" s="120"/>
      <c r="I59" s="115"/>
      <c r="J59" s="117" t="s">
        <v>11</v>
      </c>
      <c r="K59" s="118">
        <v>6.4992296099825184</v>
      </c>
      <c r="L59" s="121">
        <v>-1.4729712033247999</v>
      </c>
      <c r="M59" s="122"/>
    </row>
    <row r="60" spans="3:13" ht="13.5" thickBot="1" x14ac:dyDescent="0.25">
      <c r="C60" s="123" t="e">
        <v>#VALUE!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5"/>
    </row>
    <row r="61" spans="3:13" ht="50.25" customHeight="1" thickBot="1" x14ac:dyDescent="0.25">
      <c r="C61" s="126"/>
      <c r="D61" s="126"/>
      <c r="E61" s="127" t="s">
        <v>95</v>
      </c>
      <c r="F61" s="127"/>
      <c r="G61" s="127"/>
      <c r="H61" s="127"/>
      <c r="I61" s="127"/>
      <c r="J61" s="127"/>
      <c r="K61" s="127"/>
      <c r="L61" s="126"/>
      <c r="M61" s="126"/>
    </row>
    <row r="62" spans="3:13" ht="15" customHeight="1" x14ac:dyDescent="0.2">
      <c r="C62" s="4" t="s">
        <v>96</v>
      </c>
      <c r="D62" s="4"/>
      <c r="E62" s="4"/>
      <c r="F62" s="4"/>
      <c r="G62" s="4"/>
      <c r="H62" s="5"/>
      <c r="I62" s="6" t="str">
        <f>I2</f>
        <v>año 2021</v>
      </c>
      <c r="J62" s="6"/>
      <c r="K62" s="6"/>
      <c r="L62" s="6"/>
      <c r="M62" s="6"/>
    </row>
    <row r="63" spans="3:13" ht="16.5" customHeight="1" thickBot="1" x14ac:dyDescent="0.25">
      <c r="C63" s="7"/>
      <c r="D63" s="7"/>
      <c r="E63" s="7"/>
      <c r="F63" s="7"/>
      <c r="G63" s="7"/>
      <c r="H63" s="8"/>
      <c r="I63" s="9"/>
      <c r="J63" s="9"/>
      <c r="K63" s="9"/>
      <c r="L63" s="9"/>
      <c r="M63" s="9"/>
    </row>
    <row r="64" spans="3:13" ht="81.75" customHeight="1" x14ac:dyDescent="0.2">
      <c r="C64" s="18" t="str">
        <f t="shared" ref="C64:G64" si="0">C5</f>
        <v>Ámbito</v>
      </c>
      <c r="D64" s="19">
        <f t="shared" si="0"/>
        <v>0</v>
      </c>
      <c r="E64" s="20" t="str">
        <f t="shared" si="0"/>
        <v>Variable</v>
      </c>
      <c r="F64" s="20" t="str">
        <f t="shared" si="0"/>
        <v>Valor absoluto
mensual</v>
      </c>
      <c r="G64" s="20" t="str">
        <f t="shared" si="0"/>
        <v>Variación respecto al período anterior</v>
      </c>
      <c r="H64" s="22"/>
      <c r="I64" s="20" t="str">
        <f>I5</f>
        <v>Ámbito</v>
      </c>
      <c r="J64" s="20" t="str">
        <f t="shared" ref="J64:M64" si="1">J5</f>
        <v>Variable</v>
      </c>
      <c r="K64" s="20" t="str">
        <f t="shared" si="1"/>
        <v>Valor absoluto
acumulado</v>
      </c>
      <c r="L64" s="20" t="str">
        <f t="shared" si="1"/>
        <v>Variación respecto al período anterior</v>
      </c>
      <c r="M64" s="21" t="str">
        <f t="shared" si="1"/>
        <v>Fuente</v>
      </c>
    </row>
    <row r="65" spans="3:13" ht="5.25" customHeight="1" thickBot="1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3:13" ht="20.100000000000001" customHeight="1" thickBot="1" x14ac:dyDescent="0.25">
      <c r="C66" s="25" t="s">
        <v>18</v>
      </c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3:13" ht="5.25" customHeight="1" thickBot="1" x14ac:dyDescent="0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95"/>
    </row>
    <row r="68" spans="3:13" ht="24.75" customHeight="1" x14ac:dyDescent="0.2">
      <c r="C68" s="36" t="s">
        <v>7</v>
      </c>
      <c r="D68" s="96"/>
      <c r="E68" s="37" t="s">
        <v>8</v>
      </c>
      <c r="F68" s="128">
        <v>0.53200679904799719</v>
      </c>
      <c r="G68" s="59">
        <v>2.4626597644740351</v>
      </c>
      <c r="H68" s="35"/>
      <c r="I68" s="36" t="s">
        <v>7</v>
      </c>
      <c r="J68" s="37" t="s">
        <v>8</v>
      </c>
      <c r="K68" s="128">
        <v>0.47435705168748021</v>
      </c>
      <c r="L68" s="39">
        <v>0.33143481457276724</v>
      </c>
      <c r="M68" s="40" t="s">
        <v>9</v>
      </c>
    </row>
    <row r="69" spans="3:13" ht="24.75" customHeight="1" x14ac:dyDescent="0.2">
      <c r="C69" s="41"/>
      <c r="D69" s="42"/>
      <c r="E69" s="43" t="s">
        <v>10</v>
      </c>
      <c r="F69" s="129">
        <v>0.54846941568576724</v>
      </c>
      <c r="G69" s="45">
        <v>2.1482977899296416</v>
      </c>
      <c r="H69" s="46"/>
      <c r="I69" s="41"/>
      <c r="J69" s="43" t="s">
        <v>10</v>
      </c>
      <c r="K69" s="129">
        <v>0.55019811865719259</v>
      </c>
      <c r="L69" s="47">
        <v>0.4185233863965776</v>
      </c>
      <c r="M69" s="40"/>
    </row>
    <row r="70" spans="3:13" ht="24.75" customHeight="1" thickBot="1" x14ac:dyDescent="0.25">
      <c r="C70" s="51"/>
      <c r="D70" s="97"/>
      <c r="E70" s="52" t="s">
        <v>11</v>
      </c>
      <c r="F70" s="130">
        <v>0.49378414155812611</v>
      </c>
      <c r="G70" s="69">
        <v>2.9857582435394789</v>
      </c>
      <c r="H70" s="46"/>
      <c r="I70" s="51"/>
      <c r="J70" s="52" t="s">
        <v>11</v>
      </c>
      <c r="K70" s="130">
        <v>0.33183630572704387</v>
      </c>
      <c r="L70" s="54">
        <v>7.1633035616509355E-2</v>
      </c>
      <c r="M70" s="40"/>
    </row>
    <row r="71" spans="3:13" ht="24.75" hidden="1" customHeight="1" x14ac:dyDescent="0.2">
      <c r="C71" s="55" t="s">
        <v>12</v>
      </c>
      <c r="D71" s="56"/>
      <c r="E71" s="57" t="s">
        <v>8</v>
      </c>
      <c r="F71" s="131">
        <v>0.55926623403015807</v>
      </c>
      <c r="G71" s="59">
        <v>1.3673841088980248</v>
      </c>
      <c r="H71" s="60"/>
      <c r="I71" s="55" t="s">
        <v>12</v>
      </c>
      <c r="J71" s="57" t="s">
        <v>8</v>
      </c>
      <c r="K71" s="131">
        <v>0.47500293686123268</v>
      </c>
      <c r="L71" s="39">
        <v>0.59915003873408068</v>
      </c>
      <c r="M71" s="40"/>
    </row>
    <row r="72" spans="3:13" ht="43.5" customHeight="1" thickBot="1" x14ac:dyDescent="0.25">
      <c r="C72" s="61"/>
      <c r="D72" s="62"/>
      <c r="E72" s="63" t="s">
        <v>10</v>
      </c>
      <c r="F72" s="132">
        <v>0.56115166591900822</v>
      </c>
      <c r="G72" s="45">
        <v>1.3753651762689412</v>
      </c>
      <c r="H72" s="60"/>
      <c r="I72" s="61"/>
      <c r="J72" s="63" t="s">
        <v>10</v>
      </c>
      <c r="K72" s="132">
        <v>0.47646058922487172</v>
      </c>
      <c r="L72" s="47">
        <v>0.19658704962477702</v>
      </c>
      <c r="M72" s="40"/>
    </row>
    <row r="73" spans="3:13" ht="24.75" hidden="1" customHeight="1" x14ac:dyDescent="0.2">
      <c r="C73" s="65"/>
      <c r="D73" s="66"/>
      <c r="E73" s="67" t="s">
        <v>11</v>
      </c>
      <c r="F73" s="133">
        <v>0</v>
      </c>
      <c r="G73" s="69" t="s">
        <v>38</v>
      </c>
      <c r="H73" s="60"/>
      <c r="I73" s="65"/>
      <c r="J73" s="67" t="s">
        <v>11</v>
      </c>
      <c r="K73" s="133">
        <v>0</v>
      </c>
      <c r="L73" s="54" t="s">
        <v>38</v>
      </c>
      <c r="M73" s="40"/>
    </row>
    <row r="74" spans="3:13" ht="24.75" customHeight="1" x14ac:dyDescent="0.2">
      <c r="C74" s="70" t="s">
        <v>13</v>
      </c>
      <c r="D74" s="71"/>
      <c r="E74" s="72" t="s">
        <v>8</v>
      </c>
      <c r="F74" s="134">
        <v>0.48293027084231566</v>
      </c>
      <c r="G74" s="59">
        <v>1.785165199768644</v>
      </c>
      <c r="H74" s="60"/>
      <c r="I74" s="70" t="s">
        <v>13</v>
      </c>
      <c r="J74" s="72" t="s">
        <v>8</v>
      </c>
      <c r="K74" s="134">
        <v>0.34826103763749461</v>
      </c>
      <c r="L74" s="39">
        <v>0.60757001372645414</v>
      </c>
      <c r="M74" s="40"/>
    </row>
    <row r="75" spans="3:13" ht="24.75" customHeight="1" x14ac:dyDescent="0.2">
      <c r="C75" s="74"/>
      <c r="D75" s="75"/>
      <c r="E75" s="76" t="s">
        <v>10</v>
      </c>
      <c r="F75" s="135">
        <v>0.5507612903225807</v>
      </c>
      <c r="G75" s="45">
        <v>2.166336041939712</v>
      </c>
      <c r="H75" s="60"/>
      <c r="I75" s="74"/>
      <c r="J75" s="76" t="s">
        <v>10</v>
      </c>
      <c r="K75" s="135">
        <v>0.39365918097754293</v>
      </c>
      <c r="L75" s="47">
        <v>0.14709141778968005</v>
      </c>
      <c r="M75" s="40"/>
    </row>
    <row r="76" spans="3:13" ht="24.75" customHeight="1" thickBot="1" x14ac:dyDescent="0.25">
      <c r="C76" s="78"/>
      <c r="D76" s="79"/>
      <c r="E76" s="80" t="s">
        <v>11</v>
      </c>
      <c r="F76" s="136">
        <v>0.26881720430107525</v>
      </c>
      <c r="G76" s="69">
        <v>0.62499999999999978</v>
      </c>
      <c r="H76" s="60"/>
      <c r="I76" s="78"/>
      <c r="J76" s="80" t="s">
        <v>11</v>
      </c>
      <c r="K76" s="136">
        <v>0.15483844463159624</v>
      </c>
      <c r="L76" s="54">
        <v>0.41237358291725434</v>
      </c>
      <c r="M76" s="40"/>
    </row>
    <row r="77" spans="3:13" ht="24.75" customHeight="1" x14ac:dyDescent="0.2">
      <c r="C77" s="55" t="s">
        <v>14</v>
      </c>
      <c r="D77" s="56"/>
      <c r="E77" s="57" t="s">
        <v>8</v>
      </c>
      <c r="F77" s="131">
        <v>0.49907598078040022</v>
      </c>
      <c r="G77" s="59">
        <v>2.5553403289181769</v>
      </c>
      <c r="H77" s="60"/>
      <c r="I77" s="55" t="s">
        <v>14</v>
      </c>
      <c r="J77" s="57" t="s">
        <v>8</v>
      </c>
      <c r="K77" s="131">
        <v>0.4674133137571041</v>
      </c>
      <c r="L77" s="39">
        <v>0.25732827186711527</v>
      </c>
      <c r="M77" s="40"/>
    </row>
    <row r="78" spans="3:13" ht="24.75" customHeight="1" x14ac:dyDescent="0.2">
      <c r="C78" s="61"/>
      <c r="D78" s="62"/>
      <c r="E78" s="63" t="s">
        <v>10</v>
      </c>
      <c r="F78" s="132">
        <v>0.50677372671677323</v>
      </c>
      <c r="G78" s="45">
        <v>2.592570627985443</v>
      </c>
      <c r="H78" s="60"/>
      <c r="I78" s="61"/>
      <c r="J78" s="63" t="s">
        <v>10</v>
      </c>
      <c r="K78" s="132">
        <v>0.51819841880175321</v>
      </c>
      <c r="L78" s="47">
        <v>0.36135162147193034</v>
      </c>
      <c r="M78" s="40"/>
    </row>
    <row r="79" spans="3:13" ht="24.75" customHeight="1" thickBot="1" x14ac:dyDescent="0.25">
      <c r="C79" s="65"/>
      <c r="D79" s="66"/>
      <c r="E79" s="67" t="s">
        <v>11</v>
      </c>
      <c r="F79" s="133">
        <v>0.47829402163981122</v>
      </c>
      <c r="G79" s="69">
        <v>2.4264611608048345</v>
      </c>
      <c r="H79" s="60"/>
      <c r="I79" s="65"/>
      <c r="J79" s="67" t="s">
        <v>11</v>
      </c>
      <c r="K79" s="133">
        <v>0.35757216480714932</v>
      </c>
      <c r="L79" s="54">
        <v>5.070193336282891E-3</v>
      </c>
      <c r="M79" s="40"/>
    </row>
    <row r="80" spans="3:13" ht="24.75" customHeight="1" x14ac:dyDescent="0.2">
      <c r="C80" s="82" t="s">
        <v>15</v>
      </c>
      <c r="D80" s="83"/>
      <c r="E80" s="84" t="s">
        <v>8</v>
      </c>
      <c r="F80" s="137">
        <v>0.53854301708690688</v>
      </c>
      <c r="G80" s="59">
        <v>2.5245705293431104</v>
      </c>
      <c r="H80" s="60"/>
      <c r="I80" s="82" t="s">
        <v>15</v>
      </c>
      <c r="J80" s="84" t="s">
        <v>8</v>
      </c>
      <c r="K80" s="137">
        <v>0.47721805019545599</v>
      </c>
      <c r="L80" s="39">
        <v>0.33889812722870905</v>
      </c>
      <c r="M80" s="40"/>
    </row>
    <row r="81" spans="3:13" ht="24.75" customHeight="1" x14ac:dyDescent="0.2">
      <c r="C81" s="86"/>
      <c r="D81" s="87"/>
      <c r="E81" s="88" t="s">
        <v>10</v>
      </c>
      <c r="F81" s="138">
        <v>0.55715263482941246</v>
      </c>
      <c r="G81" s="45">
        <v>2.1667350778435903</v>
      </c>
      <c r="H81" s="60"/>
      <c r="I81" s="86"/>
      <c r="J81" s="88" t="s">
        <v>10</v>
      </c>
      <c r="K81" s="138">
        <v>0.56383466712282315</v>
      </c>
      <c r="L81" s="47">
        <v>0.44689645298581926</v>
      </c>
      <c r="M81" s="40"/>
    </row>
    <row r="82" spans="3:13" ht="24.75" customHeight="1" thickBot="1" x14ac:dyDescent="0.25">
      <c r="C82" s="90"/>
      <c r="D82" s="91"/>
      <c r="E82" s="92" t="s">
        <v>11</v>
      </c>
      <c r="F82" s="139">
        <v>0.49820020578631891</v>
      </c>
      <c r="G82" s="69">
        <v>3.132875610125768</v>
      </c>
      <c r="H82" s="60"/>
      <c r="I82" s="90"/>
      <c r="J82" s="92" t="s">
        <v>11</v>
      </c>
      <c r="K82" s="139">
        <v>0.3284096931918839</v>
      </c>
      <c r="L82" s="54">
        <v>5.9945225405792613E-2</v>
      </c>
      <c r="M82" s="40"/>
    </row>
    <row r="83" spans="3:13" ht="5.25" customHeight="1" thickBot="1" x14ac:dyDescent="0.2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3:13" ht="20.100000000000001" customHeight="1" thickBot="1" x14ac:dyDescent="0.25">
      <c r="C84" s="25" t="s">
        <v>19</v>
      </c>
      <c r="D84" s="26"/>
      <c r="E84" s="26"/>
      <c r="F84" s="26"/>
      <c r="G84" s="26"/>
      <c r="H84" s="26"/>
      <c r="I84" s="26"/>
      <c r="J84" s="26"/>
      <c r="K84" s="26"/>
      <c r="L84" s="26"/>
      <c r="M84" s="27"/>
    </row>
    <row r="85" spans="3:13" ht="5.25" customHeight="1" thickBot="1" x14ac:dyDescent="0.25">
      <c r="C85" s="140"/>
      <c r="D85" s="28"/>
      <c r="E85" s="28"/>
      <c r="F85" s="28"/>
      <c r="G85" s="28"/>
      <c r="H85" s="28"/>
      <c r="I85" s="28"/>
      <c r="J85" s="28"/>
      <c r="K85" s="28"/>
      <c r="L85" s="28"/>
      <c r="M85" s="95"/>
    </row>
    <row r="86" spans="3:13" ht="33.75" customHeight="1" x14ac:dyDescent="0.2">
      <c r="C86" s="55" t="s">
        <v>7</v>
      </c>
      <c r="D86" s="56"/>
      <c r="E86" s="57" t="s">
        <v>20</v>
      </c>
      <c r="F86" s="58">
        <v>45702</v>
      </c>
      <c r="G86" s="59">
        <v>3.4920385295852174</v>
      </c>
      <c r="H86" s="141"/>
      <c r="I86" s="55" t="s">
        <v>7</v>
      </c>
      <c r="J86" s="57" t="s">
        <v>20</v>
      </c>
      <c r="K86" s="58">
        <v>488857</v>
      </c>
      <c r="L86" s="39">
        <v>0.80275618426681228</v>
      </c>
      <c r="M86" s="40" t="s">
        <v>9</v>
      </c>
    </row>
    <row r="87" spans="3:13" ht="33.75" customHeight="1" x14ac:dyDescent="0.2">
      <c r="C87" s="61"/>
      <c r="D87" s="62"/>
      <c r="E87" s="88" t="s">
        <v>21</v>
      </c>
      <c r="F87" s="89">
        <v>111321</v>
      </c>
      <c r="G87" s="45">
        <v>6.156605593056895</v>
      </c>
      <c r="H87" s="60"/>
      <c r="I87" s="61"/>
      <c r="J87" s="88" t="s">
        <v>21</v>
      </c>
      <c r="K87" s="89">
        <v>1000573</v>
      </c>
      <c r="L87" s="47">
        <v>0.36651097362778429</v>
      </c>
      <c r="M87" s="40"/>
    </row>
    <row r="88" spans="3:13" ht="33.75" customHeight="1" x14ac:dyDescent="0.2">
      <c r="C88" s="61"/>
      <c r="D88" s="62"/>
      <c r="E88" s="63" t="s">
        <v>22</v>
      </c>
      <c r="F88" s="64">
        <v>29348</v>
      </c>
      <c r="G88" s="45">
        <v>1.9946938775510206</v>
      </c>
      <c r="H88" s="60"/>
      <c r="I88" s="61"/>
      <c r="J88" s="63" t="s">
        <v>22</v>
      </c>
      <c r="K88" s="64">
        <v>284389</v>
      </c>
      <c r="L88" s="47">
        <v>0.35559538393338075</v>
      </c>
      <c r="M88" s="40"/>
    </row>
    <row r="89" spans="3:13" ht="33.75" customHeight="1" x14ac:dyDescent="0.2">
      <c r="C89" s="61"/>
      <c r="D89" s="62"/>
      <c r="E89" s="88" t="s">
        <v>23</v>
      </c>
      <c r="F89" s="89">
        <v>6525</v>
      </c>
      <c r="G89" s="45">
        <v>1.948486217803886</v>
      </c>
      <c r="H89" s="60"/>
      <c r="I89" s="61"/>
      <c r="J89" s="88" t="s">
        <v>23</v>
      </c>
      <c r="K89" s="89">
        <v>46255</v>
      </c>
      <c r="L89" s="47">
        <v>-0.18254276827371696</v>
      </c>
      <c r="M89" s="40"/>
    </row>
    <row r="90" spans="3:13" ht="33.75" customHeight="1" thickBot="1" x14ac:dyDescent="0.25">
      <c r="C90" s="65"/>
      <c r="D90" s="66"/>
      <c r="E90" s="67" t="s">
        <v>24</v>
      </c>
      <c r="F90" s="68">
        <v>1866</v>
      </c>
      <c r="G90" s="69">
        <v>-6.1368209255533213E-2</v>
      </c>
      <c r="H90" s="142"/>
      <c r="I90" s="65"/>
      <c r="J90" s="67" t="s">
        <v>24</v>
      </c>
      <c r="K90" s="68">
        <v>20568</v>
      </c>
      <c r="L90" s="54">
        <v>0.1067585019371502</v>
      </c>
      <c r="M90" s="40"/>
    </row>
    <row r="91" spans="3:13" ht="5.25" customHeight="1" thickBot="1" x14ac:dyDescent="0.2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3:13" ht="20.100000000000001" customHeight="1" thickBot="1" x14ac:dyDescent="0.25">
      <c r="C92" s="25" t="s">
        <v>25</v>
      </c>
      <c r="D92" s="26"/>
      <c r="E92" s="26"/>
      <c r="F92" s="26"/>
      <c r="G92" s="26"/>
      <c r="H92" s="26"/>
      <c r="I92" s="26"/>
      <c r="J92" s="26"/>
      <c r="K92" s="26"/>
      <c r="L92" s="26"/>
      <c r="M92" s="27"/>
    </row>
    <row r="93" spans="3:13" ht="5.25" customHeight="1" thickBot="1" x14ac:dyDescent="0.25">
      <c r="C93" s="140"/>
      <c r="D93" s="28"/>
      <c r="E93" s="28"/>
      <c r="F93" s="28"/>
      <c r="G93" s="28"/>
      <c r="H93" s="28"/>
      <c r="I93" s="28"/>
      <c r="J93" s="28"/>
      <c r="K93" s="28"/>
      <c r="L93" s="28"/>
      <c r="M93" s="95"/>
    </row>
    <row r="94" spans="3:13" s="143" customFormat="1" ht="33.75" customHeight="1" x14ac:dyDescent="0.2">
      <c r="C94" s="55" t="s">
        <v>7</v>
      </c>
      <c r="D94" s="56"/>
      <c r="E94" s="57" t="s">
        <v>20</v>
      </c>
      <c r="F94" s="58">
        <v>313526</v>
      </c>
      <c r="G94" s="59">
        <v>3.4151751137147768</v>
      </c>
      <c r="H94" s="141"/>
      <c r="I94" s="55" t="s">
        <v>7</v>
      </c>
      <c r="J94" s="57" t="s">
        <v>20</v>
      </c>
      <c r="K94" s="58">
        <v>2761949</v>
      </c>
      <c r="L94" s="39">
        <v>0.73253103495863048</v>
      </c>
      <c r="M94" s="40" t="s">
        <v>9</v>
      </c>
    </row>
    <row r="95" spans="3:13" s="143" customFormat="1" ht="33.75" customHeight="1" x14ac:dyDescent="0.2">
      <c r="C95" s="61"/>
      <c r="D95" s="62"/>
      <c r="E95" s="88" t="s">
        <v>21</v>
      </c>
      <c r="F95" s="89">
        <v>794179</v>
      </c>
      <c r="G95" s="45">
        <v>11.472970850609373</v>
      </c>
      <c r="H95" s="60"/>
      <c r="I95" s="61"/>
      <c r="J95" s="88" t="s">
        <v>21</v>
      </c>
      <c r="K95" s="89">
        <v>5643749</v>
      </c>
      <c r="L95" s="47">
        <v>0.21343128650507226</v>
      </c>
      <c r="M95" s="40" t="s">
        <v>26</v>
      </c>
    </row>
    <row r="96" spans="3:13" s="143" customFormat="1" ht="33.75" customHeight="1" x14ac:dyDescent="0.2">
      <c r="C96" s="61"/>
      <c r="D96" s="62"/>
      <c r="E96" s="63" t="s">
        <v>22</v>
      </c>
      <c r="F96" s="64">
        <v>206836</v>
      </c>
      <c r="G96" s="45">
        <v>7.3742661646220498</v>
      </c>
      <c r="H96" s="60"/>
      <c r="I96" s="61"/>
      <c r="J96" s="63" t="s">
        <v>22</v>
      </c>
      <c r="K96" s="64">
        <v>1410657</v>
      </c>
      <c r="L96" s="47">
        <v>0.11368331966219802</v>
      </c>
      <c r="M96" s="40" t="s">
        <v>26</v>
      </c>
    </row>
    <row r="97" spans="3:15" s="143" customFormat="1" ht="33.75" customHeight="1" x14ac:dyDescent="0.2">
      <c r="C97" s="61"/>
      <c r="D97" s="62"/>
      <c r="E97" s="88" t="s">
        <v>23</v>
      </c>
      <c r="F97" s="89">
        <v>31692</v>
      </c>
      <c r="G97" s="45">
        <v>6.9309309309309306</v>
      </c>
      <c r="H97" s="60"/>
      <c r="I97" s="61"/>
      <c r="J97" s="88" t="s">
        <v>23</v>
      </c>
      <c r="K97" s="89">
        <v>173909</v>
      </c>
      <c r="L97" s="47">
        <v>-8.5435565722699947E-2</v>
      </c>
      <c r="M97" s="40" t="s">
        <v>26</v>
      </c>
    </row>
    <row r="98" spans="3:15" s="143" customFormat="1" ht="33.75" customHeight="1" thickBot="1" x14ac:dyDescent="0.25">
      <c r="C98" s="65"/>
      <c r="D98" s="66"/>
      <c r="E98" s="67" t="s">
        <v>24</v>
      </c>
      <c r="F98" s="68">
        <v>6303</v>
      </c>
      <c r="G98" s="69">
        <v>4.4621513944222979E-3</v>
      </c>
      <c r="H98" s="142"/>
      <c r="I98" s="65"/>
      <c r="J98" s="67" t="s">
        <v>24</v>
      </c>
      <c r="K98" s="68">
        <v>57196</v>
      </c>
      <c r="L98" s="54">
        <v>-0.24120089682529156</v>
      </c>
      <c r="M98" s="40" t="s">
        <v>26</v>
      </c>
    </row>
    <row r="99" spans="3:15" ht="5.25" customHeight="1" thickBot="1" x14ac:dyDescent="0.2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3:15" ht="20.100000000000001" customHeight="1" thickBot="1" x14ac:dyDescent="0.25">
      <c r="C100" s="25" t="s">
        <v>27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7"/>
    </row>
    <row r="101" spans="3:15" ht="5.25" customHeight="1" thickBot="1" x14ac:dyDescent="0.25">
      <c r="C101" s="140"/>
      <c r="D101" s="28"/>
      <c r="E101" s="28"/>
      <c r="F101" s="28"/>
      <c r="G101" s="28"/>
      <c r="H101" s="28"/>
      <c r="I101" s="28"/>
      <c r="J101" s="28"/>
      <c r="K101" s="28"/>
      <c r="L101" s="28"/>
      <c r="M101" s="95"/>
    </row>
    <row r="102" spans="3:15" ht="33.75" customHeight="1" x14ac:dyDescent="0.2">
      <c r="C102" s="55" t="s">
        <v>7</v>
      </c>
      <c r="D102" s="56"/>
      <c r="E102" s="57" t="s">
        <v>20</v>
      </c>
      <c r="F102" s="144">
        <v>6.8602249354514022</v>
      </c>
      <c r="G102" s="99">
        <v>-0.1194290845997088</v>
      </c>
      <c r="H102" s="141"/>
      <c r="I102" s="55" t="s">
        <v>7</v>
      </c>
      <c r="J102" s="57" t="s">
        <v>20</v>
      </c>
      <c r="K102" s="144">
        <v>5.6498096580390582</v>
      </c>
      <c r="L102" s="100">
        <v>-0.22900526385553288</v>
      </c>
      <c r="M102" s="40" t="s">
        <v>9</v>
      </c>
    </row>
    <row r="103" spans="3:15" ht="33.75" customHeight="1" x14ac:dyDescent="0.2">
      <c r="C103" s="61"/>
      <c r="D103" s="62"/>
      <c r="E103" s="76" t="s">
        <v>21</v>
      </c>
      <c r="F103" s="145">
        <v>7.1341346197033806</v>
      </c>
      <c r="G103" s="102">
        <v>3.04078842876799</v>
      </c>
      <c r="H103" s="60"/>
      <c r="I103" s="61"/>
      <c r="J103" s="76" t="s">
        <v>21</v>
      </c>
      <c r="K103" s="145">
        <v>5.6405169837683005</v>
      </c>
      <c r="L103" s="103">
        <v>-0.71157599502193758</v>
      </c>
      <c r="M103" s="40" t="s">
        <v>26</v>
      </c>
    </row>
    <row r="104" spans="3:15" ht="33.75" customHeight="1" x14ac:dyDescent="0.2">
      <c r="C104" s="61"/>
      <c r="D104" s="62"/>
      <c r="E104" s="63" t="s">
        <v>22</v>
      </c>
      <c r="F104" s="146">
        <v>7.0477034210167639</v>
      </c>
      <c r="G104" s="102">
        <v>4.5273972985677844</v>
      </c>
      <c r="H104" s="60"/>
      <c r="I104" s="61"/>
      <c r="J104" s="63" t="s">
        <v>22</v>
      </c>
      <c r="K104" s="146">
        <v>4.9603078881391331</v>
      </c>
      <c r="L104" s="103">
        <v>-1.0774681630360954</v>
      </c>
      <c r="M104" s="40" t="s">
        <v>26</v>
      </c>
      <c r="O104" s="147"/>
    </row>
    <row r="105" spans="3:15" ht="33.75" customHeight="1" x14ac:dyDescent="0.2">
      <c r="C105" s="61"/>
      <c r="D105" s="62"/>
      <c r="E105" s="76" t="s">
        <v>23</v>
      </c>
      <c r="F105" s="145">
        <v>4.8570114942528733</v>
      </c>
      <c r="G105" s="102">
        <v>3.0513178656943554</v>
      </c>
      <c r="H105" s="60"/>
      <c r="I105" s="61"/>
      <c r="J105" s="76" t="s">
        <v>23</v>
      </c>
      <c r="K105" s="145">
        <v>3.7597881310128636</v>
      </c>
      <c r="L105" s="103">
        <v>0.39920916876205048</v>
      </c>
      <c r="M105" s="40" t="s">
        <v>26</v>
      </c>
    </row>
    <row r="106" spans="3:15" ht="33.75" customHeight="1" thickBot="1" x14ac:dyDescent="0.25">
      <c r="C106" s="65"/>
      <c r="D106" s="66"/>
      <c r="E106" s="67" t="s">
        <v>24</v>
      </c>
      <c r="F106" s="148">
        <v>3.377813504823151</v>
      </c>
      <c r="G106" s="105">
        <v>0.22137487303240633</v>
      </c>
      <c r="H106" s="142"/>
      <c r="I106" s="65"/>
      <c r="J106" s="67" t="s">
        <v>24</v>
      </c>
      <c r="K106" s="148">
        <v>2.7808245818747568</v>
      </c>
      <c r="L106" s="106">
        <v>-1.2751913458049677</v>
      </c>
      <c r="M106" s="40" t="s">
        <v>26</v>
      </c>
    </row>
    <row r="107" spans="3:15" ht="5.25" customHeight="1" thickBot="1" x14ac:dyDescent="0.2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3:15" ht="20.100000000000001" customHeight="1" thickBot="1" x14ac:dyDescent="0.25">
      <c r="C108" s="25" t="s">
        <v>28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7"/>
    </row>
    <row r="109" spans="3:15" ht="5.25" customHeight="1" thickBot="1" x14ac:dyDescent="0.2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149"/>
    </row>
    <row r="110" spans="3:15" ht="33.75" customHeight="1" x14ac:dyDescent="0.2">
      <c r="C110" s="55" t="s">
        <v>7</v>
      </c>
      <c r="D110" s="56"/>
      <c r="E110" s="57" t="s">
        <v>20</v>
      </c>
      <c r="F110" s="131">
        <v>0.57835774778314586</v>
      </c>
      <c r="G110" s="59">
        <v>1.3028999949786972</v>
      </c>
      <c r="H110" s="141"/>
      <c r="I110" s="55" t="s">
        <v>7</v>
      </c>
      <c r="J110" s="57" t="s">
        <v>20</v>
      </c>
      <c r="K110" s="131">
        <v>0.58230637217696368</v>
      </c>
      <c r="L110" s="39">
        <v>0.42237126251495694</v>
      </c>
      <c r="M110" s="40" t="s">
        <v>9</v>
      </c>
    </row>
    <row r="111" spans="3:15" ht="33.75" customHeight="1" x14ac:dyDescent="0.2">
      <c r="C111" s="61"/>
      <c r="D111" s="62"/>
      <c r="E111" s="76" t="s">
        <v>21</v>
      </c>
      <c r="F111" s="135">
        <v>0.54157528791127263</v>
      </c>
      <c r="G111" s="45">
        <v>2.868930773105685</v>
      </c>
      <c r="H111" s="60"/>
      <c r="I111" s="61"/>
      <c r="J111" s="76" t="s">
        <v>21</v>
      </c>
      <c r="K111" s="135">
        <v>0.56851820381760232</v>
      </c>
      <c r="L111" s="47">
        <v>0.42584652424999714</v>
      </c>
      <c r="M111" s="40" t="s">
        <v>26</v>
      </c>
    </row>
    <row r="112" spans="3:15" ht="33.75" customHeight="1" x14ac:dyDescent="0.2">
      <c r="C112" s="61"/>
      <c r="D112" s="62"/>
      <c r="E112" s="63" t="s">
        <v>22</v>
      </c>
      <c r="F112" s="132">
        <v>0.52924002794146618</v>
      </c>
      <c r="G112" s="45">
        <v>3.461802635660054</v>
      </c>
      <c r="H112" s="60"/>
      <c r="I112" s="61"/>
      <c r="J112" s="63" t="s">
        <v>22</v>
      </c>
      <c r="K112" s="132">
        <v>0.45894665814703139</v>
      </c>
      <c r="L112" s="47">
        <v>0.34397677930022708</v>
      </c>
      <c r="M112" s="40" t="s">
        <v>26</v>
      </c>
    </row>
    <row r="113" spans="3:13" ht="33.75" customHeight="1" x14ac:dyDescent="0.2">
      <c r="C113" s="61"/>
      <c r="D113" s="62"/>
      <c r="E113" s="76" t="s">
        <v>23</v>
      </c>
      <c r="F113" s="135">
        <v>0.551414552667293</v>
      </c>
      <c r="G113" s="45">
        <v>1.1773699265608646</v>
      </c>
      <c r="H113" s="60"/>
      <c r="I113" s="61"/>
      <c r="J113" s="76" t="s">
        <v>23</v>
      </c>
      <c r="K113" s="135">
        <v>0.42551437107141371</v>
      </c>
      <c r="L113" s="47">
        <v>0.3257752747558369</v>
      </c>
      <c r="M113" s="40" t="s">
        <v>26</v>
      </c>
    </row>
    <row r="114" spans="3:13" ht="33.75" customHeight="1" thickBot="1" x14ac:dyDescent="0.25">
      <c r="C114" s="65"/>
      <c r="D114" s="66"/>
      <c r="E114" s="67" t="s">
        <v>24</v>
      </c>
      <c r="F114" s="133">
        <v>0.68458781362007171</v>
      </c>
      <c r="G114" s="69">
        <v>0.33251881363435154</v>
      </c>
      <c r="H114" s="142"/>
      <c r="I114" s="65"/>
      <c r="J114" s="67" t="s">
        <v>24</v>
      </c>
      <c r="K114" s="133">
        <v>0.52520132595061664</v>
      </c>
      <c r="L114" s="54">
        <v>0.33192399625970759</v>
      </c>
      <c r="M114" s="40" t="s">
        <v>26</v>
      </c>
    </row>
    <row r="115" spans="3:13" ht="5.25" customHeight="1" thickBot="1" x14ac:dyDescent="0.25">
      <c r="C115" s="150"/>
      <c r="D115" s="150"/>
      <c r="E115" s="151"/>
      <c r="F115" s="94"/>
      <c r="G115" s="152"/>
      <c r="H115" s="153"/>
      <c r="I115" s="94"/>
      <c r="J115" s="152"/>
      <c r="K115" s="151"/>
      <c r="L115" s="150"/>
      <c r="M115" s="154"/>
    </row>
    <row r="116" spans="3:13" ht="17.25" customHeight="1" thickBot="1" x14ac:dyDescent="0.25">
      <c r="C116" s="155"/>
      <c r="D116" s="156"/>
      <c r="E116" s="156"/>
      <c r="F116" s="156"/>
      <c r="G116" s="156"/>
      <c r="H116" s="156"/>
      <c r="I116" s="156"/>
      <c r="J116" s="156"/>
      <c r="K116" s="156"/>
      <c r="L116" s="156"/>
      <c r="M116" s="157"/>
    </row>
    <row r="117" spans="3:13" ht="50.25" customHeight="1" thickBot="1" x14ac:dyDescent="0.25">
      <c r="C117" s="1"/>
      <c r="D117" s="1"/>
      <c r="E117" s="2" t="str">
        <f>$E$1</f>
        <v>INDICADORES TURÍSTICOS DE TENERIFE definitivo</v>
      </c>
      <c r="F117" s="2"/>
      <c r="G117" s="2"/>
      <c r="H117" s="2"/>
      <c r="I117" s="2"/>
      <c r="J117" s="2"/>
      <c r="K117" s="2"/>
      <c r="L117" s="1"/>
      <c r="M117" s="1"/>
    </row>
    <row r="118" spans="3:13" ht="9" customHeight="1" thickBot="1" x14ac:dyDescent="0.25">
      <c r="C118" s="158"/>
      <c r="D118" s="159"/>
      <c r="E118" s="160"/>
      <c r="F118" s="160"/>
      <c r="G118" s="160"/>
      <c r="H118" s="160"/>
      <c r="I118" s="160"/>
      <c r="J118" s="160"/>
      <c r="K118" s="160"/>
      <c r="L118" s="159"/>
      <c r="M118" s="161"/>
    </row>
    <row r="119" spans="3:13" ht="33" customHeight="1" thickBot="1" x14ac:dyDescent="0.25">
      <c r="C119" s="162" t="s">
        <v>29</v>
      </c>
      <c r="D119" s="163"/>
      <c r="E119" s="163"/>
      <c r="F119" s="163"/>
      <c r="G119" s="163"/>
      <c r="H119" s="163"/>
      <c r="I119" s="163"/>
      <c r="J119" s="163"/>
      <c r="K119" s="163"/>
      <c r="L119" s="163"/>
      <c r="M119" s="164"/>
    </row>
    <row r="120" spans="3:13" ht="20.100000000000001" customHeight="1" x14ac:dyDescent="0.2">
      <c r="C120" s="165"/>
      <c r="D120" s="166"/>
      <c r="E120" s="166"/>
      <c r="F120" s="166"/>
      <c r="G120" s="167" t="str">
        <f>C2</f>
        <v>enero 2022</v>
      </c>
      <c r="H120" s="168"/>
      <c r="I120" s="168"/>
      <c r="J120" s="166"/>
      <c r="K120" s="166"/>
      <c r="L120" s="166"/>
      <c r="M120" s="169"/>
    </row>
    <row r="121" spans="3:13" ht="5.25" customHeight="1" thickBot="1" x14ac:dyDescent="0.25">
      <c r="C121" s="170"/>
      <c r="D121" s="166"/>
      <c r="E121" s="166"/>
      <c r="F121" s="166"/>
      <c r="G121" s="171"/>
      <c r="H121" s="171"/>
      <c r="I121" s="171"/>
      <c r="J121" s="166"/>
      <c r="K121" s="166"/>
      <c r="L121" s="166"/>
      <c r="M121" s="172"/>
    </row>
    <row r="122" spans="3:13" ht="33" customHeight="1" thickTop="1" thickBot="1" x14ac:dyDescent="0.25">
      <c r="C122" s="173"/>
      <c r="D122" s="174" t="s">
        <v>7</v>
      </c>
      <c r="E122" s="175"/>
      <c r="F122" s="174" t="s">
        <v>30</v>
      </c>
      <c r="G122" s="175"/>
      <c r="H122" s="174" t="s">
        <v>31</v>
      </c>
      <c r="I122" s="175"/>
      <c r="J122" s="174" t="s">
        <v>32</v>
      </c>
      <c r="K122" s="175"/>
      <c r="L122" s="174" t="s">
        <v>33</v>
      </c>
      <c r="M122" s="175"/>
    </row>
    <row r="123" spans="3:13" ht="31.5" customHeight="1" thickBot="1" x14ac:dyDescent="0.25">
      <c r="C123" s="176"/>
      <c r="D123" s="177" t="s">
        <v>34</v>
      </c>
      <c r="E123" s="178" t="s">
        <v>35</v>
      </c>
      <c r="F123" s="177" t="s">
        <v>34</v>
      </c>
      <c r="G123" s="178" t="s">
        <v>35</v>
      </c>
      <c r="H123" s="177" t="s">
        <v>34</v>
      </c>
      <c r="I123" s="178" t="s">
        <v>35</v>
      </c>
      <c r="J123" s="177" t="s">
        <v>34</v>
      </c>
      <c r="K123" s="178" t="s">
        <v>35</v>
      </c>
      <c r="L123" s="177" t="s">
        <v>34</v>
      </c>
      <c r="M123" s="178" t="s">
        <v>35</v>
      </c>
    </row>
    <row r="124" spans="3:13" ht="24" customHeight="1" thickBot="1" x14ac:dyDescent="0.25">
      <c r="C124" s="179" t="s">
        <v>36</v>
      </c>
      <c r="D124" s="180">
        <v>44672</v>
      </c>
      <c r="E124" s="181">
        <v>0.62852247457256394</v>
      </c>
      <c r="F124" s="180">
        <v>7414</v>
      </c>
      <c r="G124" s="181">
        <v>0.73955889253871421</v>
      </c>
      <c r="H124" s="180">
        <v>1739</v>
      </c>
      <c r="I124" s="181">
        <v>1.5349854227405246</v>
      </c>
      <c r="J124" s="180">
        <v>14899</v>
      </c>
      <c r="K124" s="181">
        <v>1.1428160506256293</v>
      </c>
      <c r="L124" s="180">
        <v>20620</v>
      </c>
      <c r="M124" s="181">
        <v>0.32775273663876359</v>
      </c>
    </row>
    <row r="125" spans="3:13" ht="27" customHeight="1" thickBot="1" x14ac:dyDescent="0.25">
      <c r="C125" s="182" t="s">
        <v>37</v>
      </c>
      <c r="D125" s="183">
        <v>14378.299641570176</v>
      </c>
      <c r="E125" s="184">
        <v>-8.4070220554731678E-3</v>
      </c>
      <c r="F125" s="183" t="s">
        <v>38</v>
      </c>
      <c r="G125" s="184" t="s">
        <v>38</v>
      </c>
      <c r="H125" s="183" t="s">
        <v>38</v>
      </c>
      <c r="I125" s="184" t="s">
        <v>38</v>
      </c>
      <c r="J125" s="183" t="s">
        <v>38</v>
      </c>
      <c r="K125" s="184" t="s">
        <v>38</v>
      </c>
      <c r="L125" s="183" t="s">
        <v>38</v>
      </c>
      <c r="M125" s="184" t="s">
        <v>38</v>
      </c>
    </row>
    <row r="126" spans="3:13" ht="28.5" customHeight="1" thickBot="1" x14ac:dyDescent="0.25">
      <c r="C126" s="185" t="s">
        <v>39</v>
      </c>
      <c r="D126" s="186">
        <v>5315.8078853221114</v>
      </c>
      <c r="E126" s="187">
        <v>0.63340459060549814</v>
      </c>
      <c r="F126" s="186" t="s">
        <v>38</v>
      </c>
      <c r="G126" s="187" t="s">
        <v>38</v>
      </c>
      <c r="H126" s="186" t="s">
        <v>38</v>
      </c>
      <c r="I126" s="187" t="s">
        <v>38</v>
      </c>
      <c r="J126" s="186" t="s">
        <v>38</v>
      </c>
      <c r="K126" s="187" t="s">
        <v>38</v>
      </c>
      <c r="L126" s="186" t="s">
        <v>38</v>
      </c>
      <c r="M126" s="187" t="s">
        <v>38</v>
      </c>
    </row>
    <row r="127" spans="3:13" ht="27.75" customHeight="1" thickBot="1" x14ac:dyDescent="0.25">
      <c r="C127" s="185" t="s">
        <v>40</v>
      </c>
      <c r="D127" s="186">
        <v>24977.892473107713</v>
      </c>
      <c r="E127" s="187">
        <v>1.581330777012103</v>
      </c>
      <c r="F127" s="186" t="s">
        <v>38</v>
      </c>
      <c r="G127" s="187" t="s">
        <v>38</v>
      </c>
      <c r="H127" s="186" t="s">
        <v>38</v>
      </c>
      <c r="I127" s="187" t="s">
        <v>38</v>
      </c>
      <c r="J127" s="186" t="s">
        <v>38</v>
      </c>
      <c r="K127" s="187" t="s">
        <v>38</v>
      </c>
      <c r="L127" s="186" t="s">
        <v>38</v>
      </c>
      <c r="M127" s="187" t="s">
        <v>38</v>
      </c>
    </row>
    <row r="128" spans="3:13" ht="24" customHeight="1" thickBot="1" x14ac:dyDescent="0.25">
      <c r="C128" s="188" t="s">
        <v>41</v>
      </c>
      <c r="D128" s="189">
        <v>14288</v>
      </c>
      <c r="E128" s="187">
        <v>8.847002067539627</v>
      </c>
      <c r="F128" s="189">
        <v>264</v>
      </c>
      <c r="G128" s="187">
        <v>5.1395348837209305</v>
      </c>
      <c r="H128" s="189">
        <v>160</v>
      </c>
      <c r="I128" s="187">
        <v>31</v>
      </c>
      <c r="J128" s="189">
        <v>933</v>
      </c>
      <c r="K128" s="187">
        <v>27.272727272727273</v>
      </c>
      <c r="L128" s="189">
        <v>12931</v>
      </c>
      <c r="M128" s="187">
        <v>8.4386861313868611</v>
      </c>
    </row>
    <row r="129" spans="3:13" ht="24" customHeight="1" thickBot="1" x14ac:dyDescent="0.25">
      <c r="C129" s="190" t="s">
        <v>42</v>
      </c>
      <c r="D129" s="186">
        <v>12260</v>
      </c>
      <c r="E129" s="187">
        <v>7.9228529839883546</v>
      </c>
      <c r="F129" s="186">
        <v>166</v>
      </c>
      <c r="G129" s="187">
        <v>2.0181818181818181</v>
      </c>
      <c r="H129" s="186">
        <v>97</v>
      </c>
      <c r="I129" s="187">
        <v>3.041666666666667</v>
      </c>
      <c r="J129" s="186">
        <v>722</v>
      </c>
      <c r="K129" s="187">
        <v>8.1392405063291147</v>
      </c>
      <c r="L129" s="186">
        <v>11275</v>
      </c>
      <c r="M129" s="187">
        <v>8.2722039473684212</v>
      </c>
    </row>
    <row r="130" spans="3:13" ht="24" customHeight="1" thickBot="1" x14ac:dyDescent="0.25">
      <c r="C130" s="188" t="s">
        <v>43</v>
      </c>
      <c r="D130" s="189">
        <v>23131</v>
      </c>
      <c r="E130" s="187">
        <v>4.869322506977924</v>
      </c>
      <c r="F130" s="189">
        <v>892</v>
      </c>
      <c r="G130" s="187">
        <v>2.1743772241992882</v>
      </c>
      <c r="H130" s="189">
        <v>399</v>
      </c>
      <c r="I130" s="187">
        <v>3.4831460674157304</v>
      </c>
      <c r="J130" s="189">
        <v>7134</v>
      </c>
      <c r="K130" s="187">
        <v>11.877256317689531</v>
      </c>
      <c r="L130" s="189">
        <v>14706</v>
      </c>
      <c r="M130" s="187">
        <v>3.8743785217103079</v>
      </c>
    </row>
    <row r="131" spans="3:13" ht="24" customHeight="1" thickBot="1" x14ac:dyDescent="0.25">
      <c r="C131" s="190" t="s">
        <v>44</v>
      </c>
      <c r="D131" s="186">
        <v>10380</v>
      </c>
      <c r="E131" s="187">
        <v>1.3939114391143912</v>
      </c>
      <c r="F131" s="186">
        <v>641</v>
      </c>
      <c r="G131" s="187">
        <v>0.99688473520249232</v>
      </c>
      <c r="H131" s="186">
        <v>376</v>
      </c>
      <c r="I131" s="187">
        <v>0.504</v>
      </c>
      <c r="J131" s="186">
        <v>2097</v>
      </c>
      <c r="K131" s="187">
        <v>2.5663265306122449</v>
      </c>
      <c r="L131" s="186">
        <v>7266</v>
      </c>
      <c r="M131" s="187">
        <v>1.2870632672332389</v>
      </c>
    </row>
    <row r="132" spans="3:13" ht="24" customHeight="1" thickBot="1" x14ac:dyDescent="0.25">
      <c r="C132" s="188" t="s">
        <v>45</v>
      </c>
      <c r="D132" s="189">
        <v>70906</v>
      </c>
      <c r="E132" s="187">
        <v>21.346675070910809</v>
      </c>
      <c r="F132" s="189">
        <v>673</v>
      </c>
      <c r="G132" s="187">
        <v>8.6142857142857139</v>
      </c>
      <c r="H132" s="189">
        <v>312</v>
      </c>
      <c r="I132" s="187">
        <v>12</v>
      </c>
      <c r="J132" s="189">
        <v>3327</v>
      </c>
      <c r="K132" s="187">
        <v>17.796610169491526</v>
      </c>
      <c r="L132" s="189">
        <v>66594</v>
      </c>
      <c r="M132" s="187">
        <v>21.947622329427979</v>
      </c>
    </row>
    <row r="133" spans="3:13" ht="24" customHeight="1" thickBot="1" x14ac:dyDescent="0.25">
      <c r="C133" s="190" t="s">
        <v>46</v>
      </c>
      <c r="D133" s="186">
        <v>9894</v>
      </c>
      <c r="E133" s="187">
        <v>9.2528497409326427</v>
      </c>
      <c r="F133" s="186">
        <v>269</v>
      </c>
      <c r="G133" s="187">
        <v>19.692307692307693</v>
      </c>
      <c r="H133" s="186">
        <v>31</v>
      </c>
      <c r="I133" s="187">
        <v>2.1</v>
      </c>
      <c r="J133" s="186">
        <v>395</v>
      </c>
      <c r="K133" s="187">
        <v>10.969696969696969</v>
      </c>
      <c r="L133" s="186">
        <v>9199</v>
      </c>
      <c r="M133" s="187">
        <v>9.1199119911991193</v>
      </c>
    </row>
    <row r="134" spans="3:13" ht="24" customHeight="1" thickBot="1" x14ac:dyDescent="0.25">
      <c r="C134" s="188" t="s">
        <v>47</v>
      </c>
      <c r="D134" s="189">
        <v>9290</v>
      </c>
      <c r="E134" s="187">
        <v>5.6262482168330958</v>
      </c>
      <c r="F134" s="189">
        <v>453</v>
      </c>
      <c r="G134" s="187">
        <v>1.7791411042944785</v>
      </c>
      <c r="H134" s="189">
        <v>124</v>
      </c>
      <c r="I134" s="187">
        <v>2.263157894736842</v>
      </c>
      <c r="J134" s="189">
        <v>1088</v>
      </c>
      <c r="K134" s="187">
        <v>5.1818181818181817</v>
      </c>
      <c r="L134" s="189">
        <v>7625</v>
      </c>
      <c r="M134" s="187">
        <v>6.4390243902439028</v>
      </c>
    </row>
    <row r="135" spans="3:13" ht="24" customHeight="1" thickBot="1" x14ac:dyDescent="0.25">
      <c r="C135" s="190" t="s">
        <v>48</v>
      </c>
      <c r="D135" s="186">
        <v>21305</v>
      </c>
      <c r="E135" s="187">
        <v>24.637785800240675</v>
      </c>
      <c r="F135" s="186">
        <v>754</v>
      </c>
      <c r="G135" s="187">
        <v>17.850000000000001</v>
      </c>
      <c r="H135" s="186">
        <v>144</v>
      </c>
      <c r="I135" s="187">
        <v>8.6</v>
      </c>
      <c r="J135" s="186">
        <v>3614</v>
      </c>
      <c r="K135" s="187">
        <v>27.911999999999999</v>
      </c>
      <c r="L135" s="186">
        <v>16793</v>
      </c>
      <c r="M135" s="187">
        <v>24.795698924731184</v>
      </c>
    </row>
    <row r="136" spans="3:13" ht="24" customHeight="1" thickBot="1" x14ac:dyDescent="0.25">
      <c r="C136" s="191" t="s">
        <v>49</v>
      </c>
      <c r="D136" s="189">
        <v>5972</v>
      </c>
      <c r="E136" s="187">
        <v>10.018450184501845</v>
      </c>
      <c r="F136" s="189">
        <v>265</v>
      </c>
      <c r="G136" s="187">
        <v>7.5483870967741939</v>
      </c>
      <c r="H136" s="189">
        <v>54</v>
      </c>
      <c r="I136" s="187">
        <v>5</v>
      </c>
      <c r="J136" s="189">
        <v>1032</v>
      </c>
      <c r="K136" s="187">
        <v>17.428571428571427</v>
      </c>
      <c r="L136" s="189">
        <v>4621</v>
      </c>
      <c r="M136" s="187">
        <v>9.3609865470852025</v>
      </c>
    </row>
    <row r="137" spans="3:13" ht="24" customHeight="1" thickBot="1" x14ac:dyDescent="0.25">
      <c r="C137" s="185" t="s">
        <v>50</v>
      </c>
      <c r="D137" s="186">
        <v>3365</v>
      </c>
      <c r="E137" s="187">
        <v>92.472222222222229</v>
      </c>
      <c r="F137" s="186">
        <v>160</v>
      </c>
      <c r="G137" s="187" t="e">
        <v>#DIV/0!</v>
      </c>
      <c r="H137" s="186">
        <v>13</v>
      </c>
      <c r="I137" s="187" t="s">
        <v>38</v>
      </c>
      <c r="J137" s="186">
        <v>396</v>
      </c>
      <c r="K137" s="187">
        <v>25.4</v>
      </c>
      <c r="L137" s="186">
        <v>2796</v>
      </c>
      <c r="M137" s="187">
        <v>132.14285714285714</v>
      </c>
    </row>
    <row r="138" spans="3:13" ht="24" customHeight="1" thickBot="1" x14ac:dyDescent="0.25">
      <c r="C138" s="191" t="s">
        <v>51</v>
      </c>
      <c r="D138" s="189">
        <v>6195</v>
      </c>
      <c r="E138" s="187">
        <v>45.578947368421055</v>
      </c>
      <c r="F138" s="189">
        <v>166</v>
      </c>
      <c r="G138" s="187">
        <v>165</v>
      </c>
      <c r="H138" s="189">
        <v>52</v>
      </c>
      <c r="I138" s="187">
        <v>12</v>
      </c>
      <c r="J138" s="189">
        <v>826</v>
      </c>
      <c r="K138" s="187">
        <v>30.76923076923077</v>
      </c>
      <c r="L138" s="189">
        <v>5151</v>
      </c>
      <c r="M138" s="187">
        <v>49.5</v>
      </c>
    </row>
    <row r="139" spans="3:13" ht="24" customHeight="1" thickBot="1" x14ac:dyDescent="0.25">
      <c r="C139" s="185" t="s">
        <v>52</v>
      </c>
      <c r="D139" s="186">
        <v>5773</v>
      </c>
      <c r="E139" s="187">
        <v>47.108333333333334</v>
      </c>
      <c r="F139" s="186">
        <v>163</v>
      </c>
      <c r="G139" s="187">
        <v>19.375</v>
      </c>
      <c r="H139" s="186">
        <v>25</v>
      </c>
      <c r="I139" s="187">
        <v>11.5</v>
      </c>
      <c r="J139" s="186">
        <v>1360</v>
      </c>
      <c r="K139" s="187">
        <v>47.571428571428569</v>
      </c>
      <c r="L139" s="186">
        <v>4225</v>
      </c>
      <c r="M139" s="187">
        <v>50.524390243902438</v>
      </c>
    </row>
    <row r="140" spans="3:13" ht="24" customHeight="1" thickBot="1" x14ac:dyDescent="0.25">
      <c r="C140" s="188" t="s">
        <v>53</v>
      </c>
      <c r="D140" s="189">
        <v>2180</v>
      </c>
      <c r="E140" s="187">
        <v>1.5737898465171192</v>
      </c>
      <c r="F140" s="189">
        <v>120</v>
      </c>
      <c r="G140" s="187">
        <v>2.4285714285714284</v>
      </c>
      <c r="H140" s="189">
        <v>72</v>
      </c>
      <c r="I140" s="187">
        <v>4.1428571428571432</v>
      </c>
      <c r="J140" s="189">
        <v>341</v>
      </c>
      <c r="K140" s="187">
        <v>4.412698412698413</v>
      </c>
      <c r="L140" s="189">
        <v>1647</v>
      </c>
      <c r="M140" s="187">
        <v>1.240816326530612</v>
      </c>
    </row>
    <row r="141" spans="3:13" ht="24" customHeight="1" thickBot="1" x14ac:dyDescent="0.25">
      <c r="C141" s="190" t="s">
        <v>54</v>
      </c>
      <c r="D141" s="186">
        <v>2028</v>
      </c>
      <c r="E141" s="187">
        <v>3.6090909090909093</v>
      </c>
      <c r="F141" s="186">
        <v>106</v>
      </c>
      <c r="G141" s="187">
        <v>7.8333333333333339</v>
      </c>
      <c r="H141" s="186">
        <v>42</v>
      </c>
      <c r="I141" s="187">
        <v>2.8181818181818183</v>
      </c>
      <c r="J141" s="186">
        <v>457</v>
      </c>
      <c r="K141" s="187">
        <v>7.1607142857142865</v>
      </c>
      <c r="L141" s="186">
        <v>1423</v>
      </c>
      <c r="M141" s="187">
        <v>2.9418282548476453</v>
      </c>
    </row>
    <row r="142" spans="3:13" ht="24" customHeight="1" thickBot="1" x14ac:dyDescent="0.25">
      <c r="C142" s="188" t="s">
        <v>55</v>
      </c>
      <c r="D142" s="189">
        <v>1286</v>
      </c>
      <c r="E142" s="187">
        <v>2.121359223300971</v>
      </c>
      <c r="F142" s="189">
        <v>74</v>
      </c>
      <c r="G142" s="187">
        <v>2.2173913043478262</v>
      </c>
      <c r="H142" s="189">
        <v>13</v>
      </c>
      <c r="I142" s="187">
        <v>0.18181818181818188</v>
      </c>
      <c r="J142" s="189">
        <v>224</v>
      </c>
      <c r="K142" s="187">
        <v>5.0540540540540544</v>
      </c>
      <c r="L142" s="189">
        <v>975</v>
      </c>
      <c r="M142" s="187">
        <v>1.8592375366568916</v>
      </c>
    </row>
    <row r="143" spans="3:13" ht="24" customHeight="1" thickBot="1" x14ac:dyDescent="0.25">
      <c r="C143" s="190" t="s">
        <v>56</v>
      </c>
      <c r="D143" s="186">
        <v>10352</v>
      </c>
      <c r="E143" s="187">
        <v>3.3883001271725304</v>
      </c>
      <c r="F143" s="186">
        <v>420</v>
      </c>
      <c r="G143" s="187">
        <v>3.2424242424242422</v>
      </c>
      <c r="H143" s="186">
        <v>102</v>
      </c>
      <c r="I143" s="187">
        <v>2.0909090909090908</v>
      </c>
      <c r="J143" s="186">
        <v>1149</v>
      </c>
      <c r="K143" s="187">
        <v>8.1190476190476186</v>
      </c>
      <c r="L143" s="186">
        <v>8681</v>
      </c>
      <c r="M143" s="187">
        <v>3.1318419800095194</v>
      </c>
    </row>
    <row r="144" spans="3:13" ht="24" customHeight="1" thickBot="1" x14ac:dyDescent="0.25">
      <c r="C144" s="188" t="s">
        <v>57</v>
      </c>
      <c r="D144" s="189">
        <v>14130</v>
      </c>
      <c r="E144" s="187">
        <v>3.9371069182389933</v>
      </c>
      <c r="F144" s="189">
        <v>548</v>
      </c>
      <c r="G144" s="187">
        <v>1.140625</v>
      </c>
      <c r="H144" s="189">
        <v>95</v>
      </c>
      <c r="I144" s="187">
        <v>1.375</v>
      </c>
      <c r="J144" s="189">
        <v>1896</v>
      </c>
      <c r="K144" s="187">
        <v>6.2923076923076922</v>
      </c>
      <c r="L144" s="189">
        <v>11591</v>
      </c>
      <c r="M144" s="187">
        <v>4.0264527320034693</v>
      </c>
    </row>
    <row r="145" spans="3:13" ht="24" customHeight="1" thickBot="1" x14ac:dyDescent="0.25">
      <c r="C145" s="190" t="s">
        <v>58</v>
      </c>
      <c r="D145" s="186">
        <v>1197</v>
      </c>
      <c r="E145" s="187">
        <v>5.5054347826086953</v>
      </c>
      <c r="F145" s="186">
        <v>149</v>
      </c>
      <c r="G145" s="187">
        <v>4.96</v>
      </c>
      <c r="H145" s="186">
        <v>65</v>
      </c>
      <c r="I145" s="187">
        <v>9.8333333333333339</v>
      </c>
      <c r="J145" s="186">
        <v>153</v>
      </c>
      <c r="K145" s="187">
        <v>50</v>
      </c>
      <c r="L145" s="186">
        <v>830</v>
      </c>
      <c r="M145" s="187">
        <v>4.5333333333333332</v>
      </c>
    </row>
    <row r="146" spans="3:13" ht="24" customHeight="1" thickBot="1" x14ac:dyDescent="0.25">
      <c r="C146" s="188" t="s">
        <v>59</v>
      </c>
      <c r="D146" s="189">
        <v>1173</v>
      </c>
      <c r="E146" s="187">
        <v>1.1327272727272728</v>
      </c>
      <c r="F146" s="189">
        <v>255</v>
      </c>
      <c r="G146" s="187">
        <v>0.51785714285714279</v>
      </c>
      <c r="H146" s="189">
        <v>64</v>
      </c>
      <c r="I146" s="187">
        <v>1.2068965517241379</v>
      </c>
      <c r="J146" s="189">
        <v>312</v>
      </c>
      <c r="K146" s="187">
        <v>1.5785123966942147</v>
      </c>
      <c r="L146" s="189">
        <v>542</v>
      </c>
      <c r="M146" s="187">
        <v>1.3362068965517242</v>
      </c>
    </row>
    <row r="147" spans="3:13" ht="24" customHeight="1" thickBot="1" x14ac:dyDescent="0.25">
      <c r="C147" s="190" t="s">
        <v>60</v>
      </c>
      <c r="D147" s="192">
        <v>4956</v>
      </c>
      <c r="E147" s="193">
        <v>3.916666666666667</v>
      </c>
      <c r="F147" s="192">
        <v>672</v>
      </c>
      <c r="G147" s="193">
        <v>1.1889250814332248</v>
      </c>
      <c r="H147" s="192">
        <v>63</v>
      </c>
      <c r="I147" s="193">
        <v>6.7796610169491567E-2</v>
      </c>
      <c r="J147" s="192">
        <v>435</v>
      </c>
      <c r="K147" s="193">
        <v>6.0161290322580649</v>
      </c>
      <c r="L147" s="192">
        <v>3786</v>
      </c>
      <c r="M147" s="193">
        <v>5.5275862068965518</v>
      </c>
    </row>
    <row r="148" spans="3:13" ht="30.75" customHeight="1" thickTop="1" thickBot="1" x14ac:dyDescent="0.25">
      <c r="C148" s="194" t="s">
        <v>61</v>
      </c>
      <c r="D148" s="195">
        <v>208756</v>
      </c>
      <c r="E148" s="196">
        <v>6.9876028314520759</v>
      </c>
      <c r="F148" s="195">
        <v>6456</v>
      </c>
      <c r="G148" s="196">
        <v>2.3783359497645211</v>
      </c>
      <c r="H148" s="195">
        <v>2159</v>
      </c>
      <c r="I148" s="196">
        <v>2.2811550151975686</v>
      </c>
      <c r="J148" s="195">
        <v>24277</v>
      </c>
      <c r="K148" s="196">
        <v>8.7380665864420379</v>
      </c>
      <c r="L148" s="195">
        <v>175864</v>
      </c>
      <c r="M148" s="196">
        <v>7.3454657618753849</v>
      </c>
    </row>
    <row r="149" spans="3:13" ht="24" customHeight="1" thickBot="1" x14ac:dyDescent="0.25">
      <c r="C149" s="197" t="s">
        <v>8</v>
      </c>
      <c r="D149" s="198">
        <v>253428</v>
      </c>
      <c r="E149" s="199">
        <v>3.7311354217227342</v>
      </c>
      <c r="F149" s="198">
        <v>13870</v>
      </c>
      <c r="G149" s="199">
        <v>1.2468815810788918</v>
      </c>
      <c r="H149" s="198">
        <v>3898</v>
      </c>
      <c r="I149" s="199">
        <v>1.9002976190476191</v>
      </c>
      <c r="J149" s="198">
        <v>39176</v>
      </c>
      <c r="K149" s="199">
        <v>3.1473639635824684</v>
      </c>
      <c r="L149" s="198">
        <v>196484</v>
      </c>
      <c r="M149" s="199">
        <v>4.3679753025708274</v>
      </c>
    </row>
    <row r="150" spans="3:13" ht="13.5" thickBot="1" x14ac:dyDescent="0.25">
      <c r="C150" s="16"/>
      <c r="M150" s="200"/>
    </row>
    <row r="151" spans="3:13" ht="35.25" customHeight="1" thickBot="1" x14ac:dyDescent="0.25">
      <c r="C151" s="162" t="s">
        <v>29</v>
      </c>
      <c r="D151" s="163"/>
      <c r="E151" s="163"/>
      <c r="F151" s="163"/>
      <c r="G151" s="163"/>
      <c r="H151" s="163"/>
      <c r="I151" s="163"/>
      <c r="J151" s="163"/>
      <c r="K151" s="163"/>
      <c r="L151" s="163"/>
      <c r="M151" s="164"/>
    </row>
    <row r="152" spans="3:13" ht="20.100000000000001" customHeight="1" x14ac:dyDescent="0.2">
      <c r="C152" s="165"/>
      <c r="D152" s="166"/>
      <c r="E152" s="166"/>
      <c r="F152" s="166"/>
      <c r="G152" s="167" t="str">
        <f>I2</f>
        <v>año 2021</v>
      </c>
      <c r="H152" s="168"/>
      <c r="I152" s="168"/>
      <c r="J152" s="166"/>
      <c r="K152" s="166"/>
      <c r="L152" s="166"/>
      <c r="M152" s="169"/>
    </row>
    <row r="153" spans="3:13" ht="5.25" customHeight="1" thickBot="1" x14ac:dyDescent="0.25">
      <c r="C153" s="170"/>
      <c r="D153" s="166"/>
      <c r="E153" s="166"/>
      <c r="F153" s="166"/>
      <c r="G153" s="171"/>
      <c r="H153" s="171"/>
      <c r="I153" s="171"/>
      <c r="J153" s="166"/>
      <c r="K153" s="166"/>
      <c r="L153" s="166"/>
      <c r="M153" s="172"/>
    </row>
    <row r="154" spans="3:13" ht="32.25" customHeight="1" thickTop="1" thickBot="1" x14ac:dyDescent="0.25">
      <c r="C154" s="173"/>
      <c r="D154" s="174" t="s">
        <v>7</v>
      </c>
      <c r="E154" s="175"/>
      <c r="F154" s="174" t="s">
        <v>30</v>
      </c>
      <c r="G154" s="175"/>
      <c r="H154" s="174" t="s">
        <v>31</v>
      </c>
      <c r="I154" s="175"/>
      <c r="J154" s="174" t="s">
        <v>32</v>
      </c>
      <c r="K154" s="175"/>
      <c r="L154" s="174" t="s">
        <v>33</v>
      </c>
      <c r="M154" s="175"/>
    </row>
    <row r="155" spans="3:13" ht="31.5" customHeight="1" thickBot="1" x14ac:dyDescent="0.25">
      <c r="C155" s="176"/>
      <c r="D155" s="177" t="s">
        <v>62</v>
      </c>
      <c r="E155" s="178" t="s">
        <v>35</v>
      </c>
      <c r="F155" s="177" t="s">
        <v>62</v>
      </c>
      <c r="G155" s="178" t="s">
        <v>35</v>
      </c>
      <c r="H155" s="177" t="s">
        <v>62</v>
      </c>
      <c r="I155" s="178" t="s">
        <v>35</v>
      </c>
      <c r="J155" s="177" t="s">
        <v>62</v>
      </c>
      <c r="K155" s="178" t="s">
        <v>35</v>
      </c>
      <c r="L155" s="177" t="s">
        <v>62</v>
      </c>
      <c r="M155" s="178" t="s">
        <v>35</v>
      </c>
    </row>
    <row r="156" spans="3:13" ht="24" customHeight="1" thickBot="1" x14ac:dyDescent="0.25">
      <c r="C156" s="179" t="s">
        <v>36</v>
      </c>
      <c r="D156" s="180">
        <v>936181</v>
      </c>
      <c r="E156" s="181">
        <v>0.55012766211101138</v>
      </c>
      <c r="F156" s="180">
        <v>114707</v>
      </c>
      <c r="G156" s="181">
        <v>0.4924536157589321</v>
      </c>
      <c r="H156" s="180">
        <v>22766</v>
      </c>
      <c r="I156" s="181">
        <v>0.39301229884354161</v>
      </c>
      <c r="J156" s="180">
        <v>246321</v>
      </c>
      <c r="K156" s="181">
        <v>0.40310673638880345</v>
      </c>
      <c r="L156" s="180">
        <v>552387</v>
      </c>
      <c r="M156" s="181">
        <v>0.64801615833738579</v>
      </c>
    </row>
    <row r="157" spans="3:13" ht="24" customHeight="1" thickBot="1" x14ac:dyDescent="0.25">
      <c r="C157" s="182" t="s">
        <v>37</v>
      </c>
      <c r="D157" s="183">
        <v>391384.01224089495</v>
      </c>
      <c r="E157" s="184">
        <v>0.61656033014732592</v>
      </c>
      <c r="F157" s="183" t="s">
        <v>38</v>
      </c>
      <c r="G157" s="201" t="s">
        <v>38</v>
      </c>
      <c r="H157" s="202" t="s">
        <v>38</v>
      </c>
      <c r="I157" s="201" t="s">
        <v>38</v>
      </c>
      <c r="J157" s="202" t="s">
        <v>38</v>
      </c>
      <c r="K157" s="201" t="s">
        <v>38</v>
      </c>
      <c r="L157" s="202" t="s">
        <v>38</v>
      </c>
      <c r="M157" s="201" t="s">
        <v>38</v>
      </c>
    </row>
    <row r="158" spans="3:13" ht="24" customHeight="1" thickBot="1" x14ac:dyDescent="0.25">
      <c r="C158" s="185" t="s">
        <v>39</v>
      </c>
      <c r="D158" s="186">
        <v>114543.53140392336</v>
      </c>
      <c r="E158" s="187">
        <v>0.34316994100771625</v>
      </c>
      <c r="F158" s="186" t="s">
        <v>38</v>
      </c>
      <c r="G158" s="203" t="s">
        <v>38</v>
      </c>
      <c r="H158" s="204" t="s">
        <v>38</v>
      </c>
      <c r="I158" s="203" t="s">
        <v>38</v>
      </c>
      <c r="J158" s="204" t="s">
        <v>38</v>
      </c>
      <c r="K158" s="203" t="s">
        <v>38</v>
      </c>
      <c r="L158" s="204" t="s">
        <v>38</v>
      </c>
      <c r="M158" s="203" t="s">
        <v>38</v>
      </c>
    </row>
    <row r="159" spans="3:13" ht="24" customHeight="1" thickBot="1" x14ac:dyDescent="0.25">
      <c r="C159" s="185" t="s">
        <v>40</v>
      </c>
      <c r="D159" s="186">
        <v>430252.45635520399</v>
      </c>
      <c r="E159" s="187">
        <v>0.55578337978930015</v>
      </c>
      <c r="F159" s="186" t="s">
        <v>38</v>
      </c>
      <c r="G159" s="203" t="s">
        <v>38</v>
      </c>
      <c r="H159" s="204" t="s">
        <v>38</v>
      </c>
      <c r="I159" s="203" t="s">
        <v>38</v>
      </c>
      <c r="J159" s="204" t="s">
        <v>38</v>
      </c>
      <c r="K159" s="203" t="s">
        <v>38</v>
      </c>
      <c r="L159" s="204" t="s">
        <v>38</v>
      </c>
      <c r="M159" s="203" t="s">
        <v>38</v>
      </c>
    </row>
    <row r="160" spans="3:13" ht="24" customHeight="1" thickBot="1" x14ac:dyDescent="0.25">
      <c r="C160" s="188" t="s">
        <v>41</v>
      </c>
      <c r="D160" s="189">
        <v>93910</v>
      </c>
      <c r="E160" s="187">
        <v>0.71327969642238154</v>
      </c>
      <c r="F160" s="189">
        <v>1349</v>
      </c>
      <c r="G160" s="187">
        <v>1.0134328358208955</v>
      </c>
      <c r="H160" s="189">
        <v>527</v>
      </c>
      <c r="I160" s="187">
        <v>0.19772727272727275</v>
      </c>
      <c r="J160" s="189">
        <v>5379</v>
      </c>
      <c r="K160" s="187">
        <v>0.7190795781399808</v>
      </c>
      <c r="L160" s="189">
        <v>86655</v>
      </c>
      <c r="M160" s="187">
        <v>0.71342982560208812</v>
      </c>
    </row>
    <row r="161" spans="3:13" ht="24" customHeight="1" thickBot="1" x14ac:dyDescent="0.25">
      <c r="C161" s="190" t="s">
        <v>42</v>
      </c>
      <c r="D161" s="186">
        <v>89638</v>
      </c>
      <c r="E161" s="187">
        <v>0.56022418714753175</v>
      </c>
      <c r="F161" s="186">
        <v>1332</v>
      </c>
      <c r="G161" s="187">
        <v>0.85774058577405854</v>
      </c>
      <c r="H161" s="186">
        <v>545</v>
      </c>
      <c r="I161" s="187">
        <v>0.10997963340122197</v>
      </c>
      <c r="J161" s="186">
        <v>5236</v>
      </c>
      <c r="K161" s="187">
        <v>0.87804878048780477</v>
      </c>
      <c r="L161" s="186">
        <v>82525</v>
      </c>
      <c r="M161" s="187">
        <v>0.54379302604010782</v>
      </c>
    </row>
    <row r="162" spans="3:13" ht="24" customHeight="1" thickBot="1" x14ac:dyDescent="0.25">
      <c r="C162" s="188" t="s">
        <v>43</v>
      </c>
      <c r="D162" s="189">
        <v>210163</v>
      </c>
      <c r="E162" s="187">
        <v>0.38378018910163547</v>
      </c>
      <c r="F162" s="189">
        <v>7169</v>
      </c>
      <c r="G162" s="187">
        <v>0.88509071785432547</v>
      </c>
      <c r="H162" s="189">
        <v>2604</v>
      </c>
      <c r="I162" s="187">
        <v>-0.13545816733067728</v>
      </c>
      <c r="J162" s="189">
        <v>55392</v>
      </c>
      <c r="K162" s="187">
        <v>9.9833214200619524E-2</v>
      </c>
      <c r="L162" s="189">
        <v>144998</v>
      </c>
      <c r="M162" s="187">
        <v>0.53117839002291523</v>
      </c>
    </row>
    <row r="163" spans="3:13" ht="24" customHeight="1" thickBot="1" x14ac:dyDescent="0.25">
      <c r="C163" s="190" t="s">
        <v>44</v>
      </c>
      <c r="D163" s="186">
        <v>118035</v>
      </c>
      <c r="E163" s="187">
        <v>0.81620249269118328</v>
      </c>
      <c r="F163" s="186">
        <v>7230</v>
      </c>
      <c r="G163" s="187">
        <v>1.6148282097649185</v>
      </c>
      <c r="H163" s="186">
        <v>4039</v>
      </c>
      <c r="I163" s="187">
        <v>0.67941787941787934</v>
      </c>
      <c r="J163" s="186">
        <v>23301</v>
      </c>
      <c r="K163" s="187">
        <v>0.80866257859194279</v>
      </c>
      <c r="L163" s="186">
        <v>83465</v>
      </c>
      <c r="M163" s="187">
        <v>0.77823465496303545</v>
      </c>
    </row>
    <row r="164" spans="3:13" ht="24" customHeight="1" thickBot="1" x14ac:dyDescent="0.25">
      <c r="C164" s="188" t="s">
        <v>45</v>
      </c>
      <c r="D164" s="189">
        <v>429350</v>
      </c>
      <c r="E164" s="187">
        <v>-9.9730978186797214E-2</v>
      </c>
      <c r="F164" s="189">
        <v>3186</v>
      </c>
      <c r="G164" s="187">
        <v>-9.1790193842645418E-2</v>
      </c>
      <c r="H164" s="189">
        <v>988</v>
      </c>
      <c r="I164" s="187">
        <v>-0.33152909336941816</v>
      </c>
      <c r="J164" s="189">
        <v>17184</v>
      </c>
      <c r="K164" s="187">
        <v>-0.36473197781885403</v>
      </c>
      <c r="L164" s="189">
        <v>407992</v>
      </c>
      <c r="M164" s="187">
        <v>-8.2910557300107657E-2</v>
      </c>
    </row>
    <row r="165" spans="3:13" ht="24" customHeight="1" thickBot="1" x14ac:dyDescent="0.25">
      <c r="C165" s="190" t="s">
        <v>46</v>
      </c>
      <c r="D165" s="186">
        <v>42922</v>
      </c>
      <c r="E165" s="187">
        <v>0.39975215236107497</v>
      </c>
      <c r="F165" s="186">
        <v>861</v>
      </c>
      <c r="G165" s="187">
        <v>0.75</v>
      </c>
      <c r="H165" s="186">
        <v>152</v>
      </c>
      <c r="I165" s="187">
        <v>-0.11111111111111116</v>
      </c>
      <c r="J165" s="186">
        <v>1808</v>
      </c>
      <c r="K165" s="187">
        <v>7.1090047393364886E-2</v>
      </c>
      <c r="L165" s="186">
        <v>40101</v>
      </c>
      <c r="M165" s="187">
        <v>0.41634584819694131</v>
      </c>
    </row>
    <row r="166" spans="3:13" ht="24" customHeight="1" thickBot="1" x14ac:dyDescent="0.25">
      <c r="C166" s="188" t="s">
        <v>47</v>
      </c>
      <c r="D166" s="189">
        <v>68238</v>
      </c>
      <c r="E166" s="187">
        <v>0.73819348922512606</v>
      </c>
      <c r="F166" s="189">
        <v>4398</v>
      </c>
      <c r="G166" s="187">
        <v>0.69806949806949814</v>
      </c>
      <c r="H166" s="189">
        <v>857</v>
      </c>
      <c r="I166" s="187">
        <v>0.33074534161490687</v>
      </c>
      <c r="J166" s="189">
        <v>8639</v>
      </c>
      <c r="K166" s="187">
        <v>0.65720314598120089</v>
      </c>
      <c r="L166" s="189">
        <v>54344</v>
      </c>
      <c r="M166" s="187">
        <v>0.76378566096523959</v>
      </c>
    </row>
    <row r="167" spans="3:13" ht="24" customHeight="1" thickBot="1" x14ac:dyDescent="0.25">
      <c r="C167" s="190" t="s">
        <v>48</v>
      </c>
      <c r="D167" s="186">
        <v>64677</v>
      </c>
      <c r="E167" s="187">
        <v>-0.59527295937523461</v>
      </c>
      <c r="F167" s="186">
        <v>2406</v>
      </c>
      <c r="G167" s="187">
        <v>-0.182466870540265</v>
      </c>
      <c r="H167" s="186">
        <v>334</v>
      </c>
      <c r="I167" s="187">
        <v>-0.1691542288557214</v>
      </c>
      <c r="J167" s="186">
        <v>10882</v>
      </c>
      <c r="K167" s="187">
        <v>-0.55529219452390688</v>
      </c>
      <c r="L167" s="186">
        <v>51055</v>
      </c>
      <c r="M167" s="187">
        <v>-0.61318746259157964</v>
      </c>
    </row>
    <row r="168" spans="3:13" ht="24" customHeight="1" thickBot="1" x14ac:dyDescent="0.25">
      <c r="C168" s="191" t="s">
        <v>49</v>
      </c>
      <c r="D168" s="189">
        <v>19765</v>
      </c>
      <c r="E168" s="187">
        <v>-0.61824467879630696</v>
      </c>
      <c r="F168" s="189">
        <v>913</v>
      </c>
      <c r="G168" s="187">
        <v>-0.14593077642656693</v>
      </c>
      <c r="H168" s="189">
        <v>112</v>
      </c>
      <c r="I168" s="187">
        <v>-0.14503816793893132</v>
      </c>
      <c r="J168" s="189">
        <v>3017</v>
      </c>
      <c r="K168" s="187">
        <v>-0.54114068441064633</v>
      </c>
      <c r="L168" s="189">
        <v>15723</v>
      </c>
      <c r="M168" s="187">
        <v>-0.64265096934021226</v>
      </c>
    </row>
    <row r="169" spans="3:13" ht="24" customHeight="1" thickBot="1" x14ac:dyDescent="0.25">
      <c r="C169" s="185" t="s">
        <v>50</v>
      </c>
      <c r="D169" s="186">
        <v>7403</v>
      </c>
      <c r="E169" s="187">
        <v>-0.73757532789790847</v>
      </c>
      <c r="F169" s="186">
        <v>515</v>
      </c>
      <c r="G169" s="187">
        <v>-0.15986949429037522</v>
      </c>
      <c r="H169" s="186">
        <v>54</v>
      </c>
      <c r="I169" s="187">
        <v>-0.28000000000000003</v>
      </c>
      <c r="J169" s="186">
        <v>773</v>
      </c>
      <c r="K169" s="187">
        <v>-0.64279112754158962</v>
      </c>
      <c r="L169" s="186">
        <v>6061</v>
      </c>
      <c r="M169" s="187">
        <v>-0.76098272734442785</v>
      </c>
    </row>
    <row r="170" spans="3:13" ht="24" customHeight="1" thickBot="1" x14ac:dyDescent="0.25">
      <c r="C170" s="191" t="s">
        <v>51</v>
      </c>
      <c r="D170" s="189">
        <v>20499</v>
      </c>
      <c r="E170" s="187">
        <v>-0.42993409160432716</v>
      </c>
      <c r="F170" s="189">
        <v>513</v>
      </c>
      <c r="G170" s="187">
        <v>-0.18441971383147848</v>
      </c>
      <c r="H170" s="189">
        <v>121</v>
      </c>
      <c r="I170" s="187">
        <v>-0.12949640287769781</v>
      </c>
      <c r="J170" s="189">
        <v>3003</v>
      </c>
      <c r="K170" s="187">
        <v>-0.28703703703703709</v>
      </c>
      <c r="L170" s="189">
        <v>16862</v>
      </c>
      <c r="M170" s="187">
        <v>-0.45569579392491688</v>
      </c>
    </row>
    <row r="171" spans="3:13" ht="24" customHeight="1" thickBot="1" x14ac:dyDescent="0.25">
      <c r="C171" s="185" t="s">
        <v>52</v>
      </c>
      <c r="D171" s="186">
        <v>17010</v>
      </c>
      <c r="E171" s="187">
        <v>-0.61218394473450211</v>
      </c>
      <c r="F171" s="186">
        <v>465</v>
      </c>
      <c r="G171" s="187">
        <v>-0.26424050632911389</v>
      </c>
      <c r="H171" s="186">
        <v>47</v>
      </c>
      <c r="I171" s="187">
        <v>-0.17543859649122806</v>
      </c>
      <c r="J171" s="186">
        <v>4089</v>
      </c>
      <c r="K171" s="187">
        <v>-0.64502126920739644</v>
      </c>
      <c r="L171" s="186">
        <v>12409</v>
      </c>
      <c r="M171" s="187">
        <v>-0.6079676491959688</v>
      </c>
    </row>
    <row r="172" spans="3:13" ht="24" customHeight="1" thickBot="1" x14ac:dyDescent="0.25">
      <c r="C172" s="188" t="s">
        <v>53</v>
      </c>
      <c r="D172" s="189">
        <v>30124</v>
      </c>
      <c r="E172" s="187">
        <v>1.2759141734663042</v>
      </c>
      <c r="F172" s="189">
        <v>1463</v>
      </c>
      <c r="G172" s="187">
        <v>1.6312949640287768</v>
      </c>
      <c r="H172" s="189">
        <v>569</v>
      </c>
      <c r="I172" s="187">
        <v>0.59383753501400571</v>
      </c>
      <c r="J172" s="189">
        <v>3441</v>
      </c>
      <c r="K172" s="187">
        <v>0.53684680661009376</v>
      </c>
      <c r="L172" s="189">
        <v>24651</v>
      </c>
      <c r="M172" s="187">
        <v>1.4445656485521616</v>
      </c>
    </row>
    <row r="173" spans="3:13" ht="24" customHeight="1" thickBot="1" x14ac:dyDescent="0.25">
      <c r="C173" s="190" t="s">
        <v>54</v>
      </c>
      <c r="D173" s="186">
        <v>13270</v>
      </c>
      <c r="E173" s="187">
        <v>0.36818228683369414</v>
      </c>
      <c r="F173" s="186">
        <v>649</v>
      </c>
      <c r="G173" s="187">
        <v>1.1071428571428572</v>
      </c>
      <c r="H173" s="186">
        <v>245</v>
      </c>
      <c r="I173" s="187">
        <v>0.33879781420765021</v>
      </c>
      <c r="J173" s="186">
        <v>2399</v>
      </c>
      <c r="K173" s="187">
        <v>0.14292520247737017</v>
      </c>
      <c r="L173" s="186">
        <v>9977</v>
      </c>
      <c r="M173" s="187">
        <v>0.40343226895484596</v>
      </c>
    </row>
    <row r="174" spans="3:13" ht="24" customHeight="1" thickBot="1" x14ac:dyDescent="0.25">
      <c r="C174" s="188" t="s">
        <v>55</v>
      </c>
      <c r="D174" s="189">
        <v>6703</v>
      </c>
      <c r="E174" s="187">
        <v>-0.61615988089102669</v>
      </c>
      <c r="F174" s="189">
        <v>463</v>
      </c>
      <c r="G174" s="187">
        <v>-0.35961272475795303</v>
      </c>
      <c r="H174" s="189">
        <v>90</v>
      </c>
      <c r="I174" s="187">
        <v>-0.3571428571428571</v>
      </c>
      <c r="J174" s="189">
        <v>954</v>
      </c>
      <c r="K174" s="187">
        <v>-0.5817623849188952</v>
      </c>
      <c r="L174" s="189">
        <v>5196</v>
      </c>
      <c r="M174" s="187">
        <v>-0.63712549759061388</v>
      </c>
    </row>
    <row r="175" spans="3:13" ht="24" customHeight="1" thickBot="1" x14ac:dyDescent="0.25">
      <c r="C175" s="190" t="s">
        <v>56</v>
      </c>
      <c r="D175" s="186">
        <v>79351</v>
      </c>
      <c r="E175" s="187">
        <v>0.63769013270592123</v>
      </c>
      <c r="F175" s="186">
        <v>2657</v>
      </c>
      <c r="G175" s="187">
        <v>1.0970797158642465</v>
      </c>
      <c r="H175" s="186">
        <v>587</v>
      </c>
      <c r="I175" s="187">
        <v>1.2150943396226417</v>
      </c>
      <c r="J175" s="186">
        <v>12464</v>
      </c>
      <c r="K175" s="187">
        <v>0.94993742177722162</v>
      </c>
      <c r="L175" s="186">
        <v>63643</v>
      </c>
      <c r="M175" s="187">
        <v>0.57030768091983508</v>
      </c>
    </row>
    <row r="176" spans="3:13" ht="24" customHeight="1" thickBot="1" x14ac:dyDescent="0.25">
      <c r="C176" s="188" t="s">
        <v>57</v>
      </c>
      <c r="D176" s="189">
        <v>107134</v>
      </c>
      <c r="E176" s="187">
        <v>1.0032535527299924</v>
      </c>
      <c r="F176" s="189">
        <v>5188</v>
      </c>
      <c r="G176" s="187">
        <v>0.85087406350338912</v>
      </c>
      <c r="H176" s="189">
        <v>520</v>
      </c>
      <c r="I176" s="187">
        <v>0.15299334811529941</v>
      </c>
      <c r="J176" s="189">
        <v>17490</v>
      </c>
      <c r="K176" s="187">
        <v>0.53690685413005279</v>
      </c>
      <c r="L176" s="189">
        <v>83936</v>
      </c>
      <c r="M176" s="187">
        <v>1.160737270246615</v>
      </c>
    </row>
    <row r="177" spans="3:18" ht="24" customHeight="1" thickBot="1" x14ac:dyDescent="0.25">
      <c r="C177" s="190" t="s">
        <v>58</v>
      </c>
      <c r="D177" s="186">
        <v>7902</v>
      </c>
      <c r="E177" s="187">
        <v>0.28029812054439396</v>
      </c>
      <c r="F177" s="186">
        <v>1252</v>
      </c>
      <c r="G177" s="187">
        <v>0.81186685962373373</v>
      </c>
      <c r="H177" s="186">
        <v>285</v>
      </c>
      <c r="I177" s="187">
        <v>0.1399999999999999</v>
      </c>
      <c r="J177" s="186">
        <v>946</v>
      </c>
      <c r="K177" s="187">
        <v>0.28707482993197275</v>
      </c>
      <c r="L177" s="186">
        <v>5419</v>
      </c>
      <c r="M177" s="187">
        <v>0.20529359430604988</v>
      </c>
    </row>
    <row r="178" spans="3:18" ht="24" customHeight="1" thickBot="1" x14ac:dyDescent="0.25">
      <c r="C178" s="188" t="s">
        <v>59</v>
      </c>
      <c r="D178" s="189">
        <v>12493</v>
      </c>
      <c r="E178" s="187">
        <v>0.33915746596634144</v>
      </c>
      <c r="F178" s="189">
        <v>2956</v>
      </c>
      <c r="G178" s="187">
        <v>0.6206140350877194</v>
      </c>
      <c r="H178" s="189">
        <v>415</v>
      </c>
      <c r="I178" s="187">
        <v>2.2167487684729092E-2</v>
      </c>
      <c r="J178" s="189">
        <v>3333</v>
      </c>
      <c r="K178" s="187">
        <v>0.21155943293347867</v>
      </c>
      <c r="L178" s="189">
        <v>5789</v>
      </c>
      <c r="M178" s="187">
        <v>0.33141674333026683</v>
      </c>
    </row>
    <row r="179" spans="3:18" ht="24" customHeight="1" thickBot="1" x14ac:dyDescent="0.25">
      <c r="C179" s="190" t="s">
        <v>60</v>
      </c>
      <c r="D179" s="192">
        <v>43914</v>
      </c>
      <c r="E179" s="193">
        <v>0.61966584295356464</v>
      </c>
      <c r="F179" s="192">
        <v>6258</v>
      </c>
      <c r="G179" s="193">
        <v>1.349099099099099</v>
      </c>
      <c r="H179" s="192">
        <v>374</v>
      </c>
      <c r="I179" s="193">
        <v>-9.002433090024331E-2</v>
      </c>
      <c r="J179" s="192">
        <v>4245</v>
      </c>
      <c r="K179" s="193">
        <v>-0.14173069146785278</v>
      </c>
      <c r="L179" s="192">
        <v>33037</v>
      </c>
      <c r="M179" s="193">
        <v>0.73041064320134086</v>
      </c>
    </row>
    <row r="180" spans="3:18" ht="30.75" customHeight="1" thickTop="1" thickBot="1" x14ac:dyDescent="0.25">
      <c r="C180" s="194" t="s">
        <v>61</v>
      </c>
      <c r="D180" s="195">
        <v>1417824</v>
      </c>
      <c r="E180" s="196">
        <v>0.16147012201865296</v>
      </c>
      <c r="F180" s="195">
        <v>48817</v>
      </c>
      <c r="G180" s="196">
        <v>0.72352068916819667</v>
      </c>
      <c r="H180" s="195">
        <v>13131</v>
      </c>
      <c r="I180" s="196">
        <v>0.14123066226316694</v>
      </c>
      <c r="J180" s="195">
        <v>173093</v>
      </c>
      <c r="K180" s="196">
        <v>7.9079597027579718E-2</v>
      </c>
      <c r="L180" s="195">
        <v>1182783</v>
      </c>
      <c r="M180" s="196">
        <v>0.15904915054430435</v>
      </c>
    </row>
    <row r="181" spans="3:18" ht="24" customHeight="1" thickBot="1" x14ac:dyDescent="0.25">
      <c r="C181" s="197" t="s">
        <v>8</v>
      </c>
      <c r="D181" s="198">
        <v>2354005</v>
      </c>
      <c r="E181" s="199">
        <v>0.2901110512519367</v>
      </c>
      <c r="F181" s="198">
        <v>163524</v>
      </c>
      <c r="G181" s="199">
        <v>0.5546766557015459</v>
      </c>
      <c r="H181" s="198">
        <v>35897</v>
      </c>
      <c r="I181" s="199">
        <v>0.28898703723652552</v>
      </c>
      <c r="J181" s="198">
        <v>419414</v>
      </c>
      <c r="K181" s="199">
        <v>0.24839714015275538</v>
      </c>
      <c r="L181" s="198">
        <v>1735170</v>
      </c>
      <c r="M181" s="199">
        <v>0.27994482392340259</v>
      </c>
    </row>
    <row r="182" spans="3:18" ht="18" customHeight="1" x14ac:dyDescent="0.2"/>
    <row r="183" spans="3:18" ht="17.25" hidden="1" customHeight="1" x14ac:dyDescent="0.2">
      <c r="C183" s="155"/>
      <c r="D183" s="156"/>
      <c r="E183" s="156"/>
      <c r="F183" s="156"/>
      <c r="G183" s="156"/>
      <c r="H183" s="156"/>
      <c r="I183" s="156"/>
      <c r="J183" s="156"/>
      <c r="K183" s="156"/>
      <c r="L183" s="156"/>
      <c r="M183" s="157"/>
    </row>
    <row r="184" spans="3:18" ht="21.75" hidden="1" customHeight="1" x14ac:dyDescent="0.2">
      <c r="C184" s="158"/>
      <c r="D184" s="159"/>
      <c r="E184" s="205" t="str">
        <f>$E$1</f>
        <v>INDICADORES TURÍSTICOS DE TENERIFE definitivo</v>
      </c>
      <c r="F184" s="206"/>
      <c r="G184" s="206"/>
      <c r="H184" s="206"/>
      <c r="I184" s="206"/>
      <c r="J184" s="206"/>
      <c r="K184" s="207"/>
      <c r="L184" s="159"/>
      <c r="M184" s="161"/>
    </row>
    <row r="185" spans="3:18" ht="21.75" hidden="1" customHeight="1" x14ac:dyDescent="0.2">
      <c r="C185" s="158"/>
      <c r="D185" s="159"/>
      <c r="E185" s="160"/>
      <c r="F185" s="160"/>
      <c r="G185" s="160"/>
      <c r="H185" s="160"/>
      <c r="I185" s="160"/>
      <c r="J185" s="160"/>
      <c r="K185" s="160"/>
      <c r="L185" s="159"/>
      <c r="M185" s="161"/>
    </row>
    <row r="186" spans="3:18" ht="33" hidden="1" customHeight="1" x14ac:dyDescent="0.2">
      <c r="C186" s="208" t="s">
        <v>29</v>
      </c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10"/>
    </row>
    <row r="187" spans="3:18" ht="20.100000000000001" hidden="1" customHeight="1" x14ac:dyDescent="0.2">
      <c r="C187" s="211">
        <f>E3</f>
        <v>0</v>
      </c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</row>
    <row r="188" spans="3:18" ht="17.25" hidden="1" customHeight="1" x14ac:dyDescent="0.2">
      <c r="C188" s="213"/>
      <c r="D188" s="214" t="s">
        <v>24</v>
      </c>
      <c r="E188" s="215"/>
      <c r="F188" s="214" t="s">
        <v>23</v>
      </c>
      <c r="G188" s="215"/>
      <c r="H188" s="214" t="s">
        <v>22</v>
      </c>
      <c r="I188" s="215"/>
      <c r="J188" s="214" t="s">
        <v>21</v>
      </c>
      <c r="K188" s="215"/>
      <c r="L188" s="214" t="s">
        <v>20</v>
      </c>
      <c r="M188" s="215"/>
      <c r="N188" s="214" t="s">
        <v>63</v>
      </c>
      <c r="O188" s="215"/>
      <c r="P188" s="214" t="s">
        <v>64</v>
      </c>
      <c r="Q188" s="215"/>
    </row>
    <row r="189" spans="3:18" ht="28.5" hidden="1" customHeight="1" x14ac:dyDescent="0.2">
      <c r="C189" s="213"/>
      <c r="D189" s="216" t="s">
        <v>35</v>
      </c>
      <c r="E189" s="216" t="s">
        <v>34</v>
      </c>
      <c r="F189" s="216" t="s">
        <v>35</v>
      </c>
      <c r="G189" s="216" t="s">
        <v>34</v>
      </c>
      <c r="H189" s="216" t="s">
        <v>35</v>
      </c>
      <c r="I189" s="216" t="s">
        <v>34</v>
      </c>
      <c r="J189" s="216" t="s">
        <v>35</v>
      </c>
      <c r="K189" s="216" t="s">
        <v>34</v>
      </c>
      <c r="L189" s="216" t="s">
        <v>35</v>
      </c>
      <c r="M189" s="216" t="s">
        <v>34</v>
      </c>
      <c r="N189" s="216" t="s">
        <v>35</v>
      </c>
      <c r="O189" s="216" t="s">
        <v>34</v>
      </c>
      <c r="P189" s="216" t="s">
        <v>35</v>
      </c>
      <c r="Q189" s="216" t="s">
        <v>34</v>
      </c>
    </row>
    <row r="190" spans="3:18" ht="24" hidden="1" customHeight="1" x14ac:dyDescent="0.2">
      <c r="C190" s="217" t="s">
        <v>36</v>
      </c>
      <c r="D190" s="218" t="e">
        <f>VLOOKUP("españa",#REF!,6,FALSE)/VLOOKUP("españa",#REF!,6,FALSE)-1</f>
        <v>#REF!</v>
      </c>
      <c r="E190" s="219" t="e">
        <f>VLOOKUP("españa",#REF!,6,FALSE)</f>
        <v>#REF!</v>
      </c>
      <c r="F190" s="218" t="e">
        <f>VLOOKUP("españa",#REF!,5,FALSE)/VLOOKUP("españa",#REF!,5,FALSE)-1</f>
        <v>#REF!</v>
      </c>
      <c r="G190" s="219" t="e">
        <f>VLOOKUP("españa",#REF!,5,FALSE)</f>
        <v>#REF!</v>
      </c>
      <c r="H190" s="218" t="e">
        <f>VLOOKUP("españa",#REF!,4,FALSE)/VLOOKUP("españa",#REF!,4,FALSE)-1</f>
        <v>#REF!</v>
      </c>
      <c r="I190" s="219" t="e">
        <f>VLOOKUP("españa",#REF!,4,FALSE)</f>
        <v>#REF!</v>
      </c>
      <c r="J190" s="218" t="e">
        <f>VLOOKUP("españa",#REF!,3,FALSE)/VLOOKUP("españa",#REF!,3,FALSE)-1</f>
        <v>#REF!</v>
      </c>
      <c r="K190" s="219" t="e">
        <f>VLOOKUP("españa",#REF!,3,FALSE)</f>
        <v>#REF!</v>
      </c>
      <c r="L190" s="218" t="e">
        <f>VLOOKUP("españa",#REF!,2,FALSE)/VLOOKUP("españa",#REF!,2,FALSE)-1</f>
        <v>#REF!</v>
      </c>
      <c r="M190" s="219" t="e">
        <f>VLOOKUP("españa",#REF!,2,FALSE)</f>
        <v>#REF!</v>
      </c>
      <c r="N190" s="218" t="e">
        <f>VLOOKUP("españa",#REF!,7,FALSE)/VLOOKUP("españa",#REF!,7,FALSE)-1</f>
        <v>#REF!</v>
      </c>
      <c r="O190" s="219" t="e">
        <f>VLOOKUP("españa",#REF!,7,FALSE)</f>
        <v>#REF!</v>
      </c>
      <c r="P190" s="218" t="e">
        <f>VLOOKUP("españa",#REF!,8,FALSE)/VLOOKUP("españa",#REF!,8,FALSE)-1</f>
        <v>#REF!</v>
      </c>
      <c r="Q190" s="219" t="e">
        <f>VLOOKUP("españa",#REF!,8,FALSE)</f>
        <v>#REF!</v>
      </c>
    </row>
    <row r="191" spans="3:18" ht="24" hidden="1" customHeight="1" x14ac:dyDescent="0.2">
      <c r="C191" s="217" t="s">
        <v>41</v>
      </c>
      <c r="D191" s="218" t="e">
        <f>VLOOKUP("holanda",#REF!,6,FALSE)/VLOOKUP("holanda",#REF!,6,FALSE)-1</f>
        <v>#REF!</v>
      </c>
      <c r="E191" s="219" t="e">
        <f>VLOOKUP("holanda",#REF!,6,FALSE)</f>
        <v>#REF!</v>
      </c>
      <c r="F191" s="218" t="e">
        <f>VLOOKUP("holanda",#REF!,5,FALSE)/VLOOKUP("holanda",#REF!,5,FALSE)-1</f>
        <v>#REF!</v>
      </c>
      <c r="G191" s="219" t="e">
        <f>VLOOKUP("holanda",#REF!,5,FALSE)</f>
        <v>#REF!</v>
      </c>
      <c r="H191" s="218" t="e">
        <f>VLOOKUP("holanda",#REF!,4,FALSE)/VLOOKUP("holanda",#REF!,4,FALSE)-1</f>
        <v>#REF!</v>
      </c>
      <c r="I191" s="219" t="e">
        <f>VLOOKUP("holanda",#REF!,4,FALSE)</f>
        <v>#REF!</v>
      </c>
      <c r="J191" s="218" t="e">
        <f>VLOOKUP("holanda",#REF!,3,FALSE)/VLOOKUP("holanda",#REF!,3,FALSE)-1</f>
        <v>#REF!</v>
      </c>
      <c r="K191" s="219" t="e">
        <f>VLOOKUP("holanda",#REF!,3,FALSE)</f>
        <v>#REF!</v>
      </c>
      <c r="L191" s="218" t="e">
        <f>VLOOKUP("holanda",#REF!,2,FALSE)/VLOOKUP("holanda",#REF!,2,FALSE)-1</f>
        <v>#REF!</v>
      </c>
      <c r="M191" s="219" t="e">
        <f>VLOOKUP("holanda",#REF!,2,FALSE)</f>
        <v>#REF!</v>
      </c>
      <c r="N191" s="218" t="e">
        <f>VLOOKUP("holanda",#REF!,7,FALSE)/VLOOKUP("holanda",#REF!,7,FALSE)-1</f>
        <v>#REF!</v>
      </c>
      <c r="O191" s="219" t="e">
        <f>VLOOKUP("holanda",#REF!,7,FALSE)</f>
        <v>#REF!</v>
      </c>
      <c r="P191" s="218" t="e">
        <f>VLOOKUP("holanda",#REF!,8,FALSE)/VLOOKUP("holanda",#REF!,8,FALSE)-1</f>
        <v>#REF!</v>
      </c>
      <c r="Q191" s="219" t="e">
        <f>VLOOKUP("holanda",#REF!,8,FALSE)</f>
        <v>#REF!</v>
      </c>
    </row>
    <row r="192" spans="3:18" ht="24" hidden="1" customHeight="1" x14ac:dyDescent="0.2">
      <c r="C192" s="217" t="s">
        <v>42</v>
      </c>
      <c r="D192" s="218" t="e">
        <f>VLOOKUP("belgica",#REF!,6,FALSE)/VLOOKUP("belgica",#REF!,6,FALSE)-1</f>
        <v>#REF!</v>
      </c>
      <c r="E192" s="219" t="e">
        <f>VLOOKUP("belgica",#REF!,6,FALSE)</f>
        <v>#REF!</v>
      </c>
      <c r="F192" s="218" t="e">
        <f>VLOOKUP("belgica",#REF!,5,FALSE)/VLOOKUP("belgica",#REF!,5,FALSE)-1</f>
        <v>#REF!</v>
      </c>
      <c r="G192" s="219" t="e">
        <f>VLOOKUP("belgica",#REF!,5,FALSE)</f>
        <v>#REF!</v>
      </c>
      <c r="H192" s="218" t="e">
        <f>VLOOKUP("belgica",#REF!,4,FALSE)/VLOOKUP("belgica",#REF!,4,FALSE)-1</f>
        <v>#REF!</v>
      </c>
      <c r="I192" s="219" t="e">
        <f>VLOOKUP("belgica",#REF!,4,FALSE)</f>
        <v>#REF!</v>
      </c>
      <c r="J192" s="218" t="e">
        <f>VLOOKUP("belgica",#REF!,3,FALSE)/VLOOKUP("belgica",#REF!,3,FALSE)-1</f>
        <v>#REF!</v>
      </c>
      <c r="K192" s="219" t="e">
        <f>VLOOKUP("belgica",#REF!,3,FALSE)</f>
        <v>#REF!</v>
      </c>
      <c r="L192" s="218" t="e">
        <f>VLOOKUP("belgica",#REF!,2,FALSE)/VLOOKUP("belgica",#REF!,2,FALSE)-1</f>
        <v>#REF!</v>
      </c>
      <c r="M192" s="219" t="e">
        <f>VLOOKUP("belgica",#REF!,2,FALSE)</f>
        <v>#REF!</v>
      </c>
      <c r="N192" s="218" t="e">
        <f>VLOOKUP("belgica",#REF!,7,FALSE)/VLOOKUP("belgica",#REF!,7,FALSE)-1</f>
        <v>#REF!</v>
      </c>
      <c r="O192" s="219" t="e">
        <f>VLOOKUP("belgica",#REF!,7,FALSE)</f>
        <v>#REF!</v>
      </c>
      <c r="P192" s="218" t="e">
        <f>VLOOKUP("belgica",#REF!,8,FALSE)/VLOOKUP("belgica",#REF!,8,FALSE)-1</f>
        <v>#REF!</v>
      </c>
      <c r="Q192" s="219" t="e">
        <f>VLOOKUP("belgica",#REF!,8,FALSE)</f>
        <v>#REF!</v>
      </c>
    </row>
    <row r="193" spans="3:17" ht="24" hidden="1" customHeight="1" x14ac:dyDescent="0.2">
      <c r="C193" s="217" t="s">
        <v>43</v>
      </c>
      <c r="D193" s="218" t="e">
        <f>VLOOKUP("alemania",#REF!,6,FALSE)/VLOOKUP("alemania",#REF!,6,FALSE)-1</f>
        <v>#REF!</v>
      </c>
      <c r="E193" s="219" t="e">
        <f>VLOOKUP("alemania",#REF!,6,FALSE)</f>
        <v>#REF!</v>
      </c>
      <c r="F193" s="218" t="e">
        <f>VLOOKUP("alemania",#REF!,5,FALSE)/VLOOKUP("alemania",#REF!,5,FALSE)-1</f>
        <v>#REF!</v>
      </c>
      <c r="G193" s="219" t="e">
        <f>VLOOKUP("alemania",#REF!,5,FALSE)</f>
        <v>#REF!</v>
      </c>
      <c r="H193" s="218" t="e">
        <f>VLOOKUP("alemania",#REF!,4,FALSE)/VLOOKUP("alemania",#REF!,4,FALSE)-1</f>
        <v>#REF!</v>
      </c>
      <c r="I193" s="219" t="e">
        <f>VLOOKUP("alemania",#REF!,4,FALSE)</f>
        <v>#REF!</v>
      </c>
      <c r="J193" s="218" t="e">
        <f>VLOOKUP("alemania",#REF!,3,FALSE)/VLOOKUP("alemania",#REF!,3,FALSE)-1</f>
        <v>#REF!</v>
      </c>
      <c r="K193" s="219" t="e">
        <f>VLOOKUP("alemania",#REF!,3,FALSE)</f>
        <v>#REF!</v>
      </c>
      <c r="L193" s="218" t="e">
        <f>VLOOKUP("alemania",#REF!,2,FALSE)/VLOOKUP("alemania",#REF!,2,FALSE)-1</f>
        <v>#REF!</v>
      </c>
      <c r="M193" s="219" t="e">
        <f>VLOOKUP("alemania",#REF!,2,FALSE)</f>
        <v>#REF!</v>
      </c>
      <c r="N193" s="218" t="e">
        <f>VLOOKUP("alemania",#REF!,7,FALSE)/VLOOKUP("alemania",#REF!,7,FALSE)-1</f>
        <v>#REF!</v>
      </c>
      <c r="O193" s="219" t="e">
        <f>VLOOKUP("alemania",#REF!,7,FALSE)</f>
        <v>#REF!</v>
      </c>
      <c r="P193" s="218" t="e">
        <f>VLOOKUP("alemania",#REF!,8,FALSE)/VLOOKUP("alemania",#REF!,8,FALSE)-1</f>
        <v>#REF!</v>
      </c>
      <c r="Q193" s="219" t="e">
        <f>VLOOKUP("alemania",#REF!,8,FALSE)</f>
        <v>#REF!</v>
      </c>
    </row>
    <row r="194" spans="3:17" ht="24" hidden="1" customHeight="1" x14ac:dyDescent="0.2">
      <c r="C194" s="217" t="s">
        <v>44</v>
      </c>
      <c r="D194" s="218" t="e">
        <f>VLOOKUP("francia",#REF!,6,FALSE)/VLOOKUP("francia",#REF!,6,FALSE)-1</f>
        <v>#REF!</v>
      </c>
      <c r="E194" s="219" t="e">
        <f>VLOOKUP("francia",#REF!,6,FALSE)</f>
        <v>#REF!</v>
      </c>
      <c r="F194" s="218" t="e">
        <f>VLOOKUP("francia",#REF!,5,FALSE)/VLOOKUP("francia",#REF!,5,FALSE)-1</f>
        <v>#REF!</v>
      </c>
      <c r="G194" s="219" t="e">
        <f>VLOOKUP("francia",#REF!,5,FALSE)</f>
        <v>#REF!</v>
      </c>
      <c r="H194" s="218" t="e">
        <f>VLOOKUP("francia",#REF!,4,FALSE)/VLOOKUP("francia",#REF!,4,FALSE)-1</f>
        <v>#REF!</v>
      </c>
      <c r="I194" s="219" t="e">
        <f>VLOOKUP("francia",#REF!,4,FALSE)</f>
        <v>#REF!</v>
      </c>
      <c r="J194" s="218" t="e">
        <f>VLOOKUP("francia",#REF!,3,FALSE)/VLOOKUP("francia",#REF!,3,FALSE)-1</f>
        <v>#REF!</v>
      </c>
      <c r="K194" s="219" t="e">
        <f>VLOOKUP("francia",#REF!,3,FALSE)</f>
        <v>#REF!</v>
      </c>
      <c r="L194" s="218" t="e">
        <f>VLOOKUP("francia",#REF!,2,FALSE)/VLOOKUP("francia",#REF!,2,FALSE)-1</f>
        <v>#REF!</v>
      </c>
      <c r="M194" s="219" t="e">
        <f>VLOOKUP("francia",#REF!,2,FALSE)</f>
        <v>#REF!</v>
      </c>
      <c r="N194" s="218" t="e">
        <f>VLOOKUP("francia",#REF!,7,FALSE)/VLOOKUP("francia",#REF!,7,FALSE)-1</f>
        <v>#REF!</v>
      </c>
      <c r="O194" s="219" t="e">
        <f>VLOOKUP("francia",#REF!,7,FALSE)</f>
        <v>#REF!</v>
      </c>
      <c r="P194" s="218" t="e">
        <f>VLOOKUP("francia",#REF!,8,FALSE)/VLOOKUP("francia",#REF!,8,FALSE)-1</f>
        <v>#REF!</v>
      </c>
      <c r="Q194" s="219" t="e">
        <f>VLOOKUP("francia",#REF!,8,FALSE)</f>
        <v>#REF!</v>
      </c>
    </row>
    <row r="195" spans="3:17" ht="24" hidden="1" customHeight="1" x14ac:dyDescent="0.2">
      <c r="C195" s="217" t="s">
        <v>45</v>
      </c>
      <c r="D195" s="218" t="e">
        <f>VLOOKUP("reino unido",#REF!,6,FALSE)/VLOOKUP("reino unido",#REF!,6,FALSE)-1</f>
        <v>#REF!</v>
      </c>
      <c r="E195" s="219" t="e">
        <f>VLOOKUP("reino unido",#REF!,6,FALSE)</f>
        <v>#REF!</v>
      </c>
      <c r="F195" s="218" t="e">
        <f>VLOOKUP("reino unido",#REF!,5,FALSE)/VLOOKUP("reino unido",#REF!,5,FALSE)-1</f>
        <v>#REF!</v>
      </c>
      <c r="G195" s="219" t="e">
        <f>VLOOKUP("reino unido",#REF!,5,FALSE)</f>
        <v>#REF!</v>
      </c>
      <c r="H195" s="218" t="e">
        <f>VLOOKUP("reino unido",#REF!,4,FALSE)/VLOOKUP("reino unido",#REF!,4,FALSE)-1</f>
        <v>#REF!</v>
      </c>
      <c r="I195" s="219" t="e">
        <f>VLOOKUP("reino unido",#REF!,4,FALSE)</f>
        <v>#REF!</v>
      </c>
      <c r="J195" s="218" t="e">
        <f>VLOOKUP("reino unido",#REF!,3,FALSE)/VLOOKUP("reino unido",#REF!,3,FALSE)-1</f>
        <v>#REF!</v>
      </c>
      <c r="K195" s="219" t="e">
        <f>VLOOKUP("reino unido",#REF!,3,FALSE)</f>
        <v>#REF!</v>
      </c>
      <c r="L195" s="218" t="e">
        <f>VLOOKUP("reino unido",#REF!,2,FALSE)/VLOOKUP("reino unido",#REF!,2,FALSE)-1</f>
        <v>#REF!</v>
      </c>
      <c r="M195" s="219" t="e">
        <f>VLOOKUP("reino unido",#REF!,2,FALSE)</f>
        <v>#REF!</v>
      </c>
      <c r="N195" s="218" t="e">
        <f>VLOOKUP("reino unido",#REF!,7,FALSE)/VLOOKUP("reino unido",#REF!,7,FALSE)-1</f>
        <v>#REF!</v>
      </c>
      <c r="O195" s="219" t="e">
        <f>VLOOKUP("reino unido",#REF!,7,FALSE)</f>
        <v>#REF!</v>
      </c>
      <c r="P195" s="218" t="e">
        <f>VLOOKUP("reino unido",#REF!,8,FALSE)/VLOOKUP("reino unido",#REF!,8,FALSE)-1</f>
        <v>#REF!</v>
      </c>
      <c r="Q195" s="219" t="e">
        <f>VLOOKUP("reino unido",#REF!,8,FALSE)</f>
        <v>#REF!</v>
      </c>
    </row>
    <row r="196" spans="3:17" ht="24" hidden="1" customHeight="1" x14ac:dyDescent="0.2">
      <c r="C196" s="217" t="s">
        <v>46</v>
      </c>
      <c r="D196" s="218" t="e">
        <f>VLOOKUP("irlanda",#REF!,6,FALSE)/VLOOKUP("irlanda",#REF!,6,FALSE)-1</f>
        <v>#REF!</v>
      </c>
      <c r="E196" s="219" t="e">
        <f>VLOOKUP("irlanda",#REF!,6,FALSE)</f>
        <v>#REF!</v>
      </c>
      <c r="F196" s="218" t="e">
        <f>VLOOKUP("irlanda",#REF!,5,FALSE)/VLOOKUP("irlanda",#REF!,5,FALSE)-1</f>
        <v>#REF!</v>
      </c>
      <c r="G196" s="219" t="e">
        <f>VLOOKUP("irlanda",#REF!,5,FALSE)</f>
        <v>#REF!</v>
      </c>
      <c r="H196" s="218" t="e">
        <f>VLOOKUP("irlanda",#REF!,4,FALSE)/VLOOKUP("irlanda",#REF!,4,FALSE)-1</f>
        <v>#REF!</v>
      </c>
      <c r="I196" s="219" t="e">
        <f>VLOOKUP("irlanda",#REF!,4,FALSE)</f>
        <v>#REF!</v>
      </c>
      <c r="J196" s="218" t="e">
        <f>VLOOKUP("irlanda",#REF!,3,FALSE)/VLOOKUP("irlanda",#REF!,3,FALSE)-1</f>
        <v>#REF!</v>
      </c>
      <c r="K196" s="219" t="e">
        <f>VLOOKUP("irlanda",#REF!,3,FALSE)</f>
        <v>#REF!</v>
      </c>
      <c r="L196" s="218" t="e">
        <f>VLOOKUP("irlanda",#REF!,2,FALSE)/VLOOKUP("irlanda",#REF!,2,FALSE)-1</f>
        <v>#REF!</v>
      </c>
      <c r="M196" s="219" t="e">
        <f>VLOOKUP("irlanda",#REF!,2,FALSE)</f>
        <v>#REF!</v>
      </c>
      <c r="N196" s="218" t="e">
        <f>VLOOKUP("irlanda",#REF!,7,FALSE)/VLOOKUP("irlanda",#REF!,7,FALSE)-1</f>
        <v>#REF!</v>
      </c>
      <c r="O196" s="219" t="e">
        <f>VLOOKUP("irlanda",#REF!,7,FALSE)</f>
        <v>#REF!</v>
      </c>
      <c r="P196" s="218" t="e">
        <f>VLOOKUP("irlanda",#REF!,8,FALSE)/VLOOKUP("irlanda",#REF!,8,FALSE)-1</f>
        <v>#REF!</v>
      </c>
      <c r="Q196" s="219" t="e">
        <f>VLOOKUP("irlanda",#REF!,8,FALSE)</f>
        <v>#REF!</v>
      </c>
    </row>
    <row r="197" spans="3:17" ht="24" hidden="1" customHeight="1" x14ac:dyDescent="0.2">
      <c r="C197" s="217" t="s">
        <v>47</v>
      </c>
      <c r="D197" s="218" t="e">
        <f>VLOOKUP("italia",#REF!,6,FALSE)/VLOOKUP("italia",#REF!,6,FALSE)-1</f>
        <v>#REF!</v>
      </c>
      <c r="E197" s="219" t="e">
        <f>VLOOKUP("italia",#REF!,6,FALSE)</f>
        <v>#REF!</v>
      </c>
      <c r="F197" s="218" t="e">
        <f>VLOOKUP("italia",#REF!,5,FALSE)/VLOOKUP("italia",#REF!,5,FALSE)-1</f>
        <v>#REF!</v>
      </c>
      <c r="G197" s="219" t="e">
        <f>VLOOKUP("italia",#REF!,5,FALSE)</f>
        <v>#REF!</v>
      </c>
      <c r="H197" s="218" t="e">
        <f>VLOOKUP("italia",#REF!,4,FALSE)/VLOOKUP("italia",#REF!,4,FALSE)-1</f>
        <v>#REF!</v>
      </c>
      <c r="I197" s="219" t="e">
        <f>VLOOKUP("italia",#REF!,4,FALSE)</f>
        <v>#REF!</v>
      </c>
      <c r="J197" s="218" t="e">
        <f>VLOOKUP("italia",#REF!,3,FALSE)/VLOOKUP("italia",#REF!,3,FALSE)-1</f>
        <v>#REF!</v>
      </c>
      <c r="K197" s="219" t="e">
        <f>VLOOKUP("italia",#REF!,3,FALSE)</f>
        <v>#REF!</v>
      </c>
      <c r="L197" s="218" t="e">
        <f>VLOOKUP("italia",#REF!,2,FALSE)/VLOOKUP("italia",#REF!,2,FALSE)-1</f>
        <v>#REF!</v>
      </c>
      <c r="M197" s="219" t="e">
        <f>VLOOKUP("italia",#REF!,2,FALSE)</f>
        <v>#REF!</v>
      </c>
      <c r="N197" s="218" t="e">
        <f>VLOOKUP("italia",#REF!,7,FALSE)/VLOOKUP("italia",#REF!,7,FALSE)-1</f>
        <v>#REF!</v>
      </c>
      <c r="O197" s="219" t="e">
        <f>VLOOKUP("italia",#REF!,7,FALSE)</f>
        <v>#REF!</v>
      </c>
      <c r="P197" s="218" t="e">
        <f>VLOOKUP("italia",#REF!,8,FALSE)/VLOOKUP("italia",#REF!,8,FALSE)-1</f>
        <v>#REF!</v>
      </c>
      <c r="Q197" s="219" t="e">
        <f>VLOOKUP("italia",#REF!,8,FALSE)</f>
        <v>#REF!</v>
      </c>
    </row>
    <row r="198" spans="3:17" ht="24" hidden="1" customHeight="1" x14ac:dyDescent="0.2">
      <c r="C198" s="217" t="s">
        <v>48</v>
      </c>
      <c r="D198" s="218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219" t="e">
        <f>(VLOOKUP("suecia",#REF!,6,FALSE)+VLOOKUP("noruega",#REF!,6,FALSE)+VLOOKUP("dinamarca",#REF!,6,FALSE)+VLOOKUP("finlandia",#REF!,6,FALSE))</f>
        <v>#REF!</v>
      </c>
      <c r="F198" s="218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219" t="e">
        <f>(VLOOKUP("suecia",#REF!,5,FALSE)+VLOOKUP("noruega",#REF!,5,FALSE)+VLOOKUP("dinamarca",#REF!,5,FALSE)+VLOOKUP("finlandia",#REF!,5,FALSE))</f>
        <v>#REF!</v>
      </c>
      <c r="H198" s="218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219" t="e">
        <f>(VLOOKUP("suecia",#REF!,4,FALSE)+VLOOKUP("noruega",#REF!,4,FALSE)+VLOOKUP("dinamarca",#REF!,4,FALSE)+VLOOKUP("finlandia",#REF!,4,FALSE))</f>
        <v>#REF!</v>
      </c>
      <c r="J198" s="218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219" t="e">
        <f>(VLOOKUP("suecia",#REF!,3,FALSE)+VLOOKUP("noruega",#REF!,3,FALSE)+VLOOKUP("dinamarca",#REF!,3,FALSE)+VLOOKUP("finlandia",#REF!,3,FALSE))</f>
        <v>#REF!</v>
      </c>
      <c r="L198" s="218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219" t="e">
        <f>(VLOOKUP("suecia",#REF!,2,FALSE)+VLOOKUP("noruega",#REF!,2,FALSE)+VLOOKUP("dinamarca",#REF!,2,FALSE)+VLOOKUP("finlandia",#REF!,2,FALSE))</f>
        <v>#REF!</v>
      </c>
      <c r="N198" s="218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219" t="e">
        <f>(VLOOKUP("suecia",#REF!,7,FALSE)+VLOOKUP("noruega",#REF!,7,FALSE)+VLOOKUP("dinamarca",#REF!,7,FALSE)+VLOOKUP("finlandia",#REF!,7,FALSE))</f>
        <v>#REF!</v>
      </c>
      <c r="P198" s="218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219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220" t="s">
        <v>49</v>
      </c>
      <c r="D199" s="218" t="e">
        <f>VLOOKUP("suecia",#REF!,6,FALSE)/VLOOKUP("suecia",#REF!,6,FALSE)-1</f>
        <v>#REF!</v>
      </c>
      <c r="E199" s="219" t="e">
        <f>VLOOKUP("suecia",#REF!,6,FALSE)</f>
        <v>#REF!</v>
      </c>
      <c r="F199" s="218" t="e">
        <f>VLOOKUP("suecia",#REF!,5,FALSE)/VLOOKUP("suecia",#REF!,5,FALSE)-1</f>
        <v>#REF!</v>
      </c>
      <c r="G199" s="219" t="e">
        <f>VLOOKUP("suecia",#REF!,5,FALSE)</f>
        <v>#REF!</v>
      </c>
      <c r="H199" s="218" t="e">
        <f>VLOOKUP("suecia",#REF!,4,FALSE)/VLOOKUP("suecia",#REF!,4,FALSE)-1</f>
        <v>#REF!</v>
      </c>
      <c r="I199" s="219" t="e">
        <f>VLOOKUP("suecia",#REF!,4,FALSE)</f>
        <v>#REF!</v>
      </c>
      <c r="J199" s="218" t="e">
        <f>VLOOKUP("suecia",#REF!,3,FALSE)/VLOOKUP("suecia",#REF!,3,FALSE)-1</f>
        <v>#REF!</v>
      </c>
      <c r="K199" s="219" t="e">
        <f>VLOOKUP("suecia",#REF!,3,FALSE)</f>
        <v>#REF!</v>
      </c>
      <c r="L199" s="218" t="e">
        <f>VLOOKUP("suecia",#REF!,2,FALSE)/VLOOKUP("suecia",#REF!,2,FALSE)-1</f>
        <v>#REF!</v>
      </c>
      <c r="M199" s="219" t="e">
        <f>VLOOKUP("suecia",#REF!,2,FALSE)</f>
        <v>#REF!</v>
      </c>
      <c r="N199" s="218" t="e">
        <f>VLOOKUP("suecia",#REF!,7,FALSE)/VLOOKUP("suecia",#REF!,7,FALSE)-1</f>
        <v>#REF!</v>
      </c>
      <c r="O199" s="219" t="e">
        <f>VLOOKUP("suecia",#REF!,7,FALSE)</f>
        <v>#REF!</v>
      </c>
      <c r="P199" s="218" t="e">
        <f>VLOOKUP("suecia",#REF!,8,FALSE)/VLOOKUP("suecia",#REF!,8,FALSE)-1</f>
        <v>#REF!</v>
      </c>
      <c r="Q199" s="219" t="e">
        <f>VLOOKUP("suecia",#REF!,8,FALSE)</f>
        <v>#REF!</v>
      </c>
    </row>
    <row r="200" spans="3:17" ht="24" hidden="1" customHeight="1" x14ac:dyDescent="0.2">
      <c r="C200" s="220" t="s">
        <v>50</v>
      </c>
      <c r="D200" s="218" t="e">
        <f>VLOOKUP("noruega",#REF!,6,FALSE)/VLOOKUP("noruega",#REF!,6,FALSE)-1</f>
        <v>#REF!</v>
      </c>
      <c r="E200" s="219" t="e">
        <f>VLOOKUP("noruega",#REF!,6,FALSE)</f>
        <v>#REF!</v>
      </c>
      <c r="F200" s="218" t="e">
        <f>VLOOKUP("noruega",#REF!,5,FALSE)/VLOOKUP("noruega",#REF!,5,FALSE)-1</f>
        <v>#REF!</v>
      </c>
      <c r="G200" s="219" t="e">
        <f>VLOOKUP("noruega",#REF!,5,FALSE)</f>
        <v>#REF!</v>
      </c>
      <c r="H200" s="218" t="e">
        <f>VLOOKUP("noruega",#REF!,4,FALSE)/VLOOKUP("noruega",#REF!,4,FALSE)-1</f>
        <v>#REF!</v>
      </c>
      <c r="I200" s="219" t="e">
        <f>VLOOKUP("noruega",#REF!,4,FALSE)</f>
        <v>#REF!</v>
      </c>
      <c r="J200" s="218" t="e">
        <f>VLOOKUP("noruega",#REF!,3,FALSE)/VLOOKUP("noruega",#REF!,3,FALSE)-1</f>
        <v>#REF!</v>
      </c>
      <c r="K200" s="219" t="e">
        <f>VLOOKUP("noruega",#REF!,3,FALSE)</f>
        <v>#REF!</v>
      </c>
      <c r="L200" s="218" t="e">
        <f>VLOOKUP("noruega",#REF!,2,FALSE)/VLOOKUP("noruega",#REF!,2,FALSE)-1</f>
        <v>#REF!</v>
      </c>
      <c r="M200" s="219" t="e">
        <f>VLOOKUP("noruega",#REF!,2,FALSE)</f>
        <v>#REF!</v>
      </c>
      <c r="N200" s="218" t="e">
        <f>VLOOKUP("noruega",#REF!,7,FALSE)/VLOOKUP("noruega",#REF!,7,FALSE)-1</f>
        <v>#REF!</v>
      </c>
      <c r="O200" s="219" t="e">
        <f>VLOOKUP("noruega",#REF!,7,FALSE)</f>
        <v>#REF!</v>
      </c>
      <c r="P200" s="218" t="e">
        <f>VLOOKUP("noruega",#REF!,8,FALSE)/VLOOKUP("noruega",#REF!,8,FALSE)-1</f>
        <v>#REF!</v>
      </c>
      <c r="Q200" s="219" t="e">
        <f>VLOOKUP("noruega",#REF!,8,FALSE)</f>
        <v>#REF!</v>
      </c>
    </row>
    <row r="201" spans="3:17" ht="24" hidden="1" customHeight="1" x14ac:dyDescent="0.2">
      <c r="C201" s="220" t="s">
        <v>51</v>
      </c>
      <c r="D201" s="218" t="e">
        <f>VLOOKUP("dinamarca",#REF!,6,FALSE)/VLOOKUP("dinamarca",#REF!,6,FALSE)-1</f>
        <v>#REF!</v>
      </c>
      <c r="E201" s="219" t="e">
        <f>VLOOKUP("dinamarca",#REF!,6,FALSE)</f>
        <v>#REF!</v>
      </c>
      <c r="F201" s="218" t="e">
        <f>VLOOKUP("dinamarca",#REF!,5,FALSE)/VLOOKUP("dinamarca",#REF!,5,FALSE)-1</f>
        <v>#REF!</v>
      </c>
      <c r="G201" s="219" t="e">
        <f>VLOOKUP("dinamarca",#REF!,5,FALSE)</f>
        <v>#REF!</v>
      </c>
      <c r="H201" s="218" t="e">
        <f>VLOOKUP("dinamarca",#REF!,4,FALSE)/VLOOKUP("dinamarca",#REF!,4,FALSE)-1</f>
        <v>#REF!</v>
      </c>
      <c r="I201" s="219" t="e">
        <f>VLOOKUP("dinamarca",#REF!,4,FALSE)</f>
        <v>#REF!</v>
      </c>
      <c r="J201" s="218" t="e">
        <f>VLOOKUP("dinamarca",#REF!,3,FALSE)/VLOOKUP("dinamarca",#REF!,3,FALSE)-1</f>
        <v>#REF!</v>
      </c>
      <c r="K201" s="219" t="e">
        <f>VLOOKUP("dinamarca",#REF!,3,FALSE)</f>
        <v>#REF!</v>
      </c>
      <c r="L201" s="218" t="e">
        <f>VLOOKUP("dinamarca",#REF!,2,FALSE)/VLOOKUP("dinamarca",#REF!,2,FALSE)-1</f>
        <v>#REF!</v>
      </c>
      <c r="M201" s="219" t="e">
        <f>VLOOKUP("dinamarca",#REF!,2,FALSE)</f>
        <v>#REF!</v>
      </c>
      <c r="N201" s="218" t="e">
        <f>VLOOKUP("dinamarca",#REF!,7,FALSE)/VLOOKUP("dinamarca",#REF!,7,FALSE)-1</f>
        <v>#REF!</v>
      </c>
      <c r="O201" s="219" t="e">
        <f>VLOOKUP("dinamarca",#REF!,7,FALSE)</f>
        <v>#REF!</v>
      </c>
      <c r="P201" s="218" t="e">
        <f>VLOOKUP("dinamarca",#REF!,8,FALSE)/VLOOKUP("dinamarca",#REF!,8,FALSE)-1</f>
        <v>#REF!</v>
      </c>
      <c r="Q201" s="219" t="e">
        <f>VLOOKUP("dinamarca",#REF!,8,FALSE)</f>
        <v>#REF!</v>
      </c>
    </row>
    <row r="202" spans="3:17" ht="24" hidden="1" customHeight="1" x14ac:dyDescent="0.2">
      <c r="C202" s="220" t="s">
        <v>52</v>
      </c>
      <c r="D202" s="218" t="s">
        <v>38</v>
      </c>
      <c r="E202" s="219" t="e">
        <f>VLOOKUP("finlandia",#REF!,6,FALSE)</f>
        <v>#REF!</v>
      </c>
      <c r="F202" s="218" t="e">
        <f>VLOOKUP("finlandia",#REF!,5,FALSE)/VLOOKUP("finlandia",#REF!,5,FALSE)-1</f>
        <v>#REF!</v>
      </c>
      <c r="G202" s="219" t="e">
        <f>VLOOKUP("finlandia",#REF!,5,FALSE)</f>
        <v>#REF!</v>
      </c>
      <c r="H202" s="218" t="e">
        <f>VLOOKUP("finlandia",#REF!,4,FALSE)/VLOOKUP("finlandia",#REF!,4,FALSE)-1</f>
        <v>#REF!</v>
      </c>
      <c r="I202" s="219" t="e">
        <f>VLOOKUP("finlandia",#REF!,4,FALSE)</f>
        <v>#REF!</v>
      </c>
      <c r="J202" s="218" t="e">
        <f>VLOOKUP("finlandia",#REF!,3,FALSE)/VLOOKUP("finlandia",#REF!,3,FALSE)-1</f>
        <v>#REF!</v>
      </c>
      <c r="K202" s="219" t="e">
        <f>VLOOKUP("finlandia",#REF!,3,FALSE)</f>
        <v>#REF!</v>
      </c>
      <c r="L202" s="218" t="s">
        <v>38</v>
      </c>
      <c r="M202" s="219" t="e">
        <f>VLOOKUP("finlandia",#REF!,2,FALSE)</f>
        <v>#REF!</v>
      </c>
      <c r="N202" s="218" t="e">
        <f>VLOOKUP("finlandia",#REF!,7,FALSE)/VLOOKUP("finlandia",#REF!,7,FALSE)-1</f>
        <v>#REF!</v>
      </c>
      <c r="O202" s="219" t="e">
        <f>VLOOKUP("finlandia",#REF!,7,FALSE)</f>
        <v>#REF!</v>
      </c>
      <c r="P202" s="218" t="e">
        <f>VLOOKUP("finlandia",#REF!,8,FALSE)/VLOOKUP("finlandia",#REF!,8,FALSE)-1</f>
        <v>#REF!</v>
      </c>
      <c r="Q202" s="219" t="e">
        <f>VLOOKUP("finlandia",#REF!,8,FALSE)</f>
        <v>#REF!</v>
      </c>
    </row>
    <row r="203" spans="3:17" ht="24" hidden="1" customHeight="1" x14ac:dyDescent="0.2">
      <c r="C203" s="217" t="s">
        <v>53</v>
      </c>
      <c r="D203" s="218" t="e">
        <f>VLOOKUP("suiza",#REF!,6,FALSE)/VLOOKUP("suiza",#REF!,6,FALSE)-1</f>
        <v>#REF!</v>
      </c>
      <c r="E203" s="219" t="e">
        <f>VLOOKUP("suiza",#REF!,6,FALSE)</f>
        <v>#REF!</v>
      </c>
      <c r="F203" s="218" t="e">
        <f>VLOOKUP("suiza",#REF!,5,FALSE)/VLOOKUP("suiza",#REF!,5,FALSE)-1</f>
        <v>#REF!</v>
      </c>
      <c r="G203" s="219" t="e">
        <f>VLOOKUP("suiza",#REF!,5,FALSE)</f>
        <v>#REF!</v>
      </c>
      <c r="H203" s="218" t="e">
        <f>VLOOKUP("suiza",#REF!,4,FALSE)/VLOOKUP("suiza",#REF!,4,FALSE)-1</f>
        <v>#REF!</v>
      </c>
      <c r="I203" s="219" t="e">
        <f>VLOOKUP("suiza",#REF!,4,FALSE)</f>
        <v>#REF!</v>
      </c>
      <c r="J203" s="218" t="e">
        <f>VLOOKUP("suiza",#REF!,3,FALSE)/VLOOKUP("suiza",#REF!,3,FALSE)-1</f>
        <v>#REF!</v>
      </c>
      <c r="K203" s="219" t="e">
        <f>VLOOKUP("suiza",#REF!,3,FALSE)</f>
        <v>#REF!</v>
      </c>
      <c r="L203" s="218" t="e">
        <f>VLOOKUP("suiza",#REF!,2,FALSE)/VLOOKUP("suiza",#REF!,2,FALSE)-1</f>
        <v>#REF!</v>
      </c>
      <c r="M203" s="219" t="e">
        <f>VLOOKUP("suiza",#REF!,2,FALSE)</f>
        <v>#REF!</v>
      </c>
      <c r="N203" s="218" t="e">
        <f>VLOOKUP("suiza",#REF!,7,FALSE)/VLOOKUP("suiza",#REF!,7,FALSE)-1</f>
        <v>#REF!</v>
      </c>
      <c r="O203" s="219" t="e">
        <f>VLOOKUP("suiza",#REF!,7,FALSE)</f>
        <v>#REF!</v>
      </c>
      <c r="P203" s="218" t="e">
        <f>VLOOKUP("suiza",#REF!,8,FALSE)/VLOOKUP("suiza",#REF!,8,FALSE)-1</f>
        <v>#REF!</v>
      </c>
      <c r="Q203" s="219" t="e">
        <f>VLOOKUP("suiza",#REF!,8,FALSE)</f>
        <v>#REF!</v>
      </c>
    </row>
    <row r="204" spans="3:17" ht="24" hidden="1" customHeight="1" x14ac:dyDescent="0.2">
      <c r="C204" s="217" t="s">
        <v>54</v>
      </c>
      <c r="D204" s="218" t="e">
        <f>VLOOKUP("austria",#REF!,6,FALSE)/VLOOKUP("austria",#REF!,6,FALSE)-1</f>
        <v>#REF!</v>
      </c>
      <c r="E204" s="219" t="e">
        <f>VLOOKUP("austria",#REF!,6,FALSE)</f>
        <v>#REF!</v>
      </c>
      <c r="F204" s="218" t="e">
        <f>VLOOKUP("austria",#REF!,5,FALSE)/VLOOKUP("austria",#REF!,5,FALSE)-1</f>
        <v>#REF!</v>
      </c>
      <c r="G204" s="219" t="e">
        <f>VLOOKUP("austria",#REF!,5,FALSE)</f>
        <v>#REF!</v>
      </c>
      <c r="H204" s="218" t="e">
        <f>VLOOKUP("austria",#REF!,4,FALSE)/VLOOKUP("austria",#REF!,4,FALSE)-1</f>
        <v>#REF!</v>
      </c>
      <c r="I204" s="219" t="e">
        <f>VLOOKUP("austria",#REF!,4,FALSE)</f>
        <v>#REF!</v>
      </c>
      <c r="J204" s="218" t="e">
        <f>VLOOKUP("austria",#REF!,3,FALSE)/VLOOKUP("austria",#REF!,3,FALSE)-1</f>
        <v>#REF!</v>
      </c>
      <c r="K204" s="219" t="e">
        <f>VLOOKUP("austria",#REF!,3,FALSE)</f>
        <v>#REF!</v>
      </c>
      <c r="L204" s="218" t="e">
        <f>VLOOKUP("austria",#REF!,2,FALSE)/VLOOKUP("austria",#REF!,2,FALSE)-1</f>
        <v>#REF!</v>
      </c>
      <c r="M204" s="219" t="e">
        <f>VLOOKUP("austria",#REF!,2,FALSE)</f>
        <v>#REF!</v>
      </c>
      <c r="N204" s="218" t="e">
        <f>VLOOKUP("austria",#REF!,7,FALSE)/VLOOKUP("austria",#REF!,7,FALSE)-1</f>
        <v>#REF!</v>
      </c>
      <c r="O204" s="219" t="e">
        <f>VLOOKUP("austria",#REF!,7,FALSE)</f>
        <v>#REF!</v>
      </c>
      <c r="P204" s="218" t="e">
        <f>VLOOKUP("austria",#REF!,8,FALSE)/VLOOKUP("austria",#REF!,8,FALSE)-1</f>
        <v>#REF!</v>
      </c>
      <c r="Q204" s="219" t="e">
        <f>VLOOKUP("austria",#REF!,8,FALSE)</f>
        <v>#REF!</v>
      </c>
    </row>
    <row r="205" spans="3:17" ht="24" hidden="1" customHeight="1" x14ac:dyDescent="0.2">
      <c r="C205" s="217" t="s">
        <v>55</v>
      </c>
      <c r="D205" s="218" t="e">
        <f>VLOOKUP("rusia",#REF!,6,FALSE)/VLOOKUP("rusia",#REF!,6,FALSE)-1</f>
        <v>#REF!</v>
      </c>
      <c r="E205" s="219" t="e">
        <f>VLOOKUP("rusia",#REF!,6,FALSE)</f>
        <v>#REF!</v>
      </c>
      <c r="F205" s="218" t="e">
        <f>VLOOKUP("rusia",#REF!,5,FALSE)/VLOOKUP("rusia",#REF!,5,FALSE)-1</f>
        <v>#REF!</v>
      </c>
      <c r="G205" s="219" t="e">
        <f>VLOOKUP("rusia",#REF!,5,FALSE)</f>
        <v>#REF!</v>
      </c>
      <c r="H205" s="218" t="e">
        <f>VLOOKUP("rusia",#REF!,4,FALSE)/VLOOKUP("rusia",#REF!,4,FALSE)-1</f>
        <v>#REF!</v>
      </c>
      <c r="I205" s="219" t="e">
        <f>VLOOKUP("rusia",#REF!,4,FALSE)</f>
        <v>#REF!</v>
      </c>
      <c r="J205" s="218" t="e">
        <f>VLOOKUP("rusia",#REF!,3,FALSE)/VLOOKUP("rusia",#REF!,3,FALSE)-1</f>
        <v>#REF!</v>
      </c>
      <c r="K205" s="219" t="e">
        <f>VLOOKUP("rusia",#REF!,3,FALSE)</f>
        <v>#REF!</v>
      </c>
      <c r="L205" s="218" t="e">
        <f>VLOOKUP("rusia",#REF!,2,FALSE)/VLOOKUP("rusia",#REF!,2,FALSE)-1</f>
        <v>#REF!</v>
      </c>
      <c r="M205" s="219" t="e">
        <f>VLOOKUP("rusia",#REF!,2,FALSE)</f>
        <v>#REF!</v>
      </c>
      <c r="N205" s="218" t="e">
        <f>VLOOKUP("rusia",#REF!,7,FALSE)/VLOOKUP("rusia",#REF!,7,FALSE)-1</f>
        <v>#REF!</v>
      </c>
      <c r="O205" s="219" t="e">
        <f>VLOOKUP("rusia",#REF!,7,FALSE)</f>
        <v>#REF!</v>
      </c>
      <c r="P205" s="218" t="e">
        <f>VLOOKUP("rusia",#REF!,8,FALSE)/VLOOKUP("rusia",#REF!,8,FALSE)-1</f>
        <v>#REF!</v>
      </c>
      <c r="Q205" s="219" t="e">
        <f>VLOOKUP("rusia",#REF!,8,FALSE)</f>
        <v>#REF!</v>
      </c>
    </row>
    <row r="206" spans="3:17" ht="24" hidden="1" customHeight="1" x14ac:dyDescent="0.2">
      <c r="C206" s="217" t="s">
        <v>56</v>
      </c>
      <c r="D206" s="218" t="e">
        <f>VLOOKUP("paises del este",#REF!,6,FALSE)/VLOOKUP("paises del este",#REF!,6,FALSE)-1</f>
        <v>#REF!</v>
      </c>
      <c r="E206" s="219" t="e">
        <f>VLOOKUP("paises del este",#REF!,6,FALSE)</f>
        <v>#REF!</v>
      </c>
      <c r="F206" s="218" t="e">
        <f>VLOOKUP("paises del este",#REF!,5,FALSE)/VLOOKUP("paises del este",#REF!,5,FALSE)-1</f>
        <v>#REF!</v>
      </c>
      <c r="G206" s="219" t="e">
        <f>VLOOKUP("paises del este",#REF!,5,FALSE)</f>
        <v>#REF!</v>
      </c>
      <c r="H206" s="218" t="e">
        <f>VLOOKUP("paises del este",#REF!,4,FALSE)/VLOOKUP("paises del este",#REF!,4,FALSE)-1</f>
        <v>#REF!</v>
      </c>
      <c r="I206" s="219" t="e">
        <f>VLOOKUP("paises del este",#REF!,4,FALSE)</f>
        <v>#REF!</v>
      </c>
      <c r="J206" s="218" t="e">
        <f>VLOOKUP("paises del este",#REF!,3,FALSE)/VLOOKUP("paises del este",#REF!,3,FALSE)-1</f>
        <v>#REF!</v>
      </c>
      <c r="K206" s="219" t="e">
        <f>VLOOKUP("paises del este",#REF!,3,FALSE)</f>
        <v>#REF!</v>
      </c>
      <c r="L206" s="218" t="e">
        <f>VLOOKUP("paises del este",#REF!,2,FALSE)/VLOOKUP("paises del este",#REF!,2,FALSE)-1</f>
        <v>#REF!</v>
      </c>
      <c r="M206" s="219" t="e">
        <f>VLOOKUP("paises del este",#REF!,2,FALSE)</f>
        <v>#REF!</v>
      </c>
      <c r="N206" s="218" t="e">
        <f>VLOOKUP("paises del este",#REF!,7,FALSE)/VLOOKUP("paises del este",#REF!,7,FALSE)-1</f>
        <v>#REF!</v>
      </c>
      <c r="O206" s="219" t="e">
        <f>VLOOKUP("paises del este",#REF!,7,FALSE)</f>
        <v>#REF!</v>
      </c>
      <c r="P206" s="218" t="e">
        <f>VLOOKUP("paises del este",#REF!,8,FALSE)/VLOOKUP("paises del este",#REF!,8,FALSE)-1</f>
        <v>#REF!</v>
      </c>
      <c r="Q206" s="219" t="e">
        <f>VLOOKUP("paises del este",#REF!,8,FALSE)</f>
        <v>#REF!</v>
      </c>
    </row>
    <row r="207" spans="3:17" ht="24" hidden="1" customHeight="1" x14ac:dyDescent="0.2">
      <c r="C207" s="217" t="s">
        <v>57</v>
      </c>
      <c r="D207" s="218" t="e">
        <f>VLOOKUP("resto de europa",#REF!,6,FALSE)/VLOOKUP("resto de europa",#REF!,6,FALSE)-1</f>
        <v>#REF!</v>
      </c>
      <c r="E207" s="219" t="e">
        <f>VLOOKUP("resto de europa",#REF!,6,FALSE)</f>
        <v>#REF!</v>
      </c>
      <c r="F207" s="218" t="e">
        <f>VLOOKUP("resto de europa",#REF!,5,FALSE)/VLOOKUP("resto de europa",#REF!,5,FALSE)-1</f>
        <v>#REF!</v>
      </c>
      <c r="G207" s="219" t="e">
        <f>VLOOKUP("resto de europa",#REF!,5,FALSE)</f>
        <v>#REF!</v>
      </c>
      <c r="H207" s="218" t="e">
        <f>VLOOKUP("resto de europa",#REF!,4,FALSE)/VLOOKUP("resto de europa",#REF!,4,FALSE)-1</f>
        <v>#REF!</v>
      </c>
      <c r="I207" s="219" t="e">
        <f>VLOOKUP("resto de europa",#REF!,4,FALSE)</f>
        <v>#REF!</v>
      </c>
      <c r="J207" s="218" t="e">
        <f>VLOOKUP("resto de europa",#REF!,3,FALSE)/VLOOKUP("resto de europa",#REF!,3,FALSE)-1</f>
        <v>#REF!</v>
      </c>
      <c r="K207" s="219" t="e">
        <f>VLOOKUP("resto de europa",#REF!,3,FALSE)</f>
        <v>#REF!</v>
      </c>
      <c r="L207" s="218" t="e">
        <f>VLOOKUP("resto de europa",#REF!,2,FALSE)/VLOOKUP("resto de europa",#REF!,2,FALSE)-1</f>
        <v>#REF!</v>
      </c>
      <c r="M207" s="219" t="e">
        <f>VLOOKUP("resto de europa",#REF!,2,FALSE)</f>
        <v>#REF!</v>
      </c>
      <c r="N207" s="218" t="e">
        <f>VLOOKUP("resto de europa",#REF!,7,FALSE)/VLOOKUP("resto de europa",#REF!,7,FALSE)-1</f>
        <v>#REF!</v>
      </c>
      <c r="O207" s="219" t="e">
        <f>VLOOKUP("resto de europa",#REF!,7,FALSE)</f>
        <v>#REF!</v>
      </c>
      <c r="P207" s="218" t="e">
        <f>VLOOKUP("resto de europa",#REF!,8,FALSE)/VLOOKUP("resto de europa",#REF!,8,FALSE)-1</f>
        <v>#REF!</v>
      </c>
      <c r="Q207" s="219" t="e">
        <f>VLOOKUP("resto de europa",#REF!,8,FALSE)</f>
        <v>#REF!</v>
      </c>
    </row>
    <row r="208" spans="3:17" ht="24" hidden="1" customHeight="1" x14ac:dyDescent="0.2">
      <c r="C208" s="217" t="s">
        <v>58</v>
      </c>
      <c r="D208" s="218" t="e">
        <f>VLOOKUP("usa",#REF!,6,FALSE)/VLOOKUP("usa",#REF!,6,FALSE)-1</f>
        <v>#REF!</v>
      </c>
      <c r="E208" s="219" t="e">
        <f>VLOOKUP("usa",#REF!,6,FALSE)</f>
        <v>#REF!</v>
      </c>
      <c r="F208" s="218" t="e">
        <f>VLOOKUP("usa",#REF!,5,FALSE)/VLOOKUP("usa",#REF!,5,FALSE)-1</f>
        <v>#REF!</v>
      </c>
      <c r="G208" s="219" t="e">
        <f>VLOOKUP("usa",#REF!,5,FALSE)</f>
        <v>#REF!</v>
      </c>
      <c r="H208" s="218" t="e">
        <f>VLOOKUP("usa",#REF!,4,FALSE)/VLOOKUP("usa",#REF!,4,FALSE)-1</f>
        <v>#REF!</v>
      </c>
      <c r="I208" s="219" t="e">
        <f>VLOOKUP("usa",#REF!,4,FALSE)</f>
        <v>#REF!</v>
      </c>
      <c r="J208" s="218" t="e">
        <f>VLOOKUP("usa",#REF!,3,FALSE)/VLOOKUP("usa",#REF!,3,FALSE)-1</f>
        <v>#REF!</v>
      </c>
      <c r="K208" s="219" t="e">
        <f>VLOOKUP("usa",#REF!,3,FALSE)</f>
        <v>#REF!</v>
      </c>
      <c r="L208" s="218" t="e">
        <f>VLOOKUP("usa",#REF!,2,FALSE)/VLOOKUP("usa",#REF!,2,FALSE)-1</f>
        <v>#REF!</v>
      </c>
      <c r="M208" s="219" t="e">
        <f>VLOOKUP("usa",#REF!,2,FALSE)</f>
        <v>#REF!</v>
      </c>
      <c r="N208" s="218" t="e">
        <f>VLOOKUP("usa",#REF!,7,FALSE)/VLOOKUP("usa",#REF!,7,FALSE)-1</f>
        <v>#REF!</v>
      </c>
      <c r="O208" s="219" t="e">
        <f>VLOOKUP("usa",#REF!,7,FALSE)</f>
        <v>#REF!</v>
      </c>
      <c r="P208" s="218" t="e">
        <f>VLOOKUP("usa",#REF!,8,FALSE)/VLOOKUP("usa",#REF!,8,FALSE)-1</f>
        <v>#REF!</v>
      </c>
      <c r="Q208" s="219" t="e">
        <f>VLOOKUP("usa",#REF!,8,FALSE)</f>
        <v>#REF!</v>
      </c>
    </row>
    <row r="209" spans="3:18" ht="24" hidden="1" customHeight="1" x14ac:dyDescent="0.2">
      <c r="C209" s="217" t="s">
        <v>59</v>
      </c>
      <c r="D209" s="218" t="e">
        <f>VLOOKUP("resto de america",#REF!,6,FALSE)/VLOOKUP("resto de america",#REF!,6,FALSE)-1</f>
        <v>#REF!</v>
      </c>
      <c r="E209" s="219" t="e">
        <f>VLOOKUP("resto de america",#REF!,6,FALSE)</f>
        <v>#REF!</v>
      </c>
      <c r="F209" s="218" t="e">
        <f>VLOOKUP("resto de america",#REF!,5,FALSE)/VLOOKUP("resto de america",#REF!,5,FALSE)-1</f>
        <v>#REF!</v>
      </c>
      <c r="G209" s="219" t="e">
        <f>VLOOKUP("resto de america",#REF!,5,FALSE)</f>
        <v>#REF!</v>
      </c>
      <c r="H209" s="218" t="e">
        <f>VLOOKUP("resto de america",#REF!,4,FALSE)/VLOOKUP("resto de america",#REF!,4,FALSE)-1</f>
        <v>#REF!</v>
      </c>
      <c r="I209" s="219" t="e">
        <f>VLOOKUP("resto de america",#REF!,4,FALSE)</f>
        <v>#REF!</v>
      </c>
      <c r="J209" s="218" t="e">
        <f>VLOOKUP("resto de america",#REF!,3,FALSE)/VLOOKUP("resto de america",#REF!,3,FALSE)-1</f>
        <v>#REF!</v>
      </c>
      <c r="K209" s="219" t="e">
        <f>VLOOKUP("resto de america",#REF!,3,FALSE)</f>
        <v>#REF!</v>
      </c>
      <c r="L209" s="218" t="e">
        <f>VLOOKUP("resto de america",#REF!,2,FALSE)/VLOOKUP("resto de america",#REF!,2,FALSE)-1</f>
        <v>#REF!</v>
      </c>
      <c r="M209" s="219" t="e">
        <f>VLOOKUP("resto de america",#REF!,2,FALSE)</f>
        <v>#REF!</v>
      </c>
      <c r="N209" s="218" t="e">
        <f>VLOOKUP("resto de america",#REF!,7,FALSE)/VLOOKUP("resto de america",#REF!,7,FALSE)-1</f>
        <v>#REF!</v>
      </c>
      <c r="O209" s="219" t="e">
        <f>VLOOKUP("resto de america",#REF!,7,FALSE)</f>
        <v>#REF!</v>
      </c>
      <c r="P209" s="218" t="e">
        <f>VLOOKUP("resto de america",#REF!,8,FALSE)/VLOOKUP("resto de america",#REF!,8,FALSE)-1</f>
        <v>#REF!</v>
      </c>
      <c r="Q209" s="219" t="e">
        <f>VLOOKUP("resto de america",#REF!,8,FALSE)</f>
        <v>#REF!</v>
      </c>
    </row>
    <row r="210" spans="3:18" ht="24" hidden="1" customHeight="1" x14ac:dyDescent="0.2">
      <c r="C210" s="217" t="s">
        <v>60</v>
      </c>
      <c r="D210" s="218" t="e">
        <f>VLOOKUP("resto del mundo",#REF!,6,FALSE)/VLOOKUP("resto del mundo",#REF!,6,FALSE)-1</f>
        <v>#REF!</v>
      </c>
      <c r="E210" s="219" t="e">
        <f>VLOOKUP("resto del mundo",#REF!,6,FALSE)</f>
        <v>#REF!</v>
      </c>
      <c r="F210" s="218" t="e">
        <f>VLOOKUP("resto del mundo",#REF!,5,FALSE)/VLOOKUP("resto del mundo",#REF!,5,FALSE)-1</f>
        <v>#REF!</v>
      </c>
      <c r="G210" s="219" t="e">
        <f>VLOOKUP("resto del mundo",#REF!,5,FALSE)</f>
        <v>#REF!</v>
      </c>
      <c r="H210" s="218" t="e">
        <f>VLOOKUP("resto del mundo",#REF!,4,FALSE)/VLOOKUP("resto del mundo",#REF!,4,FALSE)-1</f>
        <v>#REF!</v>
      </c>
      <c r="I210" s="219" t="e">
        <f>VLOOKUP("resto del mundo",#REF!,4,FALSE)</f>
        <v>#REF!</v>
      </c>
      <c r="J210" s="218" t="e">
        <f>VLOOKUP("resto del mundo",#REF!,3,FALSE)/VLOOKUP("resto del mundo",#REF!,3,FALSE)-1</f>
        <v>#REF!</v>
      </c>
      <c r="K210" s="219" t="e">
        <f>VLOOKUP("resto del mundo",#REF!,3,FALSE)</f>
        <v>#REF!</v>
      </c>
      <c r="L210" s="218" t="e">
        <f>VLOOKUP("resto del mundo",#REF!,2,FALSE)/VLOOKUP("resto del mundo",#REF!,2,FALSE)-1</f>
        <v>#REF!</v>
      </c>
      <c r="M210" s="219" t="e">
        <f>VLOOKUP("resto del mundo",#REF!,2,FALSE)</f>
        <v>#REF!</v>
      </c>
      <c r="N210" s="218" t="e">
        <f>VLOOKUP("resto del mundo",#REF!,7,FALSE)/VLOOKUP("resto del mundo",#REF!,7,FALSE)-1</f>
        <v>#REF!</v>
      </c>
      <c r="O210" s="219" t="e">
        <f>VLOOKUP("resto del mundo",#REF!,7,FALSE)</f>
        <v>#REF!</v>
      </c>
      <c r="P210" s="218" t="e">
        <f>VLOOKUP("resto del mundo",#REF!,8,FALSE)/VLOOKUP("resto del mundo",#REF!,8,FALSE)-1</f>
        <v>#REF!</v>
      </c>
      <c r="Q210" s="219" t="e">
        <f>VLOOKUP("resto del mundo",#REF!,8,FALSE)</f>
        <v>#REF!</v>
      </c>
    </row>
    <row r="211" spans="3:18" ht="24" hidden="1" customHeight="1" x14ac:dyDescent="0.2">
      <c r="C211" s="217" t="s">
        <v>61</v>
      </c>
      <c r="D211" s="218" t="e">
        <f>(VLOOKUP("total",#REF!,6,FALSE)-VLOOKUP("españa",#REF!,6,FALSE))/(VLOOKUP("total",#REF!,6,FALSE)-VLOOKUP("españa",#REF!,6,FALSE))-1</f>
        <v>#REF!</v>
      </c>
      <c r="E211" s="219" t="e">
        <f>VLOOKUP("total",#REF!,6,FALSE)-VLOOKUP("españa",#REF!,6,FALSE)</f>
        <v>#REF!</v>
      </c>
      <c r="F211" s="218" t="e">
        <f>(VLOOKUP("total",#REF!,5,FALSE)-VLOOKUP("españa",#REF!,5,FALSE))/(VLOOKUP("total",#REF!,5,FALSE)-VLOOKUP("españa",#REF!,5,FALSE))-1</f>
        <v>#REF!</v>
      </c>
      <c r="G211" s="219" t="e">
        <f>VLOOKUP("total",#REF!,5,FALSE)-VLOOKUP("españa",#REF!,5,FALSE)</f>
        <v>#REF!</v>
      </c>
      <c r="H211" s="218" t="e">
        <f>(VLOOKUP("total",#REF!,4,FALSE)-VLOOKUP("españa",#REF!,4,FALSE))/(VLOOKUP("total",#REF!,4,FALSE)-VLOOKUP("españa",#REF!,4,FALSE))-1</f>
        <v>#REF!</v>
      </c>
      <c r="I211" s="219" t="e">
        <f>VLOOKUP("total",#REF!,4,FALSE)-VLOOKUP("españa",#REF!,4,FALSE)</f>
        <v>#REF!</v>
      </c>
      <c r="J211" s="218" t="e">
        <f>(VLOOKUP("total",#REF!,3,FALSE)-VLOOKUP("españa",#REF!,3,FALSE))/(VLOOKUP("total",#REF!,3,FALSE)-VLOOKUP("españa",#REF!,3,FALSE))-1</f>
        <v>#REF!</v>
      </c>
      <c r="K211" s="219" t="e">
        <f>VLOOKUP("total",#REF!,3,FALSE)-VLOOKUP("españa",#REF!,3,FALSE)</f>
        <v>#REF!</v>
      </c>
      <c r="L211" s="218" t="e">
        <f>(VLOOKUP("total",#REF!,2,FALSE)-VLOOKUP("españa",#REF!,2,FALSE))/(VLOOKUP("total",#REF!,2,FALSE)-VLOOKUP("españa",#REF!,2,FALSE))-1</f>
        <v>#REF!</v>
      </c>
      <c r="M211" s="219" t="e">
        <f>VLOOKUP("total",#REF!,2,FALSE)-VLOOKUP("españa",#REF!,2,FALSE)</f>
        <v>#REF!</v>
      </c>
      <c r="N211" s="218" t="e">
        <f>(VLOOKUP("total",#REF!,7,FALSE)-VLOOKUP("españa",#REF!,7,FALSE))/(VLOOKUP("total",#REF!,7,FALSE)-VLOOKUP("españa",#REF!,7,FALSE))-1</f>
        <v>#REF!</v>
      </c>
      <c r="O211" s="219" t="e">
        <f>VLOOKUP("total",#REF!,7,FALSE)-VLOOKUP("españa",#REF!,7,FALSE)</f>
        <v>#REF!</v>
      </c>
      <c r="P211" s="218" t="e">
        <f>(VLOOKUP("total",#REF!,8,FALSE)-VLOOKUP("españa",#REF!,8,FALSE))/(VLOOKUP("total",#REF!,8,FALSE)-VLOOKUP("españa",#REF!,8,FALSE))-1</f>
        <v>#REF!</v>
      </c>
      <c r="Q211" s="219" t="e">
        <f>VLOOKUP("total",#REF!,8,FALSE)-VLOOKUP("españa",#REF!,8,FALSE)</f>
        <v>#REF!</v>
      </c>
    </row>
    <row r="212" spans="3:18" ht="24" hidden="1" customHeight="1" x14ac:dyDescent="0.2">
      <c r="C212" s="217" t="s">
        <v>8</v>
      </c>
      <c r="D212" s="218" t="e">
        <f>VLOOKUP("total",#REF!,6,FALSE)/VLOOKUP("total",#REF!,6,FALSE)-1</f>
        <v>#REF!</v>
      </c>
      <c r="E212" s="219" t="e">
        <f>VLOOKUP("total",#REF!,6,FALSE)</f>
        <v>#REF!</v>
      </c>
      <c r="F212" s="218" t="e">
        <f>VLOOKUP("total",#REF!,5,FALSE)/VLOOKUP("total",#REF!,5,FALSE)-1</f>
        <v>#REF!</v>
      </c>
      <c r="G212" s="219" t="e">
        <f>VLOOKUP("total",#REF!,5,FALSE)</f>
        <v>#REF!</v>
      </c>
      <c r="H212" s="218" t="e">
        <f>VLOOKUP("total",#REF!,4,FALSE)/VLOOKUP("total",#REF!,4,FALSE)-1</f>
        <v>#REF!</v>
      </c>
      <c r="I212" s="219" t="e">
        <f>VLOOKUP("total",#REF!,4,FALSE)</f>
        <v>#REF!</v>
      </c>
      <c r="J212" s="218" t="e">
        <f>VLOOKUP("total",#REF!,3,FALSE)/VLOOKUP("total",#REF!,3,FALSE)-1</f>
        <v>#REF!</v>
      </c>
      <c r="K212" s="219" t="e">
        <f>VLOOKUP("total",#REF!,3,FALSE)</f>
        <v>#REF!</v>
      </c>
      <c r="L212" s="218" t="e">
        <f>VLOOKUP("total",#REF!,2,FALSE)/VLOOKUP("total",#REF!,2,FALSE)-1</f>
        <v>#REF!</v>
      </c>
      <c r="M212" s="219" t="e">
        <f>VLOOKUP("total",#REF!,2,FALSE)</f>
        <v>#REF!</v>
      </c>
      <c r="N212" s="218" t="e">
        <f>VLOOKUP("total",#REF!,7,FALSE)/VLOOKUP("total",#REF!,7,FALSE)-1</f>
        <v>#REF!</v>
      </c>
      <c r="O212" s="219" t="e">
        <f>VLOOKUP("total",#REF!,7,FALSE)</f>
        <v>#REF!</v>
      </c>
      <c r="P212" s="218" t="e">
        <f>VLOOKUP("total",#REF!,8,FALSE)/VLOOKUP("total",#REF!,8,FALSE)-1</f>
        <v>#REF!</v>
      </c>
      <c r="Q212" s="219" t="e">
        <f>VLOOKUP("total",#REF!,8,FALSE)</f>
        <v>#REF!</v>
      </c>
    </row>
    <row r="213" spans="3:18" hidden="1" x14ac:dyDescent="0.2">
      <c r="C213" s="158"/>
      <c r="D213" s="159"/>
      <c r="E213" s="159"/>
      <c r="F213" s="159"/>
      <c r="G213" s="159"/>
      <c r="H213" s="159"/>
      <c r="I213" s="159"/>
      <c r="J213" s="159"/>
      <c r="K213" s="159"/>
      <c r="L213" s="159"/>
      <c r="M213" s="161"/>
    </row>
    <row r="214" spans="3:18" ht="35.25" hidden="1" customHeight="1" x14ac:dyDescent="0.2">
      <c r="C214" s="208" t="s">
        <v>29</v>
      </c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10"/>
    </row>
    <row r="215" spans="3:18" ht="20.100000000000001" hidden="1" customHeight="1" x14ac:dyDescent="0.2">
      <c r="C215" s="221" t="str">
        <f>I2</f>
        <v>año 2021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3"/>
    </row>
    <row r="216" spans="3:18" ht="13.5" hidden="1" thickBot="1" x14ac:dyDescent="0.25">
      <c r="C216" s="213"/>
      <c r="D216" s="214" t="s">
        <v>24</v>
      </c>
      <c r="E216" s="215"/>
      <c r="F216" s="214" t="s">
        <v>23</v>
      </c>
      <c r="G216" s="215"/>
      <c r="H216" s="214" t="s">
        <v>22</v>
      </c>
      <c r="I216" s="215"/>
      <c r="J216" s="214" t="s">
        <v>21</v>
      </c>
      <c r="K216" s="215"/>
      <c r="L216" s="214" t="s">
        <v>20</v>
      </c>
      <c r="M216" s="215"/>
      <c r="N216" s="214" t="s">
        <v>63</v>
      </c>
      <c r="O216" s="215"/>
      <c r="P216" s="214" t="s">
        <v>64</v>
      </c>
      <c r="Q216" s="215"/>
    </row>
    <row r="217" spans="3:18" ht="28.5" hidden="1" customHeight="1" x14ac:dyDescent="0.2">
      <c r="C217" s="213"/>
      <c r="D217" s="216" t="s">
        <v>65</v>
      </c>
      <c r="E217" s="216" t="s">
        <v>66</v>
      </c>
      <c r="F217" s="216" t="s">
        <v>65</v>
      </c>
      <c r="G217" s="216" t="s">
        <v>66</v>
      </c>
      <c r="H217" s="216" t="s">
        <v>65</v>
      </c>
      <c r="I217" s="216" t="s">
        <v>66</v>
      </c>
      <c r="J217" s="216" t="s">
        <v>65</v>
      </c>
      <c r="K217" s="216" t="s">
        <v>66</v>
      </c>
      <c r="L217" s="216" t="s">
        <v>65</v>
      </c>
      <c r="M217" s="216" t="s">
        <v>66</v>
      </c>
      <c r="N217" s="216" t="s">
        <v>65</v>
      </c>
      <c r="O217" s="216" t="s">
        <v>66</v>
      </c>
      <c r="P217" s="216" t="s">
        <v>65</v>
      </c>
      <c r="Q217" s="216" t="s">
        <v>66</v>
      </c>
    </row>
    <row r="218" spans="3:18" ht="24" hidden="1" customHeight="1" x14ac:dyDescent="0.2">
      <c r="C218" s="217" t="s">
        <v>36</v>
      </c>
      <c r="D218" s="218" t="e">
        <f>VLOOKUP("españa",#REF!,6,FALSE)/VLOOKUP("españa",#REF!,6,FALSE)-1</f>
        <v>#REF!</v>
      </c>
      <c r="E218" s="219" t="e">
        <f>VLOOKUP("españa",#REF!,6,FALSE)</f>
        <v>#REF!</v>
      </c>
      <c r="F218" s="218" t="e">
        <f>VLOOKUP("españa",#REF!,5,FALSE)/VLOOKUP("españa",#REF!,5,FALSE)-1</f>
        <v>#REF!</v>
      </c>
      <c r="G218" s="219" t="e">
        <f>VLOOKUP("españa",#REF!,5,FALSE)</f>
        <v>#REF!</v>
      </c>
      <c r="H218" s="218" t="e">
        <f>VLOOKUP("españa",#REF!,4,FALSE)/VLOOKUP("españa",#REF!,4,FALSE)-1</f>
        <v>#REF!</v>
      </c>
      <c r="I218" s="219" t="e">
        <f>VLOOKUP("españa",#REF!,4,FALSE)</f>
        <v>#REF!</v>
      </c>
      <c r="J218" s="218" t="e">
        <f>VLOOKUP("españa",#REF!,3,FALSE)/VLOOKUP("españa",#REF!,3,FALSE)-1</f>
        <v>#REF!</v>
      </c>
      <c r="K218" s="219" t="e">
        <f>VLOOKUP("españa",#REF!,3,FALSE)</f>
        <v>#REF!</v>
      </c>
      <c r="L218" s="218" t="e">
        <f>VLOOKUP("españa",#REF!,2,FALSE)/VLOOKUP("españa",#REF!,2,FALSE)-1</f>
        <v>#REF!</v>
      </c>
      <c r="M218" s="219" t="e">
        <f>VLOOKUP("españa",#REF!,2,FALSE)</f>
        <v>#REF!</v>
      </c>
      <c r="N218" s="218" t="e">
        <f>VLOOKUP("españa",#REF!,7,FALSE)/VLOOKUP("españa",#REF!,7,FALSE)-1</f>
        <v>#REF!</v>
      </c>
      <c r="O218" s="219" t="e">
        <f>VLOOKUP("españa",#REF!,7,FALSE)</f>
        <v>#REF!</v>
      </c>
      <c r="P218" s="218" t="e">
        <f>VLOOKUP("españa",#REF!,8,FALSE)/VLOOKUP("españa",#REF!,8,FALSE)-1</f>
        <v>#REF!</v>
      </c>
      <c r="Q218" s="219" t="e">
        <f>VLOOKUP("españa",#REF!,8,FALSE)</f>
        <v>#REF!</v>
      </c>
    </row>
    <row r="219" spans="3:18" ht="24" hidden="1" customHeight="1" x14ac:dyDescent="0.2">
      <c r="C219" s="217" t="s">
        <v>41</v>
      </c>
      <c r="D219" s="218" t="e">
        <f>VLOOKUP("holanda",#REF!,6,FALSE)/VLOOKUP("holanda",#REF!,6,FALSE)-1</f>
        <v>#REF!</v>
      </c>
      <c r="E219" s="219" t="e">
        <f>VLOOKUP("holanda",#REF!,6,FALSE)</f>
        <v>#REF!</v>
      </c>
      <c r="F219" s="218" t="e">
        <f>VLOOKUP("holanda",#REF!,5,FALSE)/VLOOKUP("holanda",#REF!,5,FALSE)-1</f>
        <v>#REF!</v>
      </c>
      <c r="G219" s="219" t="e">
        <f>VLOOKUP("holanda",#REF!,5,FALSE)</f>
        <v>#REF!</v>
      </c>
      <c r="H219" s="218" t="e">
        <f>VLOOKUP("holanda",#REF!,4,FALSE)/VLOOKUP("holanda",#REF!,4,FALSE)-1</f>
        <v>#REF!</v>
      </c>
      <c r="I219" s="219" t="e">
        <f>VLOOKUP("holanda",#REF!,4,FALSE)</f>
        <v>#REF!</v>
      </c>
      <c r="J219" s="218" t="e">
        <f>VLOOKUP("holanda",#REF!,3,FALSE)/VLOOKUP("holanda",#REF!,3,FALSE)-1</f>
        <v>#REF!</v>
      </c>
      <c r="K219" s="219" t="e">
        <f>VLOOKUP("holanda",#REF!,3,FALSE)</f>
        <v>#REF!</v>
      </c>
      <c r="L219" s="218" t="e">
        <f>VLOOKUP("holanda",#REF!,2,FALSE)/VLOOKUP("holanda",#REF!,2,FALSE)-1</f>
        <v>#REF!</v>
      </c>
      <c r="M219" s="219" t="e">
        <f>VLOOKUP("holanda",#REF!,2,FALSE)</f>
        <v>#REF!</v>
      </c>
      <c r="N219" s="218" t="e">
        <f>VLOOKUP("holanda",#REF!,7,FALSE)/VLOOKUP("holanda",#REF!,7,FALSE)-1</f>
        <v>#REF!</v>
      </c>
      <c r="O219" s="219" t="e">
        <f>VLOOKUP("holanda",#REF!,7,FALSE)</f>
        <v>#REF!</v>
      </c>
      <c r="P219" s="218" t="e">
        <f>VLOOKUP("holanda",#REF!,8,FALSE)/VLOOKUP("holanda",#REF!,8,FALSE)-1</f>
        <v>#REF!</v>
      </c>
      <c r="Q219" s="219" t="e">
        <f>VLOOKUP("holanda",#REF!,8,FALSE)</f>
        <v>#REF!</v>
      </c>
    </row>
    <row r="220" spans="3:18" ht="24" hidden="1" customHeight="1" x14ac:dyDescent="0.2">
      <c r="C220" s="217" t="s">
        <v>42</v>
      </c>
      <c r="D220" s="218" t="e">
        <f>VLOOKUP("belgica",#REF!,6,FALSE)/VLOOKUP("belgica",#REF!,6,FALSE)-1</f>
        <v>#REF!</v>
      </c>
      <c r="E220" s="219" t="e">
        <f>VLOOKUP("belgica",#REF!,6,FALSE)</f>
        <v>#REF!</v>
      </c>
      <c r="F220" s="218" t="e">
        <f>VLOOKUP("belgica",#REF!,5,FALSE)/VLOOKUP("belgica",#REF!,5,FALSE)-1</f>
        <v>#REF!</v>
      </c>
      <c r="G220" s="219" t="e">
        <f>VLOOKUP("belgica",#REF!,5,FALSE)</f>
        <v>#REF!</v>
      </c>
      <c r="H220" s="218" t="e">
        <f>VLOOKUP("belgica",#REF!,4,FALSE)/VLOOKUP("belgica",#REF!,4,FALSE)-1</f>
        <v>#REF!</v>
      </c>
      <c r="I220" s="219" t="e">
        <f>VLOOKUP("belgica",#REF!,4,FALSE)</f>
        <v>#REF!</v>
      </c>
      <c r="J220" s="218" t="e">
        <f>VLOOKUP("belgica",#REF!,3,FALSE)/VLOOKUP("belgica",#REF!,3,FALSE)-1</f>
        <v>#REF!</v>
      </c>
      <c r="K220" s="219" t="e">
        <f>VLOOKUP("belgica",#REF!,3,FALSE)</f>
        <v>#REF!</v>
      </c>
      <c r="L220" s="218" t="e">
        <f>VLOOKUP("belgica",#REF!,2,FALSE)/VLOOKUP("belgica",#REF!,2,FALSE)-1</f>
        <v>#REF!</v>
      </c>
      <c r="M220" s="219" t="e">
        <f>VLOOKUP("belgica",#REF!,2,FALSE)</f>
        <v>#REF!</v>
      </c>
      <c r="N220" s="218" t="e">
        <f>VLOOKUP("belgica",#REF!,7,FALSE)/VLOOKUP("belgica",#REF!,7,FALSE)-1</f>
        <v>#REF!</v>
      </c>
      <c r="O220" s="219" t="e">
        <f>VLOOKUP("belgica",#REF!,7,FALSE)</f>
        <v>#REF!</v>
      </c>
      <c r="P220" s="218" t="e">
        <f>VLOOKUP("belgica",#REF!,8,FALSE)/VLOOKUP("belgica",#REF!,8,FALSE)-1</f>
        <v>#REF!</v>
      </c>
      <c r="Q220" s="219" t="e">
        <f>VLOOKUP("belgica",#REF!,8,FALSE)</f>
        <v>#REF!</v>
      </c>
    </row>
    <row r="221" spans="3:18" ht="24" hidden="1" customHeight="1" x14ac:dyDescent="0.2">
      <c r="C221" s="217" t="s">
        <v>43</v>
      </c>
      <c r="D221" s="218" t="e">
        <f>VLOOKUP("alemania",#REF!,6,FALSE)/VLOOKUP("alemania",#REF!,6,FALSE)-1</f>
        <v>#REF!</v>
      </c>
      <c r="E221" s="219" t="e">
        <f>VLOOKUP("alemania",#REF!,6,FALSE)</f>
        <v>#REF!</v>
      </c>
      <c r="F221" s="218" t="e">
        <f>VLOOKUP("alemania",#REF!,5,FALSE)/VLOOKUP("alemania",#REF!,5,FALSE)-1</f>
        <v>#REF!</v>
      </c>
      <c r="G221" s="219" t="e">
        <f>VLOOKUP("alemania",#REF!,5,FALSE)</f>
        <v>#REF!</v>
      </c>
      <c r="H221" s="218" t="e">
        <f>VLOOKUP("alemania",#REF!,4,FALSE)/VLOOKUP("alemania",#REF!,4,FALSE)-1</f>
        <v>#REF!</v>
      </c>
      <c r="I221" s="219" t="e">
        <f>VLOOKUP("alemania",#REF!,4,FALSE)</f>
        <v>#REF!</v>
      </c>
      <c r="J221" s="218" t="e">
        <f>VLOOKUP("alemania",#REF!,3,FALSE)/VLOOKUP("alemania",#REF!,3,FALSE)-1</f>
        <v>#REF!</v>
      </c>
      <c r="K221" s="219" t="e">
        <f>VLOOKUP("alemania",#REF!,3,FALSE)</f>
        <v>#REF!</v>
      </c>
      <c r="L221" s="218" t="e">
        <f>VLOOKUP("alemania",#REF!,2,FALSE)/VLOOKUP("alemania",#REF!,2,FALSE)-1</f>
        <v>#REF!</v>
      </c>
      <c r="M221" s="219" t="e">
        <f>VLOOKUP("alemania",#REF!,2,FALSE)</f>
        <v>#REF!</v>
      </c>
      <c r="N221" s="218" t="e">
        <f>VLOOKUP("alemania",#REF!,7,FALSE)/VLOOKUP("alemania",#REF!,7,FALSE)-1</f>
        <v>#REF!</v>
      </c>
      <c r="O221" s="219" t="e">
        <f>VLOOKUP("alemania",#REF!,7,FALSE)</f>
        <v>#REF!</v>
      </c>
      <c r="P221" s="218" t="e">
        <f>VLOOKUP("alemania",#REF!,8,FALSE)/VLOOKUP("alemania",#REF!,8,FALSE)-1</f>
        <v>#REF!</v>
      </c>
      <c r="Q221" s="219" t="e">
        <f>VLOOKUP("alemania",#REF!,8,FALSE)</f>
        <v>#REF!</v>
      </c>
    </row>
    <row r="222" spans="3:18" ht="24" hidden="1" customHeight="1" x14ac:dyDescent="0.2">
      <c r="C222" s="217" t="s">
        <v>44</v>
      </c>
      <c r="D222" s="218" t="e">
        <f>VLOOKUP("francia",#REF!,6,FALSE)/VLOOKUP("francia",#REF!,6,FALSE)-1</f>
        <v>#REF!</v>
      </c>
      <c r="E222" s="219" t="e">
        <f>VLOOKUP("francia",#REF!,6,FALSE)</f>
        <v>#REF!</v>
      </c>
      <c r="F222" s="218" t="e">
        <f>VLOOKUP("francia",#REF!,5,FALSE)/VLOOKUP("francia",#REF!,5,FALSE)-1</f>
        <v>#REF!</v>
      </c>
      <c r="G222" s="219" t="e">
        <f>VLOOKUP("francia",#REF!,5,FALSE)</f>
        <v>#REF!</v>
      </c>
      <c r="H222" s="218" t="e">
        <f>VLOOKUP("francia",#REF!,4,FALSE)/VLOOKUP("francia",#REF!,4,FALSE)-1</f>
        <v>#REF!</v>
      </c>
      <c r="I222" s="219" t="e">
        <f>VLOOKUP("francia",#REF!,4,FALSE)</f>
        <v>#REF!</v>
      </c>
      <c r="J222" s="218" t="e">
        <f>VLOOKUP("francia",#REF!,3,FALSE)/VLOOKUP("francia",#REF!,3,FALSE)-1</f>
        <v>#REF!</v>
      </c>
      <c r="K222" s="219" t="e">
        <f>VLOOKUP("francia",#REF!,3,FALSE)</f>
        <v>#REF!</v>
      </c>
      <c r="L222" s="218" t="e">
        <f>VLOOKUP("francia",#REF!,2,FALSE)/VLOOKUP("francia",#REF!,2,FALSE)-1</f>
        <v>#REF!</v>
      </c>
      <c r="M222" s="219" t="e">
        <f>VLOOKUP("francia",#REF!,2,FALSE)</f>
        <v>#REF!</v>
      </c>
      <c r="N222" s="218" t="e">
        <f>VLOOKUP("francia",#REF!,7,FALSE)/VLOOKUP("francia",#REF!,7,FALSE)-1</f>
        <v>#REF!</v>
      </c>
      <c r="O222" s="219" t="e">
        <f>VLOOKUP("francia",#REF!,7,FALSE)</f>
        <v>#REF!</v>
      </c>
      <c r="P222" s="218" t="e">
        <f>VLOOKUP("francia",#REF!,8,FALSE)/VLOOKUP("francia",#REF!,8,FALSE)-1</f>
        <v>#REF!</v>
      </c>
      <c r="Q222" s="219" t="e">
        <f>VLOOKUP("francia",#REF!,8,FALSE)</f>
        <v>#REF!</v>
      </c>
    </row>
    <row r="223" spans="3:18" ht="24" hidden="1" customHeight="1" x14ac:dyDescent="0.2">
      <c r="C223" s="217" t="s">
        <v>45</v>
      </c>
      <c r="D223" s="218" t="e">
        <f>VLOOKUP("reino unido",#REF!,6,FALSE)/VLOOKUP("reino unido",#REF!,6,FALSE)-1</f>
        <v>#REF!</v>
      </c>
      <c r="E223" s="219" t="e">
        <f>VLOOKUP("reino unido",#REF!,6,FALSE)</f>
        <v>#REF!</v>
      </c>
      <c r="F223" s="218" t="e">
        <f>VLOOKUP("reino unido",#REF!,5,FALSE)/VLOOKUP("reino unido",#REF!,5,FALSE)-1</f>
        <v>#REF!</v>
      </c>
      <c r="G223" s="219" t="e">
        <f>VLOOKUP("reino unido",#REF!,5,FALSE)</f>
        <v>#REF!</v>
      </c>
      <c r="H223" s="218" t="e">
        <f>VLOOKUP("reino unido",#REF!,4,FALSE)/VLOOKUP("reino unido",#REF!,4,FALSE)-1</f>
        <v>#REF!</v>
      </c>
      <c r="I223" s="219" t="e">
        <f>VLOOKUP("reino unido",#REF!,4,FALSE)</f>
        <v>#REF!</v>
      </c>
      <c r="J223" s="218" t="e">
        <f>VLOOKUP("reino unido",#REF!,3,FALSE)/VLOOKUP("reino unido",#REF!,3,FALSE)-1</f>
        <v>#REF!</v>
      </c>
      <c r="K223" s="219" t="e">
        <f>VLOOKUP("reino unido",#REF!,3,FALSE)</f>
        <v>#REF!</v>
      </c>
      <c r="L223" s="218" t="e">
        <f>VLOOKUP("reino unido",#REF!,2,FALSE)/VLOOKUP("reino unido",#REF!,2,FALSE)-1</f>
        <v>#REF!</v>
      </c>
      <c r="M223" s="219" t="e">
        <f>VLOOKUP("reino unido",#REF!,2,FALSE)</f>
        <v>#REF!</v>
      </c>
      <c r="N223" s="218" t="e">
        <f>VLOOKUP("reino unido",#REF!,7,FALSE)/VLOOKUP("reino unido",#REF!,7,FALSE)-1</f>
        <v>#REF!</v>
      </c>
      <c r="O223" s="219" t="e">
        <f>VLOOKUP("reino unido",#REF!,7,FALSE)</f>
        <v>#REF!</v>
      </c>
      <c r="P223" s="218" t="e">
        <f>VLOOKUP("reino unido",#REF!,8,FALSE)/VLOOKUP("reino unido",#REF!,8,FALSE)-1</f>
        <v>#REF!</v>
      </c>
      <c r="Q223" s="219" t="e">
        <f>VLOOKUP("reino unido",#REF!,8,FALSE)</f>
        <v>#REF!</v>
      </c>
    </row>
    <row r="224" spans="3:18" ht="24" hidden="1" customHeight="1" x14ac:dyDescent="0.2">
      <c r="C224" s="217" t="s">
        <v>46</v>
      </c>
      <c r="D224" s="218" t="e">
        <f>VLOOKUP("irlanda",#REF!,6,FALSE)/VLOOKUP("irlanda",#REF!,6,FALSE)-1</f>
        <v>#REF!</v>
      </c>
      <c r="E224" s="219" t="e">
        <f>VLOOKUP("irlanda",#REF!,6,FALSE)</f>
        <v>#REF!</v>
      </c>
      <c r="F224" s="218" t="e">
        <f>VLOOKUP("irlanda",#REF!,5,FALSE)/VLOOKUP("irlanda",#REF!,5,FALSE)-1</f>
        <v>#REF!</v>
      </c>
      <c r="G224" s="219" t="e">
        <f>VLOOKUP("irlanda",#REF!,5,FALSE)</f>
        <v>#REF!</v>
      </c>
      <c r="H224" s="218" t="e">
        <f>VLOOKUP("irlanda",#REF!,4,FALSE)/VLOOKUP("irlanda",#REF!,4,FALSE)-1</f>
        <v>#REF!</v>
      </c>
      <c r="I224" s="219" t="e">
        <f>VLOOKUP("irlanda",#REF!,4,FALSE)</f>
        <v>#REF!</v>
      </c>
      <c r="J224" s="218" t="e">
        <f>VLOOKUP("irlanda",#REF!,3,FALSE)/VLOOKUP("irlanda",#REF!,3,FALSE)-1</f>
        <v>#REF!</v>
      </c>
      <c r="K224" s="219" t="e">
        <f>VLOOKUP("irlanda",#REF!,3,FALSE)</f>
        <v>#REF!</v>
      </c>
      <c r="L224" s="218" t="e">
        <f>VLOOKUP("irlanda",#REF!,2,FALSE)/VLOOKUP("irlanda",#REF!,2,FALSE)-1</f>
        <v>#REF!</v>
      </c>
      <c r="M224" s="219" t="e">
        <f>VLOOKUP("irlanda",#REF!,2,FALSE)</f>
        <v>#REF!</v>
      </c>
      <c r="N224" s="218" t="e">
        <f>VLOOKUP("irlanda",#REF!,7,FALSE)/VLOOKUP("irlanda",#REF!,7,FALSE)-1</f>
        <v>#REF!</v>
      </c>
      <c r="O224" s="219" t="e">
        <f>VLOOKUP("irlanda",#REF!,7,FALSE)</f>
        <v>#REF!</v>
      </c>
      <c r="P224" s="218" t="e">
        <f>VLOOKUP("irlanda",#REF!,8,FALSE)/VLOOKUP("irlanda",#REF!,8,FALSE)-1</f>
        <v>#REF!</v>
      </c>
      <c r="Q224" s="219" t="e">
        <f>VLOOKUP("irlanda",#REF!,8,FALSE)</f>
        <v>#REF!</v>
      </c>
    </row>
    <row r="225" spans="3:17" ht="24" hidden="1" customHeight="1" x14ac:dyDescent="0.2">
      <c r="C225" s="217" t="s">
        <v>47</v>
      </c>
      <c r="D225" s="218" t="e">
        <f>VLOOKUP("italia",#REF!,6,FALSE)/VLOOKUP("italia",#REF!,6,FALSE)-1</f>
        <v>#REF!</v>
      </c>
      <c r="E225" s="219" t="e">
        <f>VLOOKUP("italia",#REF!,6,FALSE)</f>
        <v>#REF!</v>
      </c>
      <c r="F225" s="218" t="e">
        <f>VLOOKUP("italia",#REF!,5,FALSE)/VLOOKUP("italia",#REF!,5,FALSE)-1</f>
        <v>#REF!</v>
      </c>
      <c r="G225" s="219" t="e">
        <f>VLOOKUP("italia",#REF!,5,FALSE)</f>
        <v>#REF!</v>
      </c>
      <c r="H225" s="218" t="e">
        <f>VLOOKUP("italia",#REF!,4,FALSE)/VLOOKUP("italia",#REF!,4,FALSE)-1</f>
        <v>#REF!</v>
      </c>
      <c r="I225" s="219" t="e">
        <f>VLOOKUP("italia",#REF!,4,FALSE)</f>
        <v>#REF!</v>
      </c>
      <c r="J225" s="218" t="e">
        <f>VLOOKUP("italia",#REF!,3,FALSE)/VLOOKUP("italia",#REF!,3,FALSE)-1</f>
        <v>#REF!</v>
      </c>
      <c r="K225" s="219" t="e">
        <f>VLOOKUP("italia",#REF!,3,FALSE)</f>
        <v>#REF!</v>
      </c>
      <c r="L225" s="218" t="e">
        <f>VLOOKUP("italia",#REF!,2,FALSE)/VLOOKUP("italia",#REF!,2,FALSE)-1</f>
        <v>#REF!</v>
      </c>
      <c r="M225" s="219" t="e">
        <f>VLOOKUP("italia",#REF!,2,FALSE)</f>
        <v>#REF!</v>
      </c>
      <c r="N225" s="218" t="e">
        <f>VLOOKUP("italia",#REF!,7,FALSE)/VLOOKUP("italia",#REF!,7,FALSE)-1</f>
        <v>#REF!</v>
      </c>
      <c r="O225" s="219" t="e">
        <f>VLOOKUP("italia",#REF!,7,FALSE)</f>
        <v>#REF!</v>
      </c>
      <c r="P225" s="218" t="e">
        <f>VLOOKUP("italia",#REF!,8,FALSE)/VLOOKUP("italia",#REF!,8,FALSE)-1</f>
        <v>#REF!</v>
      </c>
      <c r="Q225" s="219" t="e">
        <f>VLOOKUP("italia",#REF!,8,FALSE)</f>
        <v>#REF!</v>
      </c>
    </row>
    <row r="226" spans="3:17" ht="24" hidden="1" customHeight="1" x14ac:dyDescent="0.2">
      <c r="C226" s="217" t="s">
        <v>48</v>
      </c>
      <c r="D226" s="218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219" t="e">
        <f>(VLOOKUP("suecia",#REF!,6,FALSE)+VLOOKUP("noruega",#REF!,6,FALSE)+VLOOKUP("dinamarca",#REF!,6,FALSE)+VLOOKUP("finlandia",#REF!,6,FALSE))</f>
        <v>#REF!</v>
      </c>
      <c r="F226" s="218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219" t="e">
        <f>(VLOOKUP("suecia",#REF!,5,FALSE)+VLOOKUP("noruega",#REF!,5,FALSE)+VLOOKUP("dinamarca",#REF!,5,FALSE)+VLOOKUP("finlandia",#REF!,5,FALSE))</f>
        <v>#REF!</v>
      </c>
      <c r="H226" s="218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219" t="e">
        <f>(VLOOKUP("suecia",#REF!,4,FALSE)+VLOOKUP("noruega",#REF!,4,FALSE)+VLOOKUP("dinamarca",#REF!,4,FALSE)+VLOOKUP("finlandia",#REF!,4,FALSE))</f>
        <v>#REF!</v>
      </c>
      <c r="J226" s="218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219" t="e">
        <f>(VLOOKUP("suecia",#REF!,3,FALSE)+VLOOKUP("noruega",#REF!,3,FALSE)+VLOOKUP("dinamarca",#REF!,3,FALSE)+VLOOKUP("finlandia",#REF!,3,FALSE))</f>
        <v>#REF!</v>
      </c>
      <c r="L226" s="218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219" t="e">
        <f>(VLOOKUP("suecia",#REF!,2,FALSE)+VLOOKUP("noruega",#REF!,2,FALSE)+VLOOKUP("dinamarca",#REF!,2,FALSE)+VLOOKUP("finlandia",#REF!,2,FALSE))</f>
        <v>#REF!</v>
      </c>
      <c r="N226" s="218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219" t="e">
        <f>(VLOOKUP("suecia",#REF!,7,FALSE)+VLOOKUP("noruega",#REF!,7,FALSE)+VLOOKUP("dinamarca",#REF!,7,FALSE)+VLOOKUP("finlandia",#REF!,7,FALSE))</f>
        <v>#REF!</v>
      </c>
      <c r="P226" s="218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219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220" t="s">
        <v>49</v>
      </c>
      <c r="D227" s="218" t="e">
        <f>VLOOKUP("suecia",#REF!,6,FALSE)/VLOOKUP("suecia",#REF!,6,FALSE)-1</f>
        <v>#REF!</v>
      </c>
      <c r="E227" s="219" t="e">
        <f>VLOOKUP("suecia",#REF!,6,FALSE)</f>
        <v>#REF!</v>
      </c>
      <c r="F227" s="218" t="e">
        <f>VLOOKUP("suecia",#REF!,5,FALSE)/VLOOKUP("suecia",#REF!,5,FALSE)-1</f>
        <v>#REF!</v>
      </c>
      <c r="G227" s="219" t="e">
        <f>VLOOKUP("suecia",#REF!,5,FALSE)</f>
        <v>#REF!</v>
      </c>
      <c r="H227" s="218" t="e">
        <f>VLOOKUP("suecia",#REF!,4,FALSE)/VLOOKUP("suecia",#REF!,4,FALSE)-1</f>
        <v>#REF!</v>
      </c>
      <c r="I227" s="219" t="e">
        <f>VLOOKUP("suecia",#REF!,4,FALSE)</f>
        <v>#REF!</v>
      </c>
      <c r="J227" s="218" t="e">
        <f>VLOOKUP("suecia",#REF!,3,FALSE)/VLOOKUP("suecia",#REF!,3,FALSE)-1</f>
        <v>#REF!</v>
      </c>
      <c r="K227" s="219" t="e">
        <f>VLOOKUP("suecia",#REF!,3,FALSE)</f>
        <v>#REF!</v>
      </c>
      <c r="L227" s="218" t="e">
        <f>VLOOKUP("suecia",#REF!,2,FALSE)/VLOOKUP("suecia",#REF!,2,FALSE)-1</f>
        <v>#REF!</v>
      </c>
      <c r="M227" s="219" t="e">
        <f>VLOOKUP("suecia",#REF!,2,FALSE)</f>
        <v>#REF!</v>
      </c>
      <c r="N227" s="218" t="e">
        <f>VLOOKUP("suecia",#REF!,7,FALSE)/VLOOKUP("suecia",#REF!,7,FALSE)-1</f>
        <v>#REF!</v>
      </c>
      <c r="O227" s="219" t="e">
        <f>VLOOKUP("suecia",#REF!,7,FALSE)</f>
        <v>#REF!</v>
      </c>
      <c r="P227" s="218" t="e">
        <f>VLOOKUP("suecia",#REF!,8,FALSE)/VLOOKUP("suecia",#REF!,8,FALSE)-1</f>
        <v>#REF!</v>
      </c>
      <c r="Q227" s="219" t="e">
        <f>VLOOKUP("suecia",#REF!,8,FALSE)</f>
        <v>#REF!</v>
      </c>
    </row>
    <row r="228" spans="3:17" ht="24" hidden="1" customHeight="1" x14ac:dyDescent="0.2">
      <c r="C228" s="220" t="s">
        <v>50</v>
      </c>
      <c r="D228" s="218" t="e">
        <f>VLOOKUP("noruega",#REF!,6,FALSE)/VLOOKUP("noruega",#REF!,6,FALSE)-1</f>
        <v>#REF!</v>
      </c>
      <c r="E228" s="219" t="e">
        <f>VLOOKUP("noruega",#REF!,6,FALSE)</f>
        <v>#REF!</v>
      </c>
      <c r="F228" s="218" t="e">
        <f>VLOOKUP("noruega",#REF!,5,FALSE)/VLOOKUP("noruega",#REF!,5,FALSE)-1</f>
        <v>#REF!</v>
      </c>
      <c r="G228" s="219" t="e">
        <f>VLOOKUP("noruega",#REF!,5,FALSE)</f>
        <v>#REF!</v>
      </c>
      <c r="H228" s="218" t="e">
        <f>VLOOKUP("noruega",#REF!,4,FALSE)/VLOOKUP("noruega",#REF!,4,FALSE)-1</f>
        <v>#REF!</v>
      </c>
      <c r="I228" s="219" t="e">
        <f>VLOOKUP("noruega",#REF!,4,FALSE)</f>
        <v>#REF!</v>
      </c>
      <c r="J228" s="218" t="e">
        <f>VLOOKUP("noruega",#REF!,3,FALSE)/VLOOKUP("noruega",#REF!,3,FALSE)-1</f>
        <v>#REF!</v>
      </c>
      <c r="K228" s="219" t="e">
        <f>VLOOKUP("noruega",#REF!,3,FALSE)</f>
        <v>#REF!</v>
      </c>
      <c r="L228" s="218" t="e">
        <f>VLOOKUP("noruega",#REF!,2,FALSE)/VLOOKUP("noruega",#REF!,2,FALSE)-1</f>
        <v>#REF!</v>
      </c>
      <c r="M228" s="219" t="e">
        <f>VLOOKUP("noruega",#REF!,2,FALSE)</f>
        <v>#REF!</v>
      </c>
      <c r="N228" s="218" t="e">
        <f>VLOOKUP("noruega",#REF!,7,FALSE)/VLOOKUP("noruega",#REF!,7,FALSE)-1</f>
        <v>#REF!</v>
      </c>
      <c r="O228" s="219" t="e">
        <f>VLOOKUP("noruega",#REF!,7,FALSE)</f>
        <v>#REF!</v>
      </c>
      <c r="P228" s="218" t="e">
        <f>VLOOKUP("noruega",#REF!,8,FALSE)/VLOOKUP("noruega",#REF!,8,FALSE)-1</f>
        <v>#REF!</v>
      </c>
      <c r="Q228" s="219" t="e">
        <f>VLOOKUP("noruega",#REF!,8,FALSE)</f>
        <v>#REF!</v>
      </c>
    </row>
    <row r="229" spans="3:17" ht="24" hidden="1" customHeight="1" x14ac:dyDescent="0.2">
      <c r="C229" s="220" t="s">
        <v>51</v>
      </c>
      <c r="D229" s="218" t="e">
        <f>VLOOKUP("dinamarca",#REF!,6,FALSE)/VLOOKUP("dinamarca",#REF!,6,FALSE)-1</f>
        <v>#REF!</v>
      </c>
      <c r="E229" s="219" t="e">
        <f>VLOOKUP("dinamarca",#REF!,6,FALSE)</f>
        <v>#REF!</v>
      </c>
      <c r="F229" s="218" t="e">
        <f>VLOOKUP("dinamarca",#REF!,5,FALSE)/VLOOKUP("dinamarca",#REF!,5,FALSE)-1</f>
        <v>#REF!</v>
      </c>
      <c r="G229" s="219" t="e">
        <f>VLOOKUP("dinamarca",#REF!,5,FALSE)</f>
        <v>#REF!</v>
      </c>
      <c r="H229" s="218" t="e">
        <f>VLOOKUP("dinamarca",#REF!,4,FALSE)/VLOOKUP("dinamarca",#REF!,4,FALSE)-1</f>
        <v>#REF!</v>
      </c>
      <c r="I229" s="219" t="e">
        <f>VLOOKUP("dinamarca",#REF!,4,FALSE)</f>
        <v>#REF!</v>
      </c>
      <c r="J229" s="218" t="e">
        <f>VLOOKUP("dinamarca",#REF!,3,FALSE)/VLOOKUP("dinamarca",#REF!,3,FALSE)-1</f>
        <v>#REF!</v>
      </c>
      <c r="K229" s="219" t="e">
        <f>VLOOKUP("dinamarca",#REF!,3,FALSE)</f>
        <v>#REF!</v>
      </c>
      <c r="L229" s="218" t="e">
        <f>VLOOKUP("dinamarca",#REF!,2,FALSE)/VLOOKUP("dinamarca",#REF!,2,FALSE)-1</f>
        <v>#REF!</v>
      </c>
      <c r="M229" s="219" t="e">
        <f>VLOOKUP("dinamarca",#REF!,2,FALSE)</f>
        <v>#REF!</v>
      </c>
      <c r="N229" s="218" t="e">
        <f>VLOOKUP("dinamarca",#REF!,7,FALSE)/VLOOKUP("dinamarca",#REF!,7,FALSE)-1</f>
        <v>#REF!</v>
      </c>
      <c r="O229" s="219" t="e">
        <f>VLOOKUP("dinamarca",#REF!,7,FALSE)</f>
        <v>#REF!</v>
      </c>
      <c r="P229" s="218" t="e">
        <f>VLOOKUP("dinamarca",#REF!,8,FALSE)/VLOOKUP("dinamarca",#REF!,8,FALSE)-1</f>
        <v>#REF!</v>
      </c>
      <c r="Q229" s="219" t="e">
        <f>VLOOKUP("dinamarca",#REF!,8,FALSE)</f>
        <v>#REF!</v>
      </c>
    </row>
    <row r="230" spans="3:17" ht="24" hidden="1" customHeight="1" x14ac:dyDescent="0.2">
      <c r="C230" s="220" t="s">
        <v>52</v>
      </c>
      <c r="D230" s="218" t="s">
        <v>38</v>
      </c>
      <c r="E230" s="219" t="e">
        <f>VLOOKUP("finlandia",#REF!,6,FALSE)</f>
        <v>#REF!</v>
      </c>
      <c r="F230" s="218" t="e">
        <f>VLOOKUP("finlandia",#REF!,5,FALSE)/VLOOKUP("finlandia",#REF!,5,FALSE)-1</f>
        <v>#REF!</v>
      </c>
      <c r="G230" s="219" t="e">
        <f>VLOOKUP("finlandia",#REF!,5,FALSE)</f>
        <v>#REF!</v>
      </c>
      <c r="H230" s="218" t="e">
        <f>VLOOKUP("finlandia",#REF!,4,FALSE)/VLOOKUP("finlandia",#REF!,4,FALSE)-1</f>
        <v>#REF!</v>
      </c>
      <c r="I230" s="219" t="e">
        <f>VLOOKUP("finlandia",#REF!,4,FALSE)</f>
        <v>#REF!</v>
      </c>
      <c r="J230" s="218" t="e">
        <f>VLOOKUP("finlandia",#REF!,3,FALSE)/VLOOKUP("finlandia",#REF!,3,FALSE)-1</f>
        <v>#REF!</v>
      </c>
      <c r="K230" s="219" t="e">
        <f>VLOOKUP("finlandia",#REF!,3,FALSE)</f>
        <v>#REF!</v>
      </c>
      <c r="L230" s="218" t="s">
        <v>38</v>
      </c>
      <c r="M230" s="219" t="e">
        <f>VLOOKUP("finlandia",#REF!,2,FALSE)</f>
        <v>#REF!</v>
      </c>
      <c r="N230" s="218" t="e">
        <f>VLOOKUP("finlandia",#REF!,7,FALSE)/VLOOKUP("finlandia",#REF!,7,FALSE)-1</f>
        <v>#REF!</v>
      </c>
      <c r="O230" s="219" t="e">
        <f>VLOOKUP("finlandia",#REF!,7,FALSE)</f>
        <v>#REF!</v>
      </c>
      <c r="P230" s="218" t="e">
        <f>VLOOKUP("finlandia",#REF!,8,FALSE)/VLOOKUP("finlandia",#REF!,8,FALSE)-1</f>
        <v>#REF!</v>
      </c>
      <c r="Q230" s="219" t="e">
        <f>VLOOKUP("finlandia",#REF!,8,FALSE)</f>
        <v>#REF!</v>
      </c>
    </row>
    <row r="231" spans="3:17" ht="24" hidden="1" customHeight="1" x14ac:dyDescent="0.2">
      <c r="C231" s="217" t="s">
        <v>53</v>
      </c>
      <c r="D231" s="218" t="e">
        <f>VLOOKUP("suiza",#REF!,6,FALSE)/VLOOKUP("suiza",#REF!,6,FALSE)-1</f>
        <v>#REF!</v>
      </c>
      <c r="E231" s="219" t="e">
        <f>VLOOKUP("suiza",#REF!,6,FALSE)</f>
        <v>#REF!</v>
      </c>
      <c r="F231" s="218" t="e">
        <f>VLOOKUP("suiza",#REF!,5,FALSE)/VLOOKUP("suiza",#REF!,5,FALSE)-1</f>
        <v>#REF!</v>
      </c>
      <c r="G231" s="219" t="e">
        <f>VLOOKUP("suiza",#REF!,5,FALSE)</f>
        <v>#REF!</v>
      </c>
      <c r="H231" s="218" t="e">
        <f>VLOOKUP("suiza",#REF!,4,FALSE)/VLOOKUP("suiza",#REF!,4,FALSE)-1</f>
        <v>#REF!</v>
      </c>
      <c r="I231" s="219" t="e">
        <f>VLOOKUP("suiza",#REF!,4,FALSE)</f>
        <v>#REF!</v>
      </c>
      <c r="J231" s="218" t="e">
        <f>VLOOKUP("suiza",#REF!,3,FALSE)/VLOOKUP("suiza",#REF!,3,FALSE)-1</f>
        <v>#REF!</v>
      </c>
      <c r="K231" s="219" t="e">
        <f>VLOOKUP("suiza",#REF!,3,FALSE)</f>
        <v>#REF!</v>
      </c>
      <c r="L231" s="218" t="e">
        <f>VLOOKUP("suiza",#REF!,2,FALSE)/VLOOKUP("suiza",#REF!,2,FALSE)-1</f>
        <v>#REF!</v>
      </c>
      <c r="M231" s="219" t="e">
        <f>VLOOKUP("suiza",#REF!,2,FALSE)</f>
        <v>#REF!</v>
      </c>
      <c r="N231" s="218" t="e">
        <f>VLOOKUP("suiza",#REF!,7,FALSE)/VLOOKUP("suiza",#REF!,7,FALSE)-1</f>
        <v>#REF!</v>
      </c>
      <c r="O231" s="219" t="e">
        <f>VLOOKUP("suiza",#REF!,7,FALSE)</f>
        <v>#REF!</v>
      </c>
      <c r="P231" s="218" t="e">
        <f>VLOOKUP("suiza",#REF!,8,FALSE)/VLOOKUP("suiza",#REF!,8,FALSE)-1</f>
        <v>#REF!</v>
      </c>
      <c r="Q231" s="219" t="e">
        <f>VLOOKUP("suiza",#REF!,8,FALSE)</f>
        <v>#REF!</v>
      </c>
    </row>
    <row r="232" spans="3:17" ht="24" hidden="1" customHeight="1" x14ac:dyDescent="0.2">
      <c r="C232" s="217" t="s">
        <v>54</v>
      </c>
      <c r="D232" s="218" t="e">
        <f>VLOOKUP("austria",#REF!,6,FALSE)/VLOOKUP("austria",#REF!,6,FALSE)-1</f>
        <v>#REF!</v>
      </c>
      <c r="E232" s="219" t="e">
        <f>VLOOKUP("austria",#REF!,6,FALSE)</f>
        <v>#REF!</v>
      </c>
      <c r="F232" s="218" t="e">
        <f>VLOOKUP("austria",#REF!,5,FALSE)/VLOOKUP("austria",#REF!,5,FALSE)-1</f>
        <v>#REF!</v>
      </c>
      <c r="G232" s="219" t="e">
        <f>VLOOKUP("austria",#REF!,5,FALSE)</f>
        <v>#REF!</v>
      </c>
      <c r="H232" s="218" t="e">
        <f>VLOOKUP("austria",#REF!,4,FALSE)/VLOOKUP("austria",#REF!,4,FALSE)-1</f>
        <v>#REF!</v>
      </c>
      <c r="I232" s="219" t="e">
        <f>VLOOKUP("austria",#REF!,4,FALSE)</f>
        <v>#REF!</v>
      </c>
      <c r="J232" s="218" t="e">
        <f>VLOOKUP("austria",#REF!,3,FALSE)/VLOOKUP("austria",#REF!,3,FALSE)-1</f>
        <v>#REF!</v>
      </c>
      <c r="K232" s="219" t="e">
        <f>VLOOKUP("austria",#REF!,3,FALSE)</f>
        <v>#REF!</v>
      </c>
      <c r="L232" s="218" t="e">
        <f>VLOOKUP("austria",#REF!,2,FALSE)/VLOOKUP("austria",#REF!,2,FALSE)-1</f>
        <v>#REF!</v>
      </c>
      <c r="M232" s="219" t="e">
        <f>VLOOKUP("austria",#REF!,2,FALSE)</f>
        <v>#REF!</v>
      </c>
      <c r="N232" s="218" t="e">
        <f>VLOOKUP("austria",#REF!,7,FALSE)/VLOOKUP("austria",#REF!,7,FALSE)-1</f>
        <v>#REF!</v>
      </c>
      <c r="O232" s="219" t="e">
        <f>VLOOKUP("austria",#REF!,7,FALSE)</f>
        <v>#REF!</v>
      </c>
      <c r="P232" s="218" t="e">
        <f>VLOOKUP("austria",#REF!,8,FALSE)/VLOOKUP("austria",#REF!,8,FALSE)-1</f>
        <v>#REF!</v>
      </c>
      <c r="Q232" s="219" t="e">
        <f>VLOOKUP("austria",#REF!,8,FALSE)</f>
        <v>#REF!</v>
      </c>
    </row>
    <row r="233" spans="3:17" ht="24" hidden="1" customHeight="1" x14ac:dyDescent="0.2">
      <c r="C233" s="217" t="s">
        <v>55</v>
      </c>
      <c r="D233" s="218" t="e">
        <f>VLOOKUP("rusia",#REF!,6,FALSE)/VLOOKUP("rusia",#REF!,6,FALSE)-1</f>
        <v>#REF!</v>
      </c>
      <c r="E233" s="219" t="e">
        <f>VLOOKUP("rusia",#REF!,6,FALSE)</f>
        <v>#REF!</v>
      </c>
      <c r="F233" s="218" t="e">
        <f>VLOOKUP("rusia",#REF!,5,FALSE)/VLOOKUP("rusia",#REF!,5,FALSE)-1</f>
        <v>#REF!</v>
      </c>
      <c r="G233" s="219" t="e">
        <f>VLOOKUP("rusia",#REF!,5,FALSE)</f>
        <v>#REF!</v>
      </c>
      <c r="H233" s="218" t="e">
        <f>VLOOKUP("rusia",#REF!,4,FALSE)/VLOOKUP("rusia",#REF!,4,FALSE)-1</f>
        <v>#REF!</v>
      </c>
      <c r="I233" s="219" t="e">
        <f>VLOOKUP("rusia",#REF!,4,FALSE)</f>
        <v>#REF!</v>
      </c>
      <c r="J233" s="218" t="e">
        <f>VLOOKUP("rusia",#REF!,3,FALSE)/VLOOKUP("rusia",#REF!,3,FALSE)-1</f>
        <v>#REF!</v>
      </c>
      <c r="K233" s="219" t="e">
        <f>VLOOKUP("rusia",#REF!,3,FALSE)</f>
        <v>#REF!</v>
      </c>
      <c r="L233" s="218" t="e">
        <f>VLOOKUP("rusia",#REF!,2,FALSE)/VLOOKUP("rusia",#REF!,2,FALSE)-1</f>
        <v>#REF!</v>
      </c>
      <c r="M233" s="219" t="e">
        <f>VLOOKUP("rusia",#REF!,2,FALSE)</f>
        <v>#REF!</v>
      </c>
      <c r="N233" s="218" t="e">
        <f>VLOOKUP("rusia",#REF!,7,FALSE)/VLOOKUP("rusia",#REF!,7,FALSE)-1</f>
        <v>#REF!</v>
      </c>
      <c r="O233" s="219" t="e">
        <f>VLOOKUP("rusia",#REF!,7,FALSE)</f>
        <v>#REF!</v>
      </c>
      <c r="P233" s="218" t="e">
        <f>VLOOKUP("rusia",#REF!,8,FALSE)/VLOOKUP("rusia",#REF!,8,FALSE)-1</f>
        <v>#REF!</v>
      </c>
      <c r="Q233" s="219" t="e">
        <f>VLOOKUP("rusia",#REF!,8,FALSE)</f>
        <v>#REF!</v>
      </c>
    </row>
    <row r="234" spans="3:17" ht="24" hidden="1" customHeight="1" x14ac:dyDescent="0.2">
      <c r="C234" s="217" t="s">
        <v>56</v>
      </c>
      <c r="D234" s="218" t="e">
        <f>VLOOKUP("paises del este",#REF!,6,FALSE)/VLOOKUP("paises del este",#REF!,6,FALSE)-1</f>
        <v>#REF!</v>
      </c>
      <c r="E234" s="219" t="e">
        <f>VLOOKUP("paises del este",#REF!,6,FALSE)</f>
        <v>#REF!</v>
      </c>
      <c r="F234" s="218" t="e">
        <f>VLOOKUP("paises del este",#REF!,5,FALSE)/VLOOKUP("paises del este",#REF!,5,FALSE)-1</f>
        <v>#REF!</v>
      </c>
      <c r="G234" s="219" t="e">
        <f>VLOOKUP("paises del este",#REF!,5,FALSE)</f>
        <v>#REF!</v>
      </c>
      <c r="H234" s="218" t="e">
        <f>VLOOKUP("paises del este",#REF!,4,FALSE)/VLOOKUP("paises del este",#REF!,4,FALSE)-1</f>
        <v>#REF!</v>
      </c>
      <c r="I234" s="219" t="e">
        <f>VLOOKUP("paises del este",#REF!,4,FALSE)</f>
        <v>#REF!</v>
      </c>
      <c r="J234" s="218" t="e">
        <f>VLOOKUP("paises del este",#REF!,3,FALSE)/VLOOKUP("paises del este",#REF!,3,FALSE)-1</f>
        <v>#REF!</v>
      </c>
      <c r="K234" s="219" t="e">
        <f>VLOOKUP("paises del este",#REF!,3,FALSE)</f>
        <v>#REF!</v>
      </c>
      <c r="L234" s="218" t="e">
        <f>VLOOKUP("paises del este",#REF!,2,FALSE)/VLOOKUP("paises del este",#REF!,2,FALSE)-1</f>
        <v>#REF!</v>
      </c>
      <c r="M234" s="219" t="e">
        <f>VLOOKUP("paises del este",#REF!,2,FALSE)</f>
        <v>#REF!</v>
      </c>
      <c r="N234" s="218" t="e">
        <f>VLOOKUP("paises del este",#REF!,7,FALSE)/VLOOKUP("paises del este",#REF!,7,FALSE)-1</f>
        <v>#REF!</v>
      </c>
      <c r="O234" s="219" t="e">
        <f>VLOOKUP("paises del este",#REF!,7,FALSE)</f>
        <v>#REF!</v>
      </c>
      <c r="P234" s="218" t="e">
        <f>VLOOKUP("paises del este",#REF!,8,FALSE)/VLOOKUP("paises del este",#REF!,8,FALSE)-1</f>
        <v>#REF!</v>
      </c>
      <c r="Q234" s="219" t="e">
        <f>VLOOKUP("paises del este",#REF!,8,FALSE)</f>
        <v>#REF!</v>
      </c>
    </row>
    <row r="235" spans="3:17" ht="24" hidden="1" customHeight="1" x14ac:dyDescent="0.2">
      <c r="C235" s="217" t="s">
        <v>57</v>
      </c>
      <c r="D235" s="218" t="e">
        <f>VLOOKUP("resto de europa",#REF!,6,FALSE)/VLOOKUP("resto de europa",#REF!,6,FALSE)-1</f>
        <v>#REF!</v>
      </c>
      <c r="E235" s="219" t="e">
        <f>VLOOKUP("resto de europa",#REF!,6,FALSE)</f>
        <v>#REF!</v>
      </c>
      <c r="F235" s="218" t="e">
        <f>VLOOKUP("resto de europa",#REF!,5,FALSE)/VLOOKUP("resto de europa",#REF!,5,FALSE)-1</f>
        <v>#REF!</v>
      </c>
      <c r="G235" s="219" t="e">
        <f>VLOOKUP("resto de europa",#REF!,5,FALSE)</f>
        <v>#REF!</v>
      </c>
      <c r="H235" s="218" t="e">
        <f>VLOOKUP("resto de europa",#REF!,4,FALSE)/VLOOKUP("resto de europa",#REF!,4,FALSE)-1</f>
        <v>#REF!</v>
      </c>
      <c r="I235" s="219" t="e">
        <f>VLOOKUP("resto de europa",#REF!,4,FALSE)</f>
        <v>#REF!</v>
      </c>
      <c r="J235" s="218" t="e">
        <f>VLOOKUP("resto de europa",#REF!,3,FALSE)/VLOOKUP("resto de europa",#REF!,3,FALSE)-1</f>
        <v>#REF!</v>
      </c>
      <c r="K235" s="219" t="e">
        <f>VLOOKUP("resto de europa",#REF!,3,FALSE)</f>
        <v>#REF!</v>
      </c>
      <c r="L235" s="218" t="e">
        <f>VLOOKUP("resto de europa",#REF!,2,FALSE)/VLOOKUP("resto de europa",#REF!,2,FALSE)-1</f>
        <v>#REF!</v>
      </c>
      <c r="M235" s="219" t="e">
        <f>VLOOKUP("resto de europa",#REF!,2,FALSE)</f>
        <v>#REF!</v>
      </c>
      <c r="N235" s="218" t="e">
        <f>VLOOKUP("resto de europa",#REF!,7,FALSE)/VLOOKUP("resto de europa",#REF!,7,FALSE)-1</f>
        <v>#REF!</v>
      </c>
      <c r="O235" s="219" t="e">
        <f>VLOOKUP("resto de europa",#REF!,7,FALSE)</f>
        <v>#REF!</v>
      </c>
      <c r="P235" s="218" t="e">
        <f>VLOOKUP("resto de europa",#REF!,8,FALSE)/VLOOKUP("resto de europa",#REF!,8,FALSE)-1</f>
        <v>#REF!</v>
      </c>
      <c r="Q235" s="219" t="e">
        <f>VLOOKUP("resto de europa",#REF!,8,FALSE)</f>
        <v>#REF!</v>
      </c>
    </row>
    <row r="236" spans="3:17" ht="24" hidden="1" customHeight="1" x14ac:dyDescent="0.2">
      <c r="C236" s="217" t="s">
        <v>58</v>
      </c>
      <c r="D236" s="218" t="e">
        <f>VLOOKUP("usa",#REF!,6,FALSE)/VLOOKUP("usa",#REF!,6,FALSE)-1</f>
        <v>#REF!</v>
      </c>
      <c r="E236" s="219" t="e">
        <f>VLOOKUP("usa",#REF!,6,FALSE)</f>
        <v>#REF!</v>
      </c>
      <c r="F236" s="218" t="e">
        <f>VLOOKUP("usa",#REF!,5,FALSE)/VLOOKUP("usa",#REF!,5,FALSE)-1</f>
        <v>#REF!</v>
      </c>
      <c r="G236" s="219" t="e">
        <f>VLOOKUP("usa",#REF!,5,FALSE)</f>
        <v>#REF!</v>
      </c>
      <c r="H236" s="218" t="e">
        <f>VLOOKUP("usa",#REF!,4,FALSE)/VLOOKUP("usa",#REF!,4,FALSE)-1</f>
        <v>#REF!</v>
      </c>
      <c r="I236" s="219" t="e">
        <f>VLOOKUP("usa",#REF!,4,FALSE)</f>
        <v>#REF!</v>
      </c>
      <c r="J236" s="218" t="e">
        <f>VLOOKUP("usa",#REF!,3,FALSE)/VLOOKUP("usa",#REF!,3,FALSE)-1</f>
        <v>#REF!</v>
      </c>
      <c r="K236" s="219" t="e">
        <f>VLOOKUP("usa",#REF!,3,FALSE)</f>
        <v>#REF!</v>
      </c>
      <c r="L236" s="218" t="e">
        <f>VLOOKUP("usa",#REF!,2,FALSE)/VLOOKUP("usa",#REF!,2,FALSE)-1</f>
        <v>#REF!</v>
      </c>
      <c r="M236" s="219" t="e">
        <f>VLOOKUP("usa",#REF!,2,FALSE)</f>
        <v>#REF!</v>
      </c>
      <c r="N236" s="218" t="e">
        <f>VLOOKUP("usa",#REF!,7,FALSE)/VLOOKUP("usa",#REF!,7,FALSE)-1</f>
        <v>#REF!</v>
      </c>
      <c r="O236" s="219" t="e">
        <f>VLOOKUP("usa",#REF!,7,FALSE)</f>
        <v>#REF!</v>
      </c>
      <c r="P236" s="218" t="e">
        <f>VLOOKUP("usa",#REF!,8,FALSE)/VLOOKUP("usa",#REF!,8,FALSE)-1</f>
        <v>#REF!</v>
      </c>
      <c r="Q236" s="219" t="e">
        <f>VLOOKUP("usa",#REF!,8,FALSE)</f>
        <v>#REF!</v>
      </c>
    </row>
    <row r="237" spans="3:17" ht="24" hidden="1" customHeight="1" x14ac:dyDescent="0.2">
      <c r="C237" s="217" t="s">
        <v>59</v>
      </c>
      <c r="D237" s="218" t="e">
        <f>VLOOKUP("resto de america",#REF!,6,FALSE)/VLOOKUP("resto de america",#REF!,6,FALSE)-1</f>
        <v>#REF!</v>
      </c>
      <c r="E237" s="219" t="e">
        <f>VLOOKUP("resto de america",#REF!,6,FALSE)</f>
        <v>#REF!</v>
      </c>
      <c r="F237" s="218" t="e">
        <f>VLOOKUP("resto de america",#REF!,5,FALSE)/VLOOKUP("resto de america",#REF!,5,FALSE)-1</f>
        <v>#REF!</v>
      </c>
      <c r="G237" s="219" t="e">
        <f>VLOOKUP("resto de america",#REF!,5,FALSE)</f>
        <v>#REF!</v>
      </c>
      <c r="H237" s="218" t="e">
        <f>VLOOKUP("resto de america",#REF!,4,FALSE)/VLOOKUP("resto de america",#REF!,4,FALSE)-1</f>
        <v>#REF!</v>
      </c>
      <c r="I237" s="219" t="e">
        <f>VLOOKUP("resto de america",#REF!,4,FALSE)</f>
        <v>#REF!</v>
      </c>
      <c r="J237" s="218" t="e">
        <f>VLOOKUP("resto de america",#REF!,3,FALSE)/VLOOKUP("resto de america",#REF!,3,FALSE)-1</f>
        <v>#REF!</v>
      </c>
      <c r="K237" s="219" t="e">
        <f>VLOOKUP("resto de america",#REF!,3,FALSE)</f>
        <v>#REF!</v>
      </c>
      <c r="L237" s="218" t="e">
        <f>VLOOKUP("resto de america",#REF!,2,FALSE)/VLOOKUP("resto de america",#REF!,2,FALSE)-1</f>
        <v>#REF!</v>
      </c>
      <c r="M237" s="219" t="e">
        <f>VLOOKUP("resto de america",#REF!,2,FALSE)</f>
        <v>#REF!</v>
      </c>
      <c r="N237" s="218" t="e">
        <f>VLOOKUP("resto de america",#REF!,7,FALSE)/VLOOKUP("resto de america",#REF!,7,FALSE)-1</f>
        <v>#REF!</v>
      </c>
      <c r="O237" s="219" t="e">
        <f>VLOOKUP("resto de america",#REF!,7,FALSE)</f>
        <v>#REF!</v>
      </c>
      <c r="P237" s="218" t="e">
        <f>VLOOKUP("resto de america",#REF!,8,FALSE)/VLOOKUP("resto de america",#REF!,8,FALSE)-1</f>
        <v>#REF!</v>
      </c>
      <c r="Q237" s="219" t="e">
        <f>VLOOKUP("resto de america",#REF!,8,FALSE)</f>
        <v>#REF!</v>
      </c>
    </row>
    <row r="238" spans="3:17" ht="24" hidden="1" customHeight="1" x14ac:dyDescent="0.2">
      <c r="C238" s="217" t="s">
        <v>60</v>
      </c>
      <c r="D238" s="218" t="e">
        <f>VLOOKUP("resto del mundo",#REF!,6,FALSE)/VLOOKUP("resto del mundo",#REF!,6,FALSE)-1</f>
        <v>#REF!</v>
      </c>
      <c r="E238" s="219" t="e">
        <f>VLOOKUP("resto del mundo",#REF!,6,FALSE)</f>
        <v>#REF!</v>
      </c>
      <c r="F238" s="218" t="e">
        <f>VLOOKUP("resto del mundo",#REF!,5,FALSE)/VLOOKUP("resto del mundo",#REF!,5,FALSE)-1</f>
        <v>#REF!</v>
      </c>
      <c r="G238" s="219" t="e">
        <f>VLOOKUP("resto del mundo",#REF!,5,FALSE)</f>
        <v>#REF!</v>
      </c>
      <c r="H238" s="218" t="e">
        <f>VLOOKUP("resto del mundo",#REF!,4,FALSE)/VLOOKUP("resto del mundo",#REF!,4,FALSE)-1</f>
        <v>#REF!</v>
      </c>
      <c r="I238" s="219" t="e">
        <f>VLOOKUP("resto del mundo",#REF!,4,FALSE)</f>
        <v>#REF!</v>
      </c>
      <c r="J238" s="218" t="e">
        <f>VLOOKUP("resto del mundo",#REF!,3,FALSE)/VLOOKUP("resto del mundo",#REF!,3,FALSE)-1</f>
        <v>#REF!</v>
      </c>
      <c r="K238" s="219" t="e">
        <f>VLOOKUP("resto del mundo",#REF!,3,FALSE)</f>
        <v>#REF!</v>
      </c>
      <c r="L238" s="218" t="e">
        <f>VLOOKUP("resto del mundo",#REF!,2,FALSE)/VLOOKUP("resto del mundo",#REF!,2,FALSE)-1</f>
        <v>#REF!</v>
      </c>
      <c r="M238" s="219" t="e">
        <f>VLOOKUP("resto del mundo",#REF!,2,FALSE)</f>
        <v>#REF!</v>
      </c>
      <c r="N238" s="218" t="e">
        <f>VLOOKUP("resto del mundo",#REF!,7,FALSE)/VLOOKUP("resto del mundo",#REF!,7,FALSE)-1</f>
        <v>#REF!</v>
      </c>
      <c r="O238" s="219" t="e">
        <f>VLOOKUP("resto del mundo",#REF!,7,FALSE)</f>
        <v>#REF!</v>
      </c>
      <c r="P238" s="218" t="e">
        <f>VLOOKUP("resto del mundo",#REF!,8,FALSE)/VLOOKUP("resto del mundo",#REF!,8,FALSE)-1</f>
        <v>#REF!</v>
      </c>
      <c r="Q238" s="219" t="e">
        <f>VLOOKUP("resto del mundo",#REF!,8,FALSE)</f>
        <v>#REF!</v>
      </c>
    </row>
    <row r="239" spans="3:17" ht="24" hidden="1" customHeight="1" x14ac:dyDescent="0.2">
      <c r="C239" s="217" t="s">
        <v>61</v>
      </c>
      <c r="D239" s="218" t="e">
        <f>(VLOOKUP("total",#REF!,6,FALSE)-VLOOKUP("españa",#REF!,6,FALSE))/(VLOOKUP("total",#REF!,6,FALSE)-VLOOKUP("españa",#REF!,6,FALSE))-1</f>
        <v>#REF!</v>
      </c>
      <c r="E239" s="219" t="e">
        <f>VLOOKUP("total",#REF!,6,FALSE)-VLOOKUP("españa",#REF!,6,FALSE)</f>
        <v>#REF!</v>
      </c>
      <c r="F239" s="218" t="e">
        <f>(VLOOKUP("total",#REF!,5,FALSE)-VLOOKUP("españa",#REF!,5,FALSE))/(VLOOKUP("total",#REF!,5,FALSE)-VLOOKUP("españa",#REF!,5,FALSE))-1</f>
        <v>#REF!</v>
      </c>
      <c r="G239" s="219" t="e">
        <f>VLOOKUP("total",#REF!,5,FALSE)-VLOOKUP("españa",#REF!,5,FALSE)</f>
        <v>#REF!</v>
      </c>
      <c r="H239" s="218" t="e">
        <f>(VLOOKUP("total",#REF!,4,FALSE)-VLOOKUP("españa",#REF!,4,FALSE))/(VLOOKUP("total",#REF!,4,FALSE)-VLOOKUP("españa",#REF!,4,FALSE))-1</f>
        <v>#REF!</v>
      </c>
      <c r="I239" s="219" t="e">
        <f>VLOOKUP("total",#REF!,4,FALSE)-VLOOKUP("españa",#REF!,4,FALSE)</f>
        <v>#REF!</v>
      </c>
      <c r="J239" s="218" t="e">
        <f>(VLOOKUP("total",#REF!,3,FALSE)-VLOOKUP("españa",#REF!,3,FALSE))/(VLOOKUP("total",#REF!,3,FALSE)-VLOOKUP("españa",#REF!,3,FALSE))-1</f>
        <v>#REF!</v>
      </c>
      <c r="K239" s="219" t="e">
        <f>VLOOKUP("total",#REF!,3,FALSE)-VLOOKUP("españa",#REF!,3,FALSE)</f>
        <v>#REF!</v>
      </c>
      <c r="L239" s="218" t="e">
        <f>(VLOOKUP("total",#REF!,2,FALSE)-VLOOKUP("españa",#REF!,2,FALSE))/(VLOOKUP("total",#REF!,2,FALSE)-VLOOKUP("españa",#REF!,2,FALSE))-1</f>
        <v>#REF!</v>
      </c>
      <c r="M239" s="219" t="e">
        <f>VLOOKUP("total",#REF!,2,FALSE)-VLOOKUP("españa",#REF!,2,FALSE)</f>
        <v>#REF!</v>
      </c>
      <c r="N239" s="218" t="e">
        <f>(VLOOKUP("total",#REF!,7,FALSE)-VLOOKUP("españa",#REF!,7,FALSE))/(VLOOKUP("total",#REF!,7,FALSE)-VLOOKUP("españa",#REF!,7,FALSE))-1</f>
        <v>#REF!</v>
      </c>
      <c r="O239" s="219" t="e">
        <f>VLOOKUP("total",#REF!,7,FALSE)-VLOOKUP("españa",#REF!,7,FALSE)</f>
        <v>#REF!</v>
      </c>
      <c r="P239" s="218" t="e">
        <f>(VLOOKUP("total",#REF!,8,FALSE)-VLOOKUP("españa",#REF!,8,FALSE))/(VLOOKUP("total",#REF!,8,FALSE)-VLOOKUP("españa",#REF!,8,FALSE))-1</f>
        <v>#REF!</v>
      </c>
      <c r="Q239" s="219" t="e">
        <f>VLOOKUP("total",#REF!,8,FALSE)-VLOOKUP("españa",#REF!,8,FALSE)</f>
        <v>#REF!</v>
      </c>
    </row>
    <row r="240" spans="3:17" ht="24" hidden="1" customHeight="1" x14ac:dyDescent="0.2">
      <c r="C240" s="217" t="s">
        <v>8</v>
      </c>
      <c r="D240" s="218" t="e">
        <f>VLOOKUP("total",#REF!,6,FALSE)/VLOOKUP("total",#REF!,6,FALSE)-1</f>
        <v>#REF!</v>
      </c>
      <c r="E240" s="219" t="e">
        <f>VLOOKUP("total",#REF!,6,FALSE)</f>
        <v>#REF!</v>
      </c>
      <c r="F240" s="218" t="e">
        <f>VLOOKUP("total",#REF!,5,FALSE)/VLOOKUP("total",#REF!,5,FALSE)-1</f>
        <v>#REF!</v>
      </c>
      <c r="G240" s="219" t="e">
        <f>VLOOKUP("total",#REF!,5,FALSE)</f>
        <v>#REF!</v>
      </c>
      <c r="H240" s="218" t="e">
        <f>VLOOKUP("total",#REF!,4,FALSE)/VLOOKUP("total",#REF!,4,FALSE)-1</f>
        <v>#REF!</v>
      </c>
      <c r="I240" s="219" t="e">
        <f>VLOOKUP("total",#REF!,4,FALSE)</f>
        <v>#REF!</v>
      </c>
      <c r="J240" s="218" t="e">
        <f>VLOOKUP("total",#REF!,3,FALSE)/VLOOKUP("total",#REF!,3,FALSE)-1</f>
        <v>#REF!</v>
      </c>
      <c r="K240" s="219" t="e">
        <f>VLOOKUP("total",#REF!,3,FALSE)</f>
        <v>#REF!</v>
      </c>
      <c r="L240" s="218" t="e">
        <f>VLOOKUP("total",#REF!,2,FALSE)/VLOOKUP("total",#REF!,2,FALSE)-1</f>
        <v>#REF!</v>
      </c>
      <c r="M240" s="219" t="e">
        <f>VLOOKUP("total",#REF!,2,FALSE)</f>
        <v>#REF!</v>
      </c>
      <c r="N240" s="218" t="e">
        <f>VLOOKUP("total",#REF!,7,FALSE)/VLOOKUP("total",#REF!,7,FALSE)-1</f>
        <v>#REF!</v>
      </c>
      <c r="O240" s="219" t="e">
        <f>VLOOKUP("total",#REF!,7,FALSE)</f>
        <v>#REF!</v>
      </c>
      <c r="P240" s="218" t="e">
        <f>VLOOKUP("total",#REF!,8,FALSE)/VLOOKUP("total",#REF!,8,FALSE)-1</f>
        <v>#REF!</v>
      </c>
      <c r="Q240" s="219" t="e">
        <f>VLOOKUP("total",#REF!,8,FALSE)</f>
        <v>#REF!</v>
      </c>
    </row>
    <row r="241" spans="3:13" ht="18" customHeight="1" thickBot="1" x14ac:dyDescent="0.25"/>
    <row r="242" spans="3:13" ht="50.25" customHeight="1" thickBot="1" x14ac:dyDescent="0.25">
      <c r="C242" s="1"/>
      <c r="D242" s="1"/>
      <c r="E242" s="2" t="str">
        <f>$E$1</f>
        <v>INDICADORES TURÍSTICOS DE TENERIFE definitivo</v>
      </c>
      <c r="F242" s="2"/>
      <c r="G242" s="2"/>
      <c r="H242" s="2"/>
      <c r="I242" s="2"/>
      <c r="J242" s="2"/>
      <c r="K242" s="2"/>
      <c r="L242" s="1"/>
      <c r="M242" s="1"/>
    </row>
    <row r="243" spans="3:13" ht="5.25" customHeight="1" thickBot="1" x14ac:dyDescent="0.25"/>
    <row r="244" spans="3:13" ht="28.5" customHeight="1" thickBot="1" x14ac:dyDescent="0.25">
      <c r="C244" s="224" t="s">
        <v>67</v>
      </c>
      <c r="D244" s="225"/>
      <c r="E244" s="225"/>
      <c r="F244" s="225"/>
      <c r="G244" s="225"/>
      <c r="H244" s="225"/>
      <c r="I244" s="225"/>
      <c r="J244" s="225"/>
      <c r="K244" s="225"/>
      <c r="L244" s="225"/>
      <c r="M244" s="226"/>
    </row>
    <row r="245" spans="3:13" ht="5.25" customHeight="1" thickBot="1" x14ac:dyDescent="0.25">
      <c r="C245" s="227"/>
      <c r="D245" s="228"/>
      <c r="E245" s="228"/>
      <c r="F245" s="228"/>
      <c r="G245" s="229"/>
      <c r="H245" s="229"/>
      <c r="I245" s="229"/>
      <c r="J245" s="228"/>
      <c r="K245" s="228"/>
      <c r="L245" s="228"/>
      <c r="M245" s="230"/>
    </row>
    <row r="246" spans="3:13" ht="32.25" customHeight="1" thickTop="1" thickBot="1" x14ac:dyDescent="0.25">
      <c r="C246" s="173"/>
      <c r="D246" s="174" t="s">
        <v>7</v>
      </c>
      <c r="E246" s="175"/>
      <c r="F246" s="174" t="s">
        <v>30</v>
      </c>
      <c r="G246" s="175"/>
      <c r="H246" s="174" t="s">
        <v>31</v>
      </c>
      <c r="I246" s="175"/>
      <c r="J246" s="174" t="s">
        <v>32</v>
      </c>
      <c r="K246" s="175"/>
      <c r="L246" s="174" t="s">
        <v>33</v>
      </c>
      <c r="M246" s="231"/>
    </row>
    <row r="247" spans="3:13" ht="31.5" customHeight="1" thickBot="1" x14ac:dyDescent="0.25">
      <c r="C247" s="176"/>
      <c r="D247" s="232" t="s">
        <v>68</v>
      </c>
      <c r="E247" s="233" t="s">
        <v>69</v>
      </c>
      <c r="F247" s="232" t="s">
        <v>68</v>
      </c>
      <c r="G247" s="233" t="s">
        <v>69</v>
      </c>
      <c r="H247" s="232" t="s">
        <v>68</v>
      </c>
      <c r="I247" s="233" t="s">
        <v>69</v>
      </c>
      <c r="J247" s="232" t="s">
        <v>68</v>
      </c>
      <c r="K247" s="233" t="s">
        <v>69</v>
      </c>
      <c r="L247" s="232" t="s">
        <v>68</v>
      </c>
      <c r="M247" s="234" t="s">
        <v>69</v>
      </c>
    </row>
    <row r="248" spans="3:13" ht="18.75" thickBot="1" x14ac:dyDescent="0.25">
      <c r="C248" s="179" t="s">
        <v>36</v>
      </c>
      <c r="D248" s="235">
        <v>0.17627097242609341</v>
      </c>
      <c r="E248" s="236">
        <v>0.39769711619134201</v>
      </c>
      <c r="F248" s="235">
        <v>0.53453496755587604</v>
      </c>
      <c r="G248" s="236">
        <v>0.70146889753186081</v>
      </c>
      <c r="H248" s="235">
        <v>0.4461262185736275</v>
      </c>
      <c r="I248" s="236">
        <v>0.63420341532718616</v>
      </c>
      <c r="J248" s="235">
        <v>0.38030937308556256</v>
      </c>
      <c r="K248" s="236">
        <v>0.58729799196021115</v>
      </c>
      <c r="L248" s="235">
        <v>0.10494493190285215</v>
      </c>
      <c r="M248" s="237">
        <v>0.31834748180293576</v>
      </c>
    </row>
    <row r="249" spans="3:13" ht="26.25" thickBot="1" x14ac:dyDescent="0.25">
      <c r="C249" s="238" t="s">
        <v>70</v>
      </c>
      <c r="D249" s="239">
        <v>5.673524488837136E-2</v>
      </c>
      <c r="E249" s="240">
        <v>0.16626303352834634</v>
      </c>
      <c r="F249" s="239"/>
      <c r="G249" s="240"/>
      <c r="H249" s="239"/>
      <c r="I249" s="240"/>
      <c r="J249" s="239"/>
      <c r="K249" s="240"/>
      <c r="L249" s="239"/>
      <c r="M249" s="241"/>
    </row>
    <row r="250" spans="3:13" ht="26.25" thickBot="1" x14ac:dyDescent="0.25">
      <c r="C250" s="238" t="s">
        <v>39</v>
      </c>
      <c r="D250" s="239">
        <v>2.0975613923173885E-2</v>
      </c>
      <c r="E250" s="240">
        <v>4.8659000895887379E-2</v>
      </c>
      <c r="F250" s="239"/>
      <c r="G250" s="240"/>
      <c r="H250" s="239"/>
      <c r="I250" s="240"/>
      <c r="J250" s="239"/>
      <c r="K250" s="240"/>
      <c r="L250" s="239"/>
      <c r="M250" s="241"/>
    </row>
    <row r="251" spans="3:13" ht="18.75" thickBot="1" x14ac:dyDescent="0.25">
      <c r="C251" s="238" t="s">
        <v>40</v>
      </c>
      <c r="D251" s="239">
        <v>9.8560113614548167E-2</v>
      </c>
      <c r="E251" s="240">
        <v>0.18277465695918402</v>
      </c>
      <c r="F251" s="239"/>
      <c r="G251" s="240"/>
      <c r="H251" s="239"/>
      <c r="I251" s="240"/>
      <c r="J251" s="239"/>
      <c r="K251" s="240"/>
      <c r="L251" s="239"/>
      <c r="M251" s="241"/>
    </row>
    <row r="252" spans="3:13" ht="18.75" thickBot="1" x14ac:dyDescent="0.25">
      <c r="C252" s="242" t="s">
        <v>41</v>
      </c>
      <c r="D252" s="243">
        <v>5.6378932083274144E-2</v>
      </c>
      <c r="E252" s="244">
        <v>3.9893713054985014E-2</v>
      </c>
      <c r="F252" s="243">
        <v>1.9033886085075703E-2</v>
      </c>
      <c r="G252" s="244">
        <v>8.2495535823487679E-3</v>
      </c>
      <c r="H252" s="243">
        <v>4.1046690610569522E-2</v>
      </c>
      <c r="I252" s="244">
        <v>1.4680892553695295E-2</v>
      </c>
      <c r="J252" s="243">
        <v>2.3815601388605268E-2</v>
      </c>
      <c r="K252" s="244">
        <v>1.2825036837110827E-2</v>
      </c>
      <c r="L252" s="243">
        <v>6.5811974511919544E-2</v>
      </c>
      <c r="M252" s="245">
        <v>4.9940351665831016E-2</v>
      </c>
    </row>
    <row r="253" spans="3:13" ht="24" customHeight="1" thickBot="1" x14ac:dyDescent="0.25">
      <c r="C253" s="246" t="s">
        <v>42</v>
      </c>
      <c r="D253" s="239">
        <v>4.8376659248386127E-2</v>
      </c>
      <c r="E253" s="240">
        <v>3.8078933562163207E-2</v>
      </c>
      <c r="F253" s="239">
        <v>1.1968276856524874E-2</v>
      </c>
      <c r="G253" s="240">
        <v>8.1455933074044175E-3</v>
      </c>
      <c r="H253" s="239">
        <v>2.4884556182657773E-2</v>
      </c>
      <c r="I253" s="240">
        <v>1.5182327213973312E-2</v>
      </c>
      <c r="J253" s="239">
        <v>1.8429650806616297E-2</v>
      </c>
      <c r="K253" s="240">
        <v>1.2484084937555732E-2</v>
      </c>
      <c r="L253" s="239">
        <v>5.7383807332912602E-2</v>
      </c>
      <c r="M253" s="241">
        <v>4.7560181423145859E-2</v>
      </c>
    </row>
    <row r="254" spans="3:13" ht="24" customHeight="1" thickBot="1" x14ac:dyDescent="0.25">
      <c r="C254" s="242" t="s">
        <v>43</v>
      </c>
      <c r="D254" s="243">
        <v>9.1272471865776472E-2</v>
      </c>
      <c r="E254" s="244">
        <v>8.9278909772918913E-2</v>
      </c>
      <c r="F254" s="243">
        <v>6.4311463590483051E-2</v>
      </c>
      <c r="G254" s="244">
        <v>4.3840659475061765E-2</v>
      </c>
      <c r="H254" s="243">
        <v>0.10236018471010774</v>
      </c>
      <c r="I254" s="244">
        <v>7.2540880853553216E-2</v>
      </c>
      <c r="J254" s="243">
        <v>0.18210128650193996</v>
      </c>
      <c r="K254" s="244">
        <v>0.13206998335773246</v>
      </c>
      <c r="L254" s="243">
        <v>7.4845788970094251E-2</v>
      </c>
      <c r="M254" s="245">
        <v>8.3564146452508981E-2</v>
      </c>
    </row>
    <row r="255" spans="3:13" ht="24" customHeight="1" thickBot="1" x14ac:dyDescent="0.25">
      <c r="C255" s="246" t="s">
        <v>44</v>
      </c>
      <c r="D255" s="239">
        <v>4.0958378711113214E-2</v>
      </c>
      <c r="E255" s="240">
        <v>5.014220445581042E-2</v>
      </c>
      <c r="F255" s="239">
        <v>4.621485219899063E-2</v>
      </c>
      <c r="G255" s="240">
        <v>4.4213693402803261E-2</v>
      </c>
      <c r="H255" s="239">
        <v>9.6459722934838385E-2</v>
      </c>
      <c r="I255" s="240">
        <v>0.11251636627016186</v>
      </c>
      <c r="J255" s="239">
        <v>5.3527670002042067E-2</v>
      </c>
      <c r="K255" s="240">
        <v>5.5556085395337303E-2</v>
      </c>
      <c r="L255" s="239">
        <v>3.6980110339773213E-2</v>
      </c>
      <c r="M255" s="241">
        <v>4.810191508612989E-2</v>
      </c>
    </row>
    <row r="256" spans="3:13" ht="24" customHeight="1" thickBot="1" x14ac:dyDescent="0.25">
      <c r="C256" s="242" t="s">
        <v>45</v>
      </c>
      <c r="D256" s="243">
        <v>0.27978755307227299</v>
      </c>
      <c r="E256" s="244">
        <v>0.18239128633966367</v>
      </c>
      <c r="F256" s="243">
        <v>4.8521989906272531E-2</v>
      </c>
      <c r="G256" s="244">
        <v>1.9483378586629487E-2</v>
      </c>
      <c r="H256" s="243">
        <v>8.0041046690610573E-2</v>
      </c>
      <c r="I256" s="244">
        <v>2.7523191353037858E-2</v>
      </c>
      <c r="J256" s="243">
        <v>8.4924443536859295E-2</v>
      </c>
      <c r="K256" s="244">
        <v>4.0971450643040051E-2</v>
      </c>
      <c r="L256" s="243">
        <v>0.33892836057897846</v>
      </c>
      <c r="M256" s="245">
        <v>0.23513085173210693</v>
      </c>
    </row>
    <row r="257" spans="3:13" ht="24" customHeight="1" thickBot="1" x14ac:dyDescent="0.25">
      <c r="C257" s="246" t="s">
        <v>46</v>
      </c>
      <c r="D257" s="239">
        <v>3.904067427435011E-2</v>
      </c>
      <c r="E257" s="240">
        <v>1.8233606130828098E-2</v>
      </c>
      <c r="F257" s="239">
        <v>1.9394376351838501E-2</v>
      </c>
      <c r="G257" s="240">
        <v>5.2652821604168192E-3</v>
      </c>
      <c r="H257" s="239">
        <v>7.9527963057978452E-3</v>
      </c>
      <c r="I257" s="240">
        <v>4.234337131236594E-3</v>
      </c>
      <c r="J257" s="239">
        <v>1.0082703696140494E-2</v>
      </c>
      <c r="K257" s="240">
        <v>4.3107764643049587E-3</v>
      </c>
      <c r="L257" s="239">
        <v>4.6818061521548826E-2</v>
      </c>
      <c r="M257" s="241">
        <v>2.3110703850343195E-2</v>
      </c>
    </row>
    <row r="258" spans="3:13" ht="24" customHeight="1" thickBot="1" x14ac:dyDescent="0.25">
      <c r="C258" s="242" t="s">
        <v>47</v>
      </c>
      <c r="D258" s="243">
        <v>3.6657354357056048E-2</v>
      </c>
      <c r="E258" s="244">
        <v>2.8988043780705647E-2</v>
      </c>
      <c r="F258" s="243">
        <v>3.2660418168709446E-2</v>
      </c>
      <c r="G258" s="244">
        <v>2.6895134659132604E-2</v>
      </c>
      <c r="H258" s="243">
        <v>3.1811185223191381E-2</v>
      </c>
      <c r="I258" s="244">
        <v>2.3873861325458951E-2</v>
      </c>
      <c r="J258" s="243">
        <v>2.7772105370635083E-2</v>
      </c>
      <c r="K258" s="244">
        <v>2.0597786435359811E-2</v>
      </c>
      <c r="L258" s="243">
        <v>3.8807231123144888E-2</v>
      </c>
      <c r="M258" s="245">
        <v>3.1319121469366114E-2</v>
      </c>
    </row>
    <row r="259" spans="3:13" ht="24" customHeight="1" thickBot="1" x14ac:dyDescent="0.25">
      <c r="C259" s="246" t="s">
        <v>48</v>
      </c>
      <c r="D259" s="239">
        <v>8.4067269599255021E-2</v>
      </c>
      <c r="E259" s="240">
        <v>2.7475302728753759E-2</v>
      </c>
      <c r="F259" s="239">
        <v>5.4361932227829847E-2</v>
      </c>
      <c r="G259" s="240">
        <v>1.4713436559771044E-2</v>
      </c>
      <c r="H259" s="239">
        <v>3.6942021549512573E-2</v>
      </c>
      <c r="I259" s="240">
        <v>9.3043986962698839E-3</v>
      </c>
      <c r="J259" s="239">
        <v>9.2250357361649993E-2</v>
      </c>
      <c r="K259" s="240">
        <v>2.5945724272437257E-2</v>
      </c>
      <c r="L259" s="239">
        <v>8.5467518983734045E-2</v>
      </c>
      <c r="M259" s="241">
        <v>2.9423629961329436E-2</v>
      </c>
    </row>
    <row r="260" spans="3:13" ht="24" customHeight="1" thickBot="1" x14ac:dyDescent="0.25">
      <c r="C260" s="247" t="s">
        <v>49</v>
      </c>
      <c r="D260" s="243">
        <v>2.3564878387549917E-2</v>
      </c>
      <c r="E260" s="244">
        <v>8.3963288098368519E-3</v>
      </c>
      <c r="F260" s="243">
        <v>1.9105984138428261E-2</v>
      </c>
      <c r="G260" s="244">
        <v>5.5832782955407157E-3</v>
      </c>
      <c r="H260" s="243">
        <v>1.3853258081067214E-2</v>
      </c>
      <c r="I260" s="244">
        <v>3.1200378861743322E-3</v>
      </c>
      <c r="J260" s="243">
        <v>2.6342658770675924E-2</v>
      </c>
      <c r="K260" s="244">
        <v>7.193369796907113E-3</v>
      </c>
      <c r="L260" s="243">
        <v>2.3518454428859348E-2</v>
      </c>
      <c r="M260" s="245">
        <v>9.0613599820190526E-3</v>
      </c>
    </row>
    <row r="261" spans="3:13" ht="24" customHeight="1" thickBot="1" x14ac:dyDescent="0.25">
      <c r="C261" s="238" t="s">
        <v>50</v>
      </c>
      <c r="D261" s="239">
        <v>1.3277932982937954E-2</v>
      </c>
      <c r="E261" s="240">
        <v>3.1448531332771172E-3</v>
      </c>
      <c r="F261" s="239">
        <v>1.1535688536409516E-2</v>
      </c>
      <c r="G261" s="240">
        <v>3.1493847997847409E-3</v>
      </c>
      <c r="H261" s="239">
        <v>3.3350436121087736E-3</v>
      </c>
      <c r="I261" s="240">
        <v>1.5043039808340529E-3</v>
      </c>
      <c r="J261" s="239">
        <v>1.0108229528282622E-2</v>
      </c>
      <c r="K261" s="240">
        <v>1.8430476808117993E-3</v>
      </c>
      <c r="L261" s="239">
        <v>1.4230166323975489E-2</v>
      </c>
      <c r="M261" s="241">
        <v>3.4930295014321362E-3</v>
      </c>
    </row>
    <row r="262" spans="3:13" ht="24" customHeight="1" thickBot="1" x14ac:dyDescent="0.25">
      <c r="C262" s="247" t="s">
        <v>51</v>
      </c>
      <c r="D262" s="243">
        <v>2.4444812727875374E-2</v>
      </c>
      <c r="E262" s="244">
        <v>8.708137833182172E-3</v>
      </c>
      <c r="F262" s="243">
        <v>1.1968276856524874E-2</v>
      </c>
      <c r="G262" s="244">
        <v>3.1371541792030526E-3</v>
      </c>
      <c r="H262" s="243">
        <v>1.3340174448435094E-2</v>
      </c>
      <c r="I262" s="244">
        <v>3.370755216313341E-3</v>
      </c>
      <c r="J262" s="243">
        <v>2.1084337349397589E-2</v>
      </c>
      <c r="K262" s="244">
        <v>7.1599898906569643E-3</v>
      </c>
      <c r="L262" s="243">
        <v>2.6215875083976305E-2</v>
      </c>
      <c r="M262" s="245">
        <v>9.7177798140816174E-3</v>
      </c>
    </row>
    <row r="263" spans="3:13" ht="24" customHeight="1" thickBot="1" x14ac:dyDescent="0.25">
      <c r="C263" s="238" t="s">
        <v>52</v>
      </c>
      <c r="D263" s="239">
        <v>2.2779645500891774E-2</v>
      </c>
      <c r="E263" s="240">
        <v>7.2259829524576203E-3</v>
      </c>
      <c r="F263" s="239">
        <v>1.1751982696467196E-2</v>
      </c>
      <c r="G263" s="240">
        <v>2.8436192852425331E-3</v>
      </c>
      <c r="H263" s="239">
        <v>6.4135454079014883E-3</v>
      </c>
      <c r="I263" s="240">
        <v>1.3093016129481572E-3</v>
      </c>
      <c r="J263" s="239">
        <v>3.4715131713293851E-2</v>
      </c>
      <c r="K263" s="240">
        <v>9.7493169040613805E-3</v>
      </c>
      <c r="L263" s="239">
        <v>2.1503023146922904E-2</v>
      </c>
      <c r="M263" s="241">
        <v>7.1514606637966306E-3</v>
      </c>
    </row>
    <row r="264" spans="3:13" ht="24" customHeight="1" thickBot="1" x14ac:dyDescent="0.25">
      <c r="C264" s="242" t="s">
        <v>53</v>
      </c>
      <c r="D264" s="243">
        <v>8.6020487081143356E-3</v>
      </c>
      <c r="E264" s="244">
        <v>1.2796914195169509E-2</v>
      </c>
      <c r="F264" s="243">
        <v>8.6517664023071372E-3</v>
      </c>
      <c r="G264" s="244">
        <v>8.9466989555050027E-3</v>
      </c>
      <c r="H264" s="243">
        <v>1.8471010774756286E-2</v>
      </c>
      <c r="I264" s="244">
        <v>1.5850906761010669E-2</v>
      </c>
      <c r="J264" s="243">
        <v>8.7043087604655907E-3</v>
      </c>
      <c r="K264" s="244">
        <v>8.204304100483055E-3</v>
      </c>
      <c r="L264" s="243">
        <v>8.3823619225992952E-3</v>
      </c>
      <c r="M264" s="245">
        <v>1.4206677155552482E-2</v>
      </c>
    </row>
    <row r="265" spans="3:13" ht="24" customHeight="1" thickBot="1" x14ac:dyDescent="0.25">
      <c r="C265" s="246" t="s">
        <v>54</v>
      </c>
      <c r="D265" s="239">
        <v>8.0022728348880159E-3</v>
      </c>
      <c r="E265" s="240">
        <v>5.6372012803711123E-3</v>
      </c>
      <c r="F265" s="239">
        <v>7.6423936553713049E-3</v>
      </c>
      <c r="G265" s="240">
        <v>3.9688363787578583E-3</v>
      </c>
      <c r="H265" s="239">
        <v>1.07747562852745E-2</v>
      </c>
      <c r="I265" s="240">
        <v>6.8250828760063513E-3</v>
      </c>
      <c r="J265" s="239">
        <v>1.166530528895242E-2</v>
      </c>
      <c r="K265" s="240">
        <v>5.7198853638648212E-3</v>
      </c>
      <c r="L265" s="239">
        <v>7.2423199853423178E-3</v>
      </c>
      <c r="M265" s="241">
        <v>5.7498688889273094E-3</v>
      </c>
    </row>
    <row r="266" spans="3:13" ht="24" customHeight="1" thickBot="1" x14ac:dyDescent="0.25">
      <c r="C266" s="242" t="s">
        <v>55</v>
      </c>
      <c r="D266" s="243">
        <v>5.0744195590068973E-3</v>
      </c>
      <c r="E266" s="244">
        <v>2.8474875796780379E-3</v>
      </c>
      <c r="F266" s="243">
        <v>5.3352559480894018E-3</v>
      </c>
      <c r="G266" s="244">
        <v>2.8313886646608448E-3</v>
      </c>
      <c r="H266" s="243">
        <v>3.3350436121087736E-3</v>
      </c>
      <c r="I266" s="244">
        <v>2.5071733013900884E-3</v>
      </c>
      <c r="J266" s="243">
        <v>5.717786399836635E-3</v>
      </c>
      <c r="K266" s="244">
        <v>2.274602183045869E-3</v>
      </c>
      <c r="L266" s="243">
        <v>4.9622361108283622E-3</v>
      </c>
      <c r="M266" s="245">
        <v>2.9945192690053425E-3</v>
      </c>
    </row>
    <row r="267" spans="3:13" ht="24" customHeight="1" thickBot="1" x14ac:dyDescent="0.25">
      <c r="C267" s="246" t="s">
        <v>56</v>
      </c>
      <c r="D267" s="239">
        <v>4.0847893681834682E-2</v>
      </c>
      <c r="E267" s="240">
        <v>3.3708934348057884E-2</v>
      </c>
      <c r="F267" s="239">
        <v>3.028118240807498E-2</v>
      </c>
      <c r="G267" s="240">
        <v>1.6248379442772926E-2</v>
      </c>
      <c r="H267" s="239">
        <v>2.6167265264238071E-2</v>
      </c>
      <c r="I267" s="240">
        <v>1.6352341421288687E-2</v>
      </c>
      <c r="J267" s="239">
        <v>2.9329181131304879E-2</v>
      </c>
      <c r="K267" s="240">
        <v>2.9717653678704097E-2</v>
      </c>
      <c r="L267" s="239">
        <v>4.4181714541642068E-2</v>
      </c>
      <c r="M267" s="241">
        <v>3.6678250546056008E-2</v>
      </c>
    </row>
    <row r="268" spans="3:13" ht="24" customHeight="1" thickBot="1" x14ac:dyDescent="0.25">
      <c r="C268" s="242" t="s">
        <v>57</v>
      </c>
      <c r="D268" s="243">
        <v>5.5755480846630998E-2</v>
      </c>
      <c r="E268" s="244">
        <v>4.551137317040533E-2</v>
      </c>
      <c r="F268" s="243">
        <v>3.9509733237202596E-2</v>
      </c>
      <c r="G268" s="244">
        <v>3.1726229788899489E-2</v>
      </c>
      <c r="H268" s="243">
        <v>2.4371472550025655E-2</v>
      </c>
      <c r="I268" s="244">
        <v>1.4485890185809399E-2</v>
      </c>
      <c r="J268" s="243">
        <v>4.8396977741474369E-2</v>
      </c>
      <c r="K268" s="244">
        <v>4.1701040022507595E-2</v>
      </c>
      <c r="L268" s="243">
        <v>5.8992080780114413E-2</v>
      </c>
      <c r="M268" s="245">
        <v>4.8373358230029334E-2</v>
      </c>
    </row>
    <row r="269" spans="3:13" ht="24" customHeight="1" thickBot="1" x14ac:dyDescent="0.25">
      <c r="C269" s="246" t="s">
        <v>58</v>
      </c>
      <c r="D269" s="239">
        <v>4.7232350016572751E-3</v>
      </c>
      <c r="E269" s="240">
        <v>3.356832292199889E-3</v>
      </c>
      <c r="F269" s="239">
        <v>1.0742609949531363E-2</v>
      </c>
      <c r="G269" s="240">
        <v>7.6563684841368853E-3</v>
      </c>
      <c r="H269" s="239">
        <v>1.6675218060543867E-2</v>
      </c>
      <c r="I269" s="240">
        <v>7.9393821210686135E-3</v>
      </c>
      <c r="J269" s="239">
        <v>3.9054523177455584E-3</v>
      </c>
      <c r="K269" s="240">
        <v>2.2555279509029265E-3</v>
      </c>
      <c r="L269" s="239">
        <v>4.2242625353718366E-3</v>
      </c>
      <c r="M269" s="241">
        <v>3.123036935862192E-3</v>
      </c>
    </row>
    <row r="270" spans="3:13" ht="24" customHeight="1" thickBot="1" x14ac:dyDescent="0.25">
      <c r="C270" s="242" t="s">
        <v>59</v>
      </c>
      <c r="D270" s="243">
        <v>4.6285335479899613E-3</v>
      </c>
      <c r="E270" s="244">
        <v>5.3071255158761346E-3</v>
      </c>
      <c r="F270" s="243">
        <v>1.8385003604902667E-2</v>
      </c>
      <c r="G270" s="244">
        <v>1.8076857219735329E-2</v>
      </c>
      <c r="H270" s="243">
        <v>1.6418676244227808E-2</v>
      </c>
      <c r="I270" s="244">
        <v>1.1560854667520963E-2</v>
      </c>
      <c r="J270" s="243">
        <v>7.9640596283438846E-3</v>
      </c>
      <c r="K270" s="244">
        <v>7.9468019665533338E-3</v>
      </c>
      <c r="L270" s="243">
        <v>2.7584943303271513E-3</v>
      </c>
      <c r="M270" s="245">
        <v>3.3362725266112255E-3</v>
      </c>
    </row>
    <row r="271" spans="3:13" ht="24" customHeight="1" thickBot="1" x14ac:dyDescent="0.25">
      <c r="C271" s="246" t="s">
        <v>60</v>
      </c>
      <c r="D271" s="239">
        <v>1.9555850182300299E-2</v>
      </c>
      <c r="E271" s="240">
        <v>1.8655015601071367E-2</v>
      </c>
      <c r="F271" s="239">
        <v>4.8449891852919973E-2</v>
      </c>
      <c r="G271" s="240">
        <v>3.8269611800102736E-2</v>
      </c>
      <c r="H271" s="239">
        <v>1.6162134427911749E-2</v>
      </c>
      <c r="I271" s="240">
        <v>1.0418697941332145E-2</v>
      </c>
      <c r="J271" s="239">
        <v>1.1103736981825608E-2</v>
      </c>
      <c r="K271" s="240">
        <v>1.0121264430848756E-2</v>
      </c>
      <c r="L271" s="239">
        <v>1.9268744528816596E-2</v>
      </c>
      <c r="M271" s="241">
        <v>1.9039633004258948E-2</v>
      </c>
    </row>
    <row r="272" spans="3:13" ht="30.75" customHeight="1" thickBot="1" x14ac:dyDescent="0.25">
      <c r="C272" s="248" t="s">
        <v>61</v>
      </c>
      <c r="D272" s="249">
        <v>0.82372902757390665</v>
      </c>
      <c r="E272" s="250">
        <v>0.60230288380865793</v>
      </c>
      <c r="F272" s="249">
        <v>0.46546503244412396</v>
      </c>
      <c r="G272" s="250">
        <v>0.29853110246813919</v>
      </c>
      <c r="H272" s="249">
        <v>0.55387378142637256</v>
      </c>
      <c r="I272" s="250">
        <v>0.36579658467281384</v>
      </c>
      <c r="J272" s="249">
        <v>0.61969062691443744</v>
      </c>
      <c r="K272" s="250">
        <v>0.41270200803978885</v>
      </c>
      <c r="L272" s="249">
        <v>0.89505506809714785</v>
      </c>
      <c r="M272" s="251">
        <v>0.68165251819706429</v>
      </c>
    </row>
    <row r="273" spans="3:18" ht="24" customHeight="1" thickBot="1" x14ac:dyDescent="0.25">
      <c r="C273" s="252" t="s">
        <v>8</v>
      </c>
      <c r="D273" s="253">
        <v>1</v>
      </c>
      <c r="E273" s="254">
        <v>1</v>
      </c>
      <c r="F273" s="253">
        <v>1</v>
      </c>
      <c r="G273" s="254">
        <v>1</v>
      </c>
      <c r="H273" s="253">
        <v>1</v>
      </c>
      <c r="I273" s="254">
        <v>1</v>
      </c>
      <c r="J273" s="253">
        <v>1</v>
      </c>
      <c r="K273" s="254">
        <v>1</v>
      </c>
      <c r="L273" s="253">
        <v>1</v>
      </c>
      <c r="M273" s="255">
        <v>1</v>
      </c>
    </row>
    <row r="274" spans="3:18" ht="18" customHeight="1" x14ac:dyDescent="0.2">
      <c r="C274" s="256"/>
      <c r="D274" s="257"/>
      <c r="E274" s="258"/>
      <c r="F274" s="257"/>
      <c r="G274" s="258"/>
      <c r="H274" s="257"/>
      <c r="I274" s="258"/>
      <c r="J274" s="257"/>
      <c r="K274" s="258"/>
      <c r="L274" s="257"/>
      <c r="M274" s="258"/>
    </row>
    <row r="275" spans="3:18" ht="5.25" customHeight="1" thickBot="1" x14ac:dyDescent="0.25"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3:18" ht="20.100000000000001" customHeight="1" thickBot="1" x14ac:dyDescent="0.25">
      <c r="C276" s="25" t="s">
        <v>71</v>
      </c>
      <c r="D276" s="26"/>
      <c r="E276" s="26"/>
      <c r="F276" s="26"/>
      <c r="G276" s="26"/>
      <c r="H276" s="26"/>
      <c r="I276" s="26"/>
      <c r="J276" s="26"/>
      <c r="K276" s="26"/>
      <c r="L276" s="26"/>
      <c r="M276" s="27"/>
    </row>
    <row r="277" spans="3:18" ht="5.25" customHeight="1" x14ac:dyDescent="0.2"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149"/>
    </row>
    <row r="278" spans="3:18" ht="45.75" customHeight="1" thickBot="1" x14ac:dyDescent="0.25">
      <c r="C278" s="259" t="s">
        <v>7</v>
      </c>
      <c r="D278" s="260" t="s">
        <v>72</v>
      </c>
      <c r="E278" s="261" t="s">
        <v>73</v>
      </c>
      <c r="F278" s="262"/>
      <c r="G278" s="263">
        <v>1130.58</v>
      </c>
      <c r="H278" s="264">
        <v>0.20799999999999999</v>
      </c>
      <c r="I278" s="265"/>
      <c r="J278" s="265"/>
      <c r="K278" s="265"/>
      <c r="L278" s="265"/>
      <c r="M278" s="266" t="s">
        <v>74</v>
      </c>
      <c r="N278" s="267"/>
      <c r="O278" s="268"/>
      <c r="P278" s="269"/>
      <c r="R278" s="143"/>
    </row>
    <row r="279" spans="3:18" ht="45.75" customHeight="1" thickTop="1" thickBot="1" x14ac:dyDescent="0.25">
      <c r="C279" s="259"/>
      <c r="D279" s="260"/>
      <c r="E279" s="261" t="s">
        <v>75</v>
      </c>
      <c r="F279" s="262"/>
      <c r="G279" s="263">
        <v>274.23</v>
      </c>
      <c r="H279" s="264">
        <v>0.122</v>
      </c>
      <c r="I279" s="265"/>
      <c r="J279" s="265"/>
      <c r="K279" s="265"/>
      <c r="L279" s="265"/>
      <c r="M279" s="266"/>
      <c r="N279" s="267"/>
      <c r="O279" s="268"/>
      <c r="P279" s="269"/>
    </row>
    <row r="280" spans="3:18" ht="45.75" customHeight="1" thickTop="1" thickBot="1" x14ac:dyDescent="0.25">
      <c r="C280" s="259"/>
      <c r="D280" s="260"/>
      <c r="E280" s="261" t="s">
        <v>76</v>
      </c>
      <c r="F280" s="262"/>
      <c r="G280" s="263">
        <v>457.37</v>
      </c>
      <c r="H280" s="264">
        <v>0.28899999999999998</v>
      </c>
      <c r="I280" s="265"/>
      <c r="J280" s="265"/>
      <c r="K280" s="265"/>
      <c r="L280" s="270"/>
      <c r="M280" s="266"/>
      <c r="N280" s="267"/>
      <c r="O280" s="268"/>
      <c r="P280" s="269"/>
    </row>
    <row r="281" spans="3:18" ht="45.75" customHeight="1" thickTop="1" thickBot="1" x14ac:dyDescent="0.25">
      <c r="C281" s="259"/>
      <c r="D281" s="260"/>
      <c r="E281" s="261" t="s">
        <v>77</v>
      </c>
      <c r="F281" s="262"/>
      <c r="G281" s="263">
        <v>171.95</v>
      </c>
      <c r="H281" s="264">
        <v>3.3000000000000002E-2</v>
      </c>
      <c r="I281" s="265"/>
      <c r="J281" s="265"/>
      <c r="K281" s="265"/>
      <c r="L281" s="270"/>
      <c r="M281" s="266"/>
      <c r="N281" s="267"/>
      <c r="O281" s="268"/>
      <c r="P281" s="269"/>
    </row>
    <row r="282" spans="3:18" ht="45.75" customHeight="1" thickTop="1" thickBot="1" x14ac:dyDescent="0.25">
      <c r="C282" s="259"/>
      <c r="D282" s="271"/>
      <c r="E282" s="261" t="s">
        <v>78</v>
      </c>
      <c r="F282" s="262"/>
      <c r="G282" s="263">
        <v>227.03</v>
      </c>
      <c r="H282" s="264">
        <v>0.33400000000000002</v>
      </c>
      <c r="I282" s="265"/>
      <c r="J282" s="265"/>
      <c r="K282" s="265"/>
      <c r="L282" s="270"/>
      <c r="M282" s="266"/>
      <c r="N282" s="267"/>
      <c r="O282" s="268"/>
      <c r="P282" s="269"/>
      <c r="R282" s="143"/>
    </row>
    <row r="283" spans="3:18" ht="45.75" customHeight="1" thickTop="1" thickBot="1" x14ac:dyDescent="0.25">
      <c r="C283" s="259"/>
      <c r="D283" s="272" t="s">
        <v>79</v>
      </c>
      <c r="E283" s="273" t="s">
        <v>73</v>
      </c>
      <c r="F283" s="274"/>
      <c r="G283" s="275">
        <v>136.84</v>
      </c>
      <c r="H283" s="276">
        <v>0.23899999999999999</v>
      </c>
      <c r="I283" s="277"/>
      <c r="J283" s="277"/>
      <c r="K283" s="277"/>
      <c r="L283" s="278"/>
      <c r="M283" s="266"/>
      <c r="N283" s="267"/>
      <c r="O283" s="268"/>
      <c r="P283" s="269"/>
      <c r="R283" s="143"/>
    </row>
    <row r="284" spans="3:18" ht="45.75" customHeight="1" thickTop="1" thickBot="1" x14ac:dyDescent="0.25">
      <c r="C284" s="259"/>
      <c r="D284" s="279"/>
      <c r="E284" s="273" t="s">
        <v>75</v>
      </c>
      <c r="F284" s="274"/>
      <c r="G284" s="275">
        <v>33.15</v>
      </c>
      <c r="H284" s="276">
        <v>0.14000000000000001</v>
      </c>
      <c r="I284" s="277"/>
      <c r="J284" s="277"/>
      <c r="K284" s="277"/>
      <c r="L284" s="278"/>
      <c r="M284" s="266"/>
      <c r="N284" s="267"/>
      <c r="O284" s="268"/>
      <c r="P284" s="269"/>
      <c r="R284" s="143"/>
    </row>
    <row r="285" spans="3:18" ht="45.75" customHeight="1" thickTop="1" thickBot="1" x14ac:dyDescent="0.25">
      <c r="C285" s="259"/>
      <c r="D285" s="279"/>
      <c r="E285" s="273" t="s">
        <v>76</v>
      </c>
      <c r="F285" s="274"/>
      <c r="G285" s="275">
        <v>56.08</v>
      </c>
      <c r="H285" s="276">
        <v>0.307</v>
      </c>
      <c r="I285" s="277"/>
      <c r="J285" s="277"/>
      <c r="K285" s="277"/>
      <c r="L285" s="278"/>
      <c r="M285" s="266"/>
      <c r="N285" s="267"/>
      <c r="O285" s="268"/>
      <c r="P285" s="269"/>
      <c r="R285" s="143"/>
    </row>
    <row r="286" spans="3:18" ht="45.75" customHeight="1" thickTop="1" thickBot="1" x14ac:dyDescent="0.25">
      <c r="C286" s="259"/>
      <c r="D286" s="280"/>
      <c r="E286" s="273" t="s">
        <v>77</v>
      </c>
      <c r="F286" s="274"/>
      <c r="G286" s="275">
        <v>19.75</v>
      </c>
      <c r="H286" s="276">
        <v>7.1999999999999995E-2</v>
      </c>
      <c r="L286" s="281"/>
      <c r="M286" s="266"/>
      <c r="N286" s="267"/>
      <c r="O286" s="268"/>
      <c r="P286" s="269"/>
      <c r="R286" s="143"/>
    </row>
    <row r="287" spans="3:18" ht="45.75" customHeight="1" thickTop="1" thickBot="1" x14ac:dyDescent="0.25">
      <c r="C287" s="259"/>
      <c r="D287" s="282"/>
      <c r="E287" s="273" t="s">
        <v>78</v>
      </c>
      <c r="F287" s="274"/>
      <c r="G287" s="275">
        <v>27.86</v>
      </c>
      <c r="H287" s="276">
        <v>0.219</v>
      </c>
      <c r="L287" s="281"/>
      <c r="M287" s="266"/>
      <c r="N287" s="267"/>
      <c r="O287" s="268"/>
      <c r="P287" s="269"/>
    </row>
    <row r="288" spans="3:18" ht="5.25" customHeight="1" thickTop="1" thickBot="1" x14ac:dyDescent="0.25">
      <c r="C288" s="283"/>
      <c r="D288" s="283"/>
      <c r="E288" s="283"/>
      <c r="F288" s="283"/>
      <c r="G288" s="283"/>
      <c r="H288" s="283"/>
      <c r="I288" s="283"/>
      <c r="J288" s="283"/>
      <c r="K288" s="283"/>
      <c r="L288" s="283"/>
      <c r="M288" s="284"/>
      <c r="O288" s="143"/>
      <c r="R288" s="143"/>
    </row>
    <row r="289" spans="3:20" ht="19.5" customHeight="1" thickBot="1" x14ac:dyDescent="0.25">
      <c r="C289" s="25" t="s">
        <v>80</v>
      </c>
      <c r="D289" s="26"/>
      <c r="E289" s="26"/>
      <c r="F289" s="26"/>
      <c r="G289" s="26"/>
      <c r="H289" s="26"/>
      <c r="I289" s="26"/>
      <c r="J289" s="26"/>
      <c r="K289" s="26"/>
      <c r="L289" s="26"/>
      <c r="M289" s="27"/>
      <c r="O289" s="143"/>
      <c r="P289" s="143"/>
      <c r="Q289" s="143"/>
    </row>
    <row r="290" spans="3:20" ht="5.25" customHeight="1" x14ac:dyDescent="0.2"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149"/>
      <c r="O290" s="143"/>
      <c r="P290" s="143"/>
      <c r="Q290" s="143"/>
    </row>
    <row r="291" spans="3:20" s="143" customFormat="1" ht="47.25" customHeight="1" thickBot="1" x14ac:dyDescent="0.25">
      <c r="C291" s="259" t="s">
        <v>7</v>
      </c>
      <c r="D291" s="274"/>
      <c r="E291" s="285" t="s">
        <v>8</v>
      </c>
      <c r="F291" s="286">
        <v>163132</v>
      </c>
      <c r="G291" s="264">
        <v>-3.733646486760811E-2</v>
      </c>
      <c r="H291" s="287" t="s">
        <v>98</v>
      </c>
      <c r="I291" s="287"/>
      <c r="J291" s="287"/>
      <c r="K291" s="287"/>
      <c r="L291" s="288"/>
      <c r="M291" s="266" t="s">
        <v>104</v>
      </c>
      <c r="Q291" s="289"/>
    </row>
    <row r="292" spans="3:20" s="143" customFormat="1" ht="47.25" customHeight="1" thickTop="1" thickBot="1" x14ac:dyDescent="0.25">
      <c r="C292" s="259"/>
      <c r="D292" s="274"/>
      <c r="E292" s="290" t="s">
        <v>81</v>
      </c>
      <c r="F292" s="291">
        <v>85842</v>
      </c>
      <c r="G292" s="264">
        <v>-4.5680426009716446E-2</v>
      </c>
      <c r="H292" s="292" t="s">
        <v>99</v>
      </c>
      <c r="I292" s="293"/>
      <c r="J292" s="293"/>
      <c r="K292" s="293"/>
      <c r="L292" s="294"/>
      <c r="M292" s="266"/>
      <c r="O292" s="295"/>
      <c r="Q292" s="289"/>
    </row>
    <row r="293" spans="3:20" s="143" customFormat="1" ht="47.25" customHeight="1" thickTop="1" thickBot="1" x14ac:dyDescent="0.25">
      <c r="C293" s="259"/>
      <c r="D293" s="274"/>
      <c r="E293" s="296" t="s">
        <v>82</v>
      </c>
      <c r="F293" s="297">
        <v>47646</v>
      </c>
      <c r="G293" s="264">
        <v>-4.3521901473481339E-2</v>
      </c>
      <c r="H293" s="298" t="s">
        <v>100</v>
      </c>
      <c r="I293" s="293"/>
      <c r="J293" s="293"/>
      <c r="K293" s="293"/>
      <c r="L293" s="294"/>
      <c r="M293" s="266"/>
      <c r="O293" s="295"/>
      <c r="Q293" s="289"/>
    </row>
    <row r="294" spans="3:20" s="143" customFormat="1" ht="47.25" customHeight="1" thickTop="1" thickBot="1" x14ac:dyDescent="0.25">
      <c r="C294" s="259"/>
      <c r="D294" s="274"/>
      <c r="E294" s="290" t="s">
        <v>83</v>
      </c>
      <c r="F294" s="291">
        <v>28051</v>
      </c>
      <c r="G294" s="264">
        <v>-3.1627576403695512E-3</v>
      </c>
      <c r="H294" s="292" t="s">
        <v>101</v>
      </c>
      <c r="I294" s="293"/>
      <c r="J294" s="293"/>
      <c r="K294" s="293"/>
      <c r="L294" s="294"/>
      <c r="M294" s="266"/>
      <c r="O294" s="295"/>
      <c r="Q294" s="289"/>
    </row>
    <row r="295" spans="3:20" s="143" customFormat="1" ht="47.25" customHeight="1" thickTop="1" thickBot="1" x14ac:dyDescent="0.25">
      <c r="C295" s="259"/>
      <c r="D295" s="274"/>
      <c r="E295" s="296" t="s">
        <v>84</v>
      </c>
      <c r="F295" s="297">
        <v>543</v>
      </c>
      <c r="G295" s="264">
        <v>7.7380952380952328E-2</v>
      </c>
      <c r="H295" s="298" t="s">
        <v>102</v>
      </c>
      <c r="I295" s="293"/>
      <c r="J295" s="293"/>
      <c r="K295" s="293"/>
      <c r="L295" s="294"/>
      <c r="M295" s="266"/>
      <c r="O295" s="295"/>
      <c r="Q295" s="289"/>
    </row>
    <row r="296" spans="3:20" s="143" customFormat="1" ht="47.25" customHeight="1" thickTop="1" thickBot="1" x14ac:dyDescent="0.25">
      <c r="C296" s="259"/>
      <c r="D296" s="274"/>
      <c r="E296" s="290" t="s">
        <v>85</v>
      </c>
      <c r="F296" s="291">
        <v>1050</v>
      </c>
      <c r="G296" s="264">
        <v>0</v>
      </c>
      <c r="H296" s="292" t="s">
        <v>103</v>
      </c>
      <c r="I296" s="293"/>
      <c r="J296" s="293"/>
      <c r="K296" s="293"/>
      <c r="L296" s="294"/>
      <c r="M296" s="266"/>
      <c r="O296" s="295"/>
      <c r="Q296" s="289"/>
    </row>
    <row r="297" spans="3:20" ht="5.25" customHeight="1" thickTop="1" x14ac:dyDescent="0.2">
      <c r="C297" s="94" t="s">
        <v>86</v>
      </c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299"/>
      <c r="P297" s="143"/>
      <c r="Q297" s="143"/>
      <c r="R297" s="143"/>
    </row>
    <row r="298" spans="3:20" ht="18.75" customHeight="1" thickBot="1" x14ac:dyDescent="0.2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99"/>
      <c r="P298" s="143"/>
      <c r="Q298" s="143"/>
      <c r="R298" s="143"/>
    </row>
    <row r="299" spans="3:20" ht="50.25" customHeight="1" thickBot="1" x14ac:dyDescent="0.25">
      <c r="C299" s="1"/>
      <c r="D299" s="1"/>
      <c r="E299" s="2" t="str">
        <f>E242</f>
        <v>INDICADORES TURÍSTICOS DE TENERIFE definitivo</v>
      </c>
      <c r="F299" s="2"/>
      <c r="G299" s="2"/>
      <c r="H299" s="2"/>
      <c r="I299" s="2"/>
      <c r="J299" s="2"/>
      <c r="K299" s="2"/>
      <c r="L299" s="1"/>
      <c r="M299" s="1"/>
      <c r="O299" s="143"/>
      <c r="P299" s="143"/>
      <c r="Q299" s="143"/>
      <c r="R299" s="143"/>
      <c r="S299" s="143"/>
      <c r="T299" s="143"/>
    </row>
    <row r="300" spans="3:20" ht="5.25" customHeight="1" thickBot="1" x14ac:dyDescent="0.25">
      <c r="O300" s="143"/>
      <c r="P300" s="143"/>
      <c r="Q300" s="143"/>
      <c r="R300" s="143"/>
      <c r="S300" s="143"/>
      <c r="T300" s="143"/>
    </row>
    <row r="301" spans="3:20" ht="18" customHeight="1" thickBot="1" x14ac:dyDescent="0.25">
      <c r="C301" s="224" t="s">
        <v>87</v>
      </c>
      <c r="D301" s="225"/>
      <c r="E301" s="225"/>
      <c r="F301" s="225"/>
      <c r="G301" s="225"/>
      <c r="H301" s="225"/>
      <c r="I301" s="225"/>
      <c r="J301" s="225"/>
      <c r="K301" s="225"/>
      <c r="L301" s="225"/>
      <c r="M301" s="226"/>
      <c r="O301" s="143"/>
      <c r="P301" s="143"/>
      <c r="Q301" s="143"/>
      <c r="R301" s="143"/>
      <c r="S301" s="143"/>
      <c r="T301" s="143"/>
    </row>
    <row r="302" spans="3:20" ht="5.25" customHeight="1" x14ac:dyDescent="0.2"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149"/>
      <c r="O302" s="143"/>
      <c r="P302" s="143"/>
      <c r="Q302" s="143"/>
      <c r="R302" s="143"/>
      <c r="S302" s="143"/>
      <c r="T302" s="143"/>
    </row>
    <row r="303" spans="3:20" ht="27.75" customHeight="1" x14ac:dyDescent="0.2">
      <c r="C303" s="300" t="s">
        <v>7</v>
      </c>
      <c r="D303" s="301"/>
      <c r="E303" s="302" t="s">
        <v>8</v>
      </c>
      <c r="F303" s="33">
        <v>113811</v>
      </c>
      <c r="G303" s="303">
        <v>1.1420424602875858</v>
      </c>
      <c r="H303" s="304" t="s">
        <v>105</v>
      </c>
      <c r="I303" s="304"/>
      <c r="J303" s="304"/>
      <c r="K303" s="304"/>
      <c r="L303" s="305"/>
      <c r="M303" s="266" t="s">
        <v>9</v>
      </c>
      <c r="O303" s="143"/>
      <c r="P303" s="143" t="s">
        <v>111</v>
      </c>
      <c r="Q303" s="143"/>
      <c r="R303" s="143"/>
      <c r="S303" s="143"/>
      <c r="T303" s="143"/>
    </row>
    <row r="304" spans="3:20" ht="34.5" customHeight="1" x14ac:dyDescent="0.2">
      <c r="C304" s="306"/>
      <c r="D304" s="307"/>
      <c r="E304" s="308" t="s">
        <v>88</v>
      </c>
      <c r="F304" s="44">
        <v>79549</v>
      </c>
      <c r="G304" s="138">
        <v>1.5322786018972434</v>
      </c>
      <c r="H304" s="309" t="str">
        <f>CONCATENATE("La oferta hotelera estimada por el STDE del Cabildo de Tenerife se sitúa en ",FIXED(F304,0)," plazas, un ",FIXED(F304/F303*100,1),"% del total de plazas. ",IF(G304&gt;0,"Aumentan un ","Disminuyen un "),FIXED(G304*100,1),"% respecto al mismo periodo del año anterior.")</f>
        <v>La oferta hotelera estimada por el STDE del Cabildo de Tenerife se sitúa en 79.549 plazas, un 69,9% del total de plazas. Aumentan un 153,2% respecto al mismo periodo del año anterior.</v>
      </c>
      <c r="I304" s="309"/>
      <c r="J304" s="309"/>
      <c r="K304" s="309"/>
      <c r="L304" s="310"/>
      <c r="M304" s="266"/>
      <c r="O304" s="143"/>
      <c r="P304" s="143"/>
      <c r="Q304" s="143"/>
      <c r="R304" s="143"/>
      <c r="S304" s="143"/>
      <c r="T304" s="143"/>
    </row>
    <row r="305" spans="3:18" ht="41.25" customHeight="1" thickBot="1" x14ac:dyDescent="0.25">
      <c r="C305" s="311"/>
      <c r="D305" s="312"/>
      <c r="E305" s="313" t="s">
        <v>89</v>
      </c>
      <c r="F305" s="314">
        <v>34262</v>
      </c>
      <c r="G305" s="315">
        <v>0.57758541302145683</v>
      </c>
      <c r="H305" s="316" t="s">
        <v>106</v>
      </c>
      <c r="I305" s="316"/>
      <c r="J305" s="316"/>
      <c r="K305" s="316"/>
      <c r="L305" s="317"/>
      <c r="M305" s="266"/>
      <c r="Q305" s="318"/>
    </row>
    <row r="306" spans="3:18" ht="18.75" hidden="1" customHeight="1" x14ac:dyDescent="0.2">
      <c r="C306" s="319" t="s">
        <v>12</v>
      </c>
      <c r="D306" s="320"/>
      <c r="E306" s="321" t="s">
        <v>8</v>
      </c>
      <c r="F306" s="322">
        <v>2381</v>
      </c>
      <c r="G306" s="323">
        <v>0.51270648030495547</v>
      </c>
      <c r="H306" s="324" t="str">
        <f>CONCATENATE("Las plazas estimadas por el STDE  del Cabildo de Tenerife en la zona de Santa Cruz, ascienden a ",FIXED(F307,0),", todas ellas pertenecientes a la tipología hotelera. Se registra un ",IF(G307&gt;0,"incremento ","descenso "),"con respecto al año anterior del ",FIXED(G307*100,1),"%.")</f>
        <v>Las plazas estimadas por el STDE  del Cabildo de Tenerife en la zona de Santa Cruz, ascienden a 2.373, todas ellas pertenecientes a la tipología hotelera. Se registra un incremento con respecto al año anterior del 50,8%.</v>
      </c>
      <c r="I306" s="324"/>
      <c r="J306" s="324"/>
      <c r="K306" s="324"/>
      <c r="L306" s="325"/>
      <c r="M306" s="266"/>
      <c r="Q306" s="318"/>
    </row>
    <row r="307" spans="3:18" ht="48.75" customHeight="1" thickTop="1" thickBot="1" x14ac:dyDescent="0.25">
      <c r="C307" s="326"/>
      <c r="D307" s="327"/>
      <c r="E307" s="328" t="s">
        <v>88</v>
      </c>
      <c r="F307" s="329">
        <v>2373</v>
      </c>
      <c r="G307" s="315">
        <v>0.50762388818297333</v>
      </c>
      <c r="H307" s="330"/>
      <c r="I307" s="330"/>
      <c r="J307" s="330"/>
      <c r="K307" s="330"/>
      <c r="L307" s="331"/>
      <c r="M307" s="266"/>
    </row>
    <row r="308" spans="3:18" ht="42" customHeight="1" thickTop="1" x14ac:dyDescent="0.2">
      <c r="C308" s="332" t="s">
        <v>13</v>
      </c>
      <c r="D308" s="333"/>
      <c r="E308" s="334" t="s">
        <v>8</v>
      </c>
      <c r="F308" s="335">
        <v>823</v>
      </c>
      <c r="G308" s="323">
        <v>0.36033057851239669</v>
      </c>
      <c r="H308" s="336" t="s">
        <v>107</v>
      </c>
      <c r="I308" s="336"/>
      <c r="J308" s="336"/>
      <c r="K308" s="336"/>
      <c r="L308" s="337"/>
      <c r="M308" s="266"/>
    </row>
    <row r="309" spans="3:18" ht="34.5" customHeight="1" x14ac:dyDescent="0.2">
      <c r="C309" s="338"/>
      <c r="D309" s="339"/>
      <c r="E309" s="340" t="s">
        <v>88</v>
      </c>
      <c r="F309" s="77">
        <v>625</v>
      </c>
      <c r="G309" s="138">
        <v>0.10424028268551244</v>
      </c>
      <c r="H309" s="341" t="str">
        <f>CONCATENATE("Las plazas hoteleras estimadas se sitúan en ",FIXED(F309,0)," plazas, registrando un ",IF(G309&gt;0,"incremento del ","descenso del "),FIXED(G309*100,1),"%.")</f>
        <v>Las plazas hoteleras estimadas se sitúan en 625 plazas, registrando un incremento del 10,4%.</v>
      </c>
      <c r="I309" s="341"/>
      <c r="J309" s="341"/>
      <c r="K309" s="341"/>
      <c r="L309" s="342"/>
      <c r="M309" s="266"/>
    </row>
    <row r="310" spans="3:18" ht="34.5" customHeight="1" thickBot="1" x14ac:dyDescent="0.25">
      <c r="C310" s="343"/>
      <c r="D310" s="344"/>
      <c r="E310" s="345" t="s">
        <v>89</v>
      </c>
      <c r="F310" s="346">
        <v>198</v>
      </c>
      <c r="G310" s="315">
        <v>4.0769230769230766</v>
      </c>
      <c r="H310" s="347" t="s">
        <v>108</v>
      </c>
      <c r="I310" s="347"/>
      <c r="J310" s="347"/>
      <c r="K310" s="347"/>
      <c r="L310" s="348"/>
      <c r="M310" s="266"/>
    </row>
    <row r="311" spans="3:18" ht="39.75" customHeight="1" thickTop="1" x14ac:dyDescent="0.2">
      <c r="C311" s="349" t="s">
        <v>14</v>
      </c>
      <c r="D311" s="350"/>
      <c r="E311" s="321" t="s">
        <v>8</v>
      </c>
      <c r="F311" s="322">
        <v>18939</v>
      </c>
      <c r="G311" s="323">
        <v>1.3780763435459567</v>
      </c>
      <c r="H311" s="324" t="s">
        <v>109</v>
      </c>
      <c r="I311" s="324"/>
      <c r="J311" s="324"/>
      <c r="K311" s="324"/>
      <c r="L311" s="325"/>
      <c r="M311" s="266"/>
    </row>
    <row r="312" spans="3:18" ht="34.5" customHeight="1" x14ac:dyDescent="0.2">
      <c r="C312" s="351"/>
      <c r="D312" s="352"/>
      <c r="E312" s="353" t="s">
        <v>88</v>
      </c>
      <c r="F312" s="64">
        <v>13820</v>
      </c>
      <c r="G312" s="138">
        <v>2.2555948174322733</v>
      </c>
      <c r="H312" s="354" t="str">
        <f>CONCATENATE("La oferta hotelera asciende a ",FIXED(F312,0),", cifra que se ",IF(G312&gt;0,"incrementa un ","reduce un "),FIXED(G312*100,1),"% respecto al año anterior.")</f>
        <v>La oferta hotelera asciende a 13.820, cifra que se incrementa un 225,6% respecto al año anterior.</v>
      </c>
      <c r="I312" s="354"/>
      <c r="J312" s="354"/>
      <c r="K312" s="354"/>
      <c r="L312" s="355"/>
      <c r="M312" s="266"/>
    </row>
    <row r="313" spans="3:18" ht="34.5" customHeight="1" thickBot="1" x14ac:dyDescent="0.25">
      <c r="C313" s="356"/>
      <c r="D313" s="357"/>
      <c r="E313" s="328" t="s">
        <v>89</v>
      </c>
      <c r="F313" s="329">
        <v>5119</v>
      </c>
      <c r="G313" s="315">
        <v>0.37644528098951335</v>
      </c>
      <c r="H313" s="330" t="str">
        <f>CONCATENATE("Las plazas extrahoteras estimadas ascienden a ",FIXED(F313,0),", las cuales ",IF(G313&gt;0,"se incrementan un ","descienden un "),FIXED(G313*100,1),"%.")</f>
        <v>Las plazas extrahoteras estimadas ascienden a 5.119, las cuales se incrementan un 37,6%.</v>
      </c>
      <c r="I313" s="330"/>
      <c r="J313" s="330"/>
      <c r="K313" s="330"/>
      <c r="L313" s="331"/>
      <c r="M313" s="266"/>
    </row>
    <row r="314" spans="3:18" ht="34.5" customHeight="1" thickTop="1" x14ac:dyDescent="0.2">
      <c r="C314" s="358" t="s">
        <v>15</v>
      </c>
      <c r="D314" s="359"/>
      <c r="E314" s="360" t="s">
        <v>8</v>
      </c>
      <c r="F314" s="361">
        <v>91668</v>
      </c>
      <c r="G314" s="323">
        <v>1.132359440787178</v>
      </c>
      <c r="H314" s="336" t="str">
        <f>CONCATENATE("Las plazas estimadas para la zona Sur por el STDE del Cabildo ascienden a ",FIXED(F314,0)," experimentando un ",IF(G314&gt;0,"incremento interanual del ","descenso interanual del "),FIXED(G314*100,1),"%.")</f>
        <v>Las plazas estimadas para la zona Sur por el STDE del Cabildo ascienden a 91.668 experimentando un incremento interanual del 113,2%.</v>
      </c>
      <c r="I314" s="336"/>
      <c r="J314" s="336"/>
      <c r="K314" s="336"/>
      <c r="L314" s="337"/>
      <c r="M314" s="266"/>
    </row>
    <row r="315" spans="3:18" ht="34.5" customHeight="1" x14ac:dyDescent="0.2">
      <c r="C315" s="362"/>
      <c r="D315" s="363"/>
      <c r="E315" s="364" t="s">
        <v>88</v>
      </c>
      <c r="F315" s="89">
        <v>62731</v>
      </c>
      <c r="G315" s="138">
        <v>1.5063326541212194</v>
      </c>
      <c r="H315" s="341" t="str">
        <f>CONCATENATE("Las plazas hoteleras, con un oferta de ",FIXED(F315,0)," plazas, se ",IF(G315&gt;0,"incrementan un ","reducen un "),FIXED(G315*100,1),"% respecto al mismo período del año anterior.")</f>
        <v>Las plazas hoteleras, con un oferta de 62.731 plazas, se incrementan un 150,6% respecto al mismo período del año anterior.</v>
      </c>
      <c r="I315" s="341"/>
      <c r="J315" s="341"/>
      <c r="K315" s="341"/>
      <c r="L315" s="342"/>
      <c r="M315" s="266"/>
    </row>
    <row r="316" spans="3:18" ht="34.5" customHeight="1" x14ac:dyDescent="0.2">
      <c r="C316" s="362"/>
      <c r="D316" s="363"/>
      <c r="E316" s="365" t="s">
        <v>89</v>
      </c>
      <c r="F316" s="366">
        <v>28937</v>
      </c>
      <c r="G316" s="367">
        <v>0.6111915367483296</v>
      </c>
      <c r="H316" s="368" t="s">
        <v>110</v>
      </c>
      <c r="I316" s="368"/>
      <c r="J316" s="368"/>
      <c r="K316" s="368"/>
      <c r="L316" s="369"/>
      <c r="M316" s="266"/>
    </row>
    <row r="317" spans="3:18" ht="5.25" customHeight="1" thickBot="1" x14ac:dyDescent="0.25">
      <c r="C317" s="283"/>
      <c r="D317" s="283"/>
      <c r="E317" s="283"/>
      <c r="F317" s="283"/>
      <c r="G317" s="283"/>
      <c r="H317" s="283"/>
      <c r="I317" s="283"/>
      <c r="J317" s="283"/>
      <c r="K317" s="283"/>
      <c r="L317" s="283"/>
      <c r="M317" s="284"/>
      <c r="O317" s="143"/>
      <c r="R317" s="143"/>
    </row>
    <row r="318" spans="3:18" ht="19.5" customHeight="1" thickBot="1" x14ac:dyDescent="0.25">
      <c r="C318" s="25" t="s">
        <v>90</v>
      </c>
      <c r="D318" s="26"/>
      <c r="E318" s="26"/>
      <c r="F318" s="26"/>
      <c r="G318" s="26"/>
      <c r="H318" s="26"/>
      <c r="I318" s="26"/>
      <c r="J318" s="26"/>
      <c r="K318" s="26"/>
      <c r="L318" s="26"/>
      <c r="M318" s="27"/>
      <c r="O318" s="143"/>
      <c r="P318" s="143"/>
      <c r="Q318" s="143"/>
    </row>
    <row r="319" spans="3:18" ht="5.25" customHeight="1" x14ac:dyDescent="0.2"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149"/>
      <c r="O319" s="143"/>
      <c r="P319" s="143"/>
      <c r="Q319" s="143"/>
    </row>
    <row r="320" spans="3:18" ht="44.25" customHeight="1" thickBot="1" x14ac:dyDescent="0.25">
      <c r="C320" s="370" t="s">
        <v>91</v>
      </c>
      <c r="D320" s="273"/>
      <c r="E320" s="371" t="s">
        <v>92</v>
      </c>
      <c r="F320" s="372">
        <v>43927</v>
      </c>
      <c r="G320" s="264">
        <v>6.2618614647049098</v>
      </c>
      <c r="H320" s="373" t="s">
        <v>112</v>
      </c>
      <c r="I320" s="373"/>
      <c r="J320" s="373"/>
      <c r="K320" s="373"/>
      <c r="L320" s="374"/>
      <c r="M320" s="266" t="s">
        <v>114</v>
      </c>
    </row>
    <row r="321" spans="3:13" ht="40.5" customHeight="1" thickTop="1" thickBot="1" x14ac:dyDescent="0.25">
      <c r="C321" s="370"/>
      <c r="D321" s="273"/>
      <c r="E321" s="375" t="s">
        <v>93</v>
      </c>
      <c r="F321" s="376">
        <v>39</v>
      </c>
      <c r="G321" s="377">
        <v>0.34482758620689657</v>
      </c>
      <c r="H321" s="378" t="s">
        <v>113</v>
      </c>
      <c r="I321" s="378"/>
      <c r="J321" s="378"/>
      <c r="K321" s="378"/>
      <c r="L321" s="379"/>
      <c r="M321" s="266"/>
    </row>
    <row r="322" spans="3:13" ht="13.5" thickTop="1" x14ac:dyDescent="0.2">
      <c r="C322" s="380"/>
      <c r="D322" s="380"/>
      <c r="E322" s="380"/>
      <c r="F322" s="380"/>
      <c r="G322" s="380"/>
      <c r="H322" s="380"/>
      <c r="I322" s="380"/>
      <c r="J322" s="380"/>
      <c r="K322" s="380"/>
      <c r="L322" s="380"/>
      <c r="M322" s="380"/>
    </row>
    <row r="323" spans="3:13" ht="29.25" customHeight="1" x14ac:dyDescent="0.2"/>
    <row r="324" spans="3:13" ht="18" customHeight="1" x14ac:dyDescent="0.2">
      <c r="C324" s="381" t="s">
        <v>94</v>
      </c>
      <c r="D324" s="381"/>
      <c r="E324" s="381"/>
      <c r="F324" s="381"/>
      <c r="G324" s="381"/>
      <c r="H324" s="381"/>
      <c r="I324" s="381"/>
      <c r="J324" s="381"/>
      <c r="K324" s="381"/>
      <c r="L324" s="381"/>
      <c r="M324" s="381"/>
    </row>
    <row r="326" spans="3:13" ht="6.75" customHeight="1" x14ac:dyDescent="0.2"/>
    <row r="328" spans="3:13" ht="8.25" customHeight="1" x14ac:dyDescent="0.2"/>
    <row r="331" spans="3:13" x14ac:dyDescent="0.2">
      <c r="E331" s="382"/>
      <c r="F331" s="382"/>
    </row>
    <row r="332" spans="3:13" x14ac:dyDescent="0.2">
      <c r="E332" s="382"/>
      <c r="F332" s="382"/>
    </row>
    <row r="335" spans="3:13" ht="21.75" customHeight="1" x14ac:dyDescent="0.2"/>
    <row r="337" ht="6" customHeight="1" x14ac:dyDescent="0.2"/>
  </sheetData>
  <mergeCells count="167">
    <mergeCell ref="C324:M324"/>
    <mergeCell ref="C314:D316"/>
    <mergeCell ref="H314:L314"/>
    <mergeCell ref="H315:L315"/>
    <mergeCell ref="H316:L316"/>
    <mergeCell ref="C318:M318"/>
    <mergeCell ref="C320:D321"/>
    <mergeCell ref="H320:L320"/>
    <mergeCell ref="M320:M321"/>
    <mergeCell ref="H321:L321"/>
    <mergeCell ref="H308:L308"/>
    <mergeCell ref="H309:L309"/>
    <mergeCell ref="H310:L310"/>
    <mergeCell ref="C311:D313"/>
    <mergeCell ref="H311:L311"/>
    <mergeCell ref="H312:L312"/>
    <mergeCell ref="H313:L313"/>
    <mergeCell ref="E299:K299"/>
    <mergeCell ref="C301:M301"/>
    <mergeCell ref="C303:D305"/>
    <mergeCell ref="H303:L303"/>
    <mergeCell ref="M303:M316"/>
    <mergeCell ref="H304:L304"/>
    <mergeCell ref="H305:L305"/>
    <mergeCell ref="C306:D307"/>
    <mergeCell ref="H306:L307"/>
    <mergeCell ref="C308:D310"/>
    <mergeCell ref="C291:D296"/>
    <mergeCell ref="H291:L291"/>
    <mergeCell ref="M291:M296"/>
    <mergeCell ref="H292:L292"/>
    <mergeCell ref="H293:L293"/>
    <mergeCell ref="H294:L294"/>
    <mergeCell ref="H295:L295"/>
    <mergeCell ref="H296:L296"/>
    <mergeCell ref="E283:F283"/>
    <mergeCell ref="E284:F284"/>
    <mergeCell ref="E285:F285"/>
    <mergeCell ref="E286:F286"/>
    <mergeCell ref="E287:F287"/>
    <mergeCell ref="C289:M289"/>
    <mergeCell ref="C276:M276"/>
    <mergeCell ref="C278:C287"/>
    <mergeCell ref="D278:D282"/>
    <mergeCell ref="E278:F278"/>
    <mergeCell ref="M278:M287"/>
    <mergeCell ref="E279:F279"/>
    <mergeCell ref="E280:F280"/>
    <mergeCell ref="E281:F281"/>
    <mergeCell ref="E282:F282"/>
    <mergeCell ref="D283:D287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</mergeCells>
  <conditionalFormatting sqref="N278">
    <cfRule type="expression" dxfId="22" priority="23">
      <formula>$C287="Todos los países"</formula>
    </cfRule>
  </conditionalFormatting>
  <conditionalFormatting sqref="G9:G23 L9:L23 O11:O13">
    <cfRule type="expression" dxfId="21" priority="21">
      <formula>G9&lt;0</formula>
    </cfRule>
    <cfRule type="expression" dxfId="20" priority="22">
      <formula>G9&gt;=0</formula>
    </cfRule>
  </conditionalFormatting>
  <conditionalFormatting sqref="G27:G41 L27:L41">
    <cfRule type="expression" dxfId="19" priority="19">
      <formula>G27&gt;=0</formula>
    </cfRule>
    <cfRule type="expression" dxfId="18" priority="20">
      <formula>G27&lt;0</formula>
    </cfRule>
  </conditionalFormatting>
  <conditionalFormatting sqref="G45:G59 L45:L59">
    <cfRule type="expression" dxfId="17" priority="17">
      <formula>G45&lt;0</formula>
    </cfRule>
    <cfRule type="expression" dxfId="16" priority="18">
      <formula>G45&gt;=0</formula>
    </cfRule>
  </conditionalFormatting>
  <conditionalFormatting sqref="G68:G82 L68:L82">
    <cfRule type="expression" dxfId="15" priority="15">
      <formula>G68&lt;0</formula>
    </cfRule>
    <cfRule type="expression" dxfId="14" priority="16">
      <formula>G68&gt;=0</formula>
    </cfRule>
  </conditionalFormatting>
  <conditionalFormatting sqref="G86:G90 L86:L90 G94:G98 L94:L98">
    <cfRule type="expression" dxfId="13" priority="13">
      <formula>G86&lt;0</formula>
    </cfRule>
    <cfRule type="expression" dxfId="12" priority="14">
      <formula>G86&gt;=0</formula>
    </cfRule>
  </conditionalFormatting>
  <conditionalFormatting sqref="G102:G106 L102:L106 G110:G114 L110:L114">
    <cfRule type="expression" dxfId="11" priority="11">
      <formula>G102&lt;0</formula>
    </cfRule>
    <cfRule type="expression" dxfId="10" priority="12">
      <formula>G102&gt;=0</formula>
    </cfRule>
  </conditionalFormatting>
  <conditionalFormatting sqref="E124:E149 G124:G149 I124:I149 K124:K149 M124:M149">
    <cfRule type="expression" dxfId="9" priority="9">
      <formula>E124&lt;0</formula>
    </cfRule>
    <cfRule type="expression" dxfId="8" priority="10">
      <formula>E124&gt;=0</formula>
    </cfRule>
  </conditionalFormatting>
  <conditionalFormatting sqref="E156:E181 G156:G181 I156:I181 K156:K181 M156:M181">
    <cfRule type="expression" dxfId="7" priority="7">
      <formula>E156&lt;0</formula>
    </cfRule>
    <cfRule type="expression" dxfId="6" priority="8">
      <formula>E156&gt;0</formula>
    </cfRule>
  </conditionalFormatting>
  <conditionalFormatting sqref="G303:G316 G320:G321">
    <cfRule type="expression" dxfId="4" priority="5">
      <formula>G303&lt;0</formula>
    </cfRule>
    <cfRule type="expression" dxfId="5" priority="6">
      <formula>G303&gt;0</formula>
    </cfRule>
  </conditionalFormatting>
  <conditionalFormatting sqref="G291:G296">
    <cfRule type="expression" dxfId="3" priority="3">
      <formula>G291&lt;0</formula>
    </cfRule>
    <cfRule type="expression" dxfId="2" priority="4">
      <formula>G291&gt;0</formula>
    </cfRule>
  </conditionalFormatting>
  <conditionalFormatting sqref="H278:H287">
    <cfRule type="expression" dxfId="1" priority="1">
      <formula>H278&lt;0</formula>
    </cfRule>
    <cfRule type="expression" dxfId="0" priority="2">
      <formula>H278&gt;0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7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4" ma:contentTypeDescription="Crear nuevo documento." ma:contentTypeScope="" ma:versionID="087b457a21fd16340d31fb1b343f3456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b8bc5fc2f66c995ff3239b80b86e5957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C5FE56-7A0A-4E79-9240-F30C831E6521}"/>
</file>

<file path=customXml/itemProps2.xml><?xml version="1.0" encoding="utf-8"?>
<ds:datastoreItem xmlns:ds="http://schemas.openxmlformats.org/officeDocument/2006/customXml" ds:itemID="{5575A70C-E4A1-4832-8EDE-D24DB841E207}"/>
</file>

<file path=customXml/itemProps3.xml><?xml version="1.0" encoding="utf-8"?>
<ds:datastoreItem xmlns:ds="http://schemas.openxmlformats.org/officeDocument/2006/customXml" ds:itemID="{BEE3DC5C-034E-40C3-9C60-713111B7E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(vinculo)</vt:lpstr>
      <vt:lpstr>'Ind turísticos (vinculo)'!Área_de_impresión</vt:lpstr>
      <vt:lpstr>'Ind turísticos (vinculo)'!Print_Area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Garcia</dc:creator>
  <cp:lastModifiedBy>Alejandro García Cabrera</cp:lastModifiedBy>
  <dcterms:created xsi:type="dcterms:W3CDTF">2022-03-07T10:04:37Z</dcterms:created>
  <dcterms:modified xsi:type="dcterms:W3CDTF">2022-03-07T10:44:31Z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</Properties>
</file>