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5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55.xml" ContentType="application/vnd.openxmlformats-officedocument.drawingml.chartshapes+xml"/>
  <Override PartName="/xl/drawings/drawing43.xml" ContentType="application/vnd.openxmlformats-officedocument.drawingml.chartshapes+xml"/>
  <Override PartName="/xl/drawings/drawing111.xml" ContentType="application/vnd.openxmlformats-officedocument.drawingml.chartshapes+xml"/>
  <Override PartName="/xl/drawings/drawing106.xml" ContentType="application/vnd.openxmlformats-officedocument.drawingml.chartshapes+xml"/>
  <Override PartName="/xl/drawings/drawing101.xml" ContentType="application/vnd.openxmlformats-officedocument.drawingml.chartshapes+xml"/>
  <Override PartName="/xl/drawings/drawing93.xml" ContentType="application/vnd.openxmlformats-officedocument.drawingml.chartshapes+xml"/>
  <Override PartName="/xl/drawings/drawing81.xml" ContentType="application/vnd.openxmlformats-officedocument.drawingml.chartshapes+xml"/>
  <Override PartName="/xl/drawings/drawing53.xml" ContentType="application/vnd.openxmlformats-officedocument.drawingml.chartshapes+xml"/>
  <Override PartName="/xl/drawings/drawing42.xml" ContentType="application/vnd.openxmlformats-officedocument.drawingml.chartshapes+xml"/>
  <Override PartName="/xl/drawings/drawing41.xml" ContentType="application/vnd.openxmlformats-officedocument.drawingml.chartshapes+xml"/>
  <Override PartName="/xl/drawings/drawing33.xml" ContentType="application/vnd.openxmlformats-officedocument.drawingml.chartshapes+xml"/>
  <Override PartName="/xl/drawings/drawing28.xml" ContentType="application/vnd.openxmlformats-officedocument.drawingml.chartshapes+xml"/>
  <Override PartName="/xl/drawings/drawing26.xml" ContentType="application/vnd.openxmlformats-officedocument.drawingml.chartshapes+xml"/>
  <Override PartName="/xl/drawings/drawing24.xml" ContentType="application/vnd.openxmlformats-officedocument.drawingml.chartshapes+xml"/>
  <Override PartName="/xl/drawings/drawing19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116.xml" ContentType="application/vnd.openxmlformats-officedocument.drawingml.chartshapes+xml"/>
  <Override PartName="/xl/drawings/drawing126.xml" ContentType="application/vnd.openxmlformats-officedocument.drawingml.chartshapes+xml"/>
  <Override PartName="/xl/drawings/drawing18.xml" ContentType="application/vnd.openxmlformats-officedocument.drawingml.chartshapes+xml"/>
  <Override PartName="/xl/drawings/drawing133.xml" ContentType="application/vnd.openxmlformats-officedocument.drawingml.chartshapes+xml"/>
  <Override PartName="/xl/drawings/drawing132.xml" ContentType="application/vnd.openxmlformats-officedocument.drawingml.chartshapes+xml"/>
  <Override PartName="/xl/drawings/drawing131.xml" ContentType="application/vnd.openxmlformats-officedocument.drawingml.chartshapes+xml"/>
  <Override PartName="/xl/drawings/drawing130.xml" ContentType="application/vnd.openxmlformats-officedocument.drawingml.chartshapes+xml"/>
  <Override PartName="/xl/drawings/drawing134.xml" ContentType="application/vnd.openxmlformats-officedocument.drawingml.chartshapes+xml"/>
  <Override PartName="/xl/drawings/drawing135.xml" ContentType="application/vnd.openxmlformats-officedocument.drawingml.chartshapes+xml"/>
  <Override PartName="/xl/drawings/drawing136.xml" ContentType="application/vnd.openxmlformats-officedocument.drawingml.chartshapes+xml"/>
  <Override PartName="/xl/drawings/drawing141.xml" ContentType="application/vnd.openxmlformats-officedocument.drawingml.chartshapes+xml"/>
  <Override PartName="/xl/drawings/drawing137.xml" ContentType="application/vnd.openxmlformats-officedocument.drawingml.chartshapes+xml"/>
  <Override PartName="/xl/drawings/drawing125.xml" ContentType="application/vnd.openxmlformats-officedocument.drawingml.chartshapes+xml"/>
  <Override PartName="/xl/workbook.xml" ContentType="application/vnd.openxmlformats-officedocument.spreadsheetml.sheet.main+xml"/>
  <Override PartName="/xl/worksheets/sheet61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worksheets/sheet21.xml" ContentType="application/vnd.openxmlformats-officedocument.spreadsheetml.worksheet+xml"/>
  <Override PartName="/xl/charts/chart72.xml" ContentType="application/vnd.openxmlformats-officedocument.drawingml.chart+xml"/>
  <Override PartName="/xl/worksheets/sheet22.xml" ContentType="application/vnd.openxmlformats-officedocument.spreadsheetml.worksheet+xml"/>
  <Override PartName="/xl/worksheets/sheet24.xml" ContentType="application/vnd.openxmlformats-officedocument.spreadsheetml.worksheet+xml"/>
  <Override PartName="/xl/charts/chart70.xml" ContentType="application/vnd.openxmlformats-officedocument.drawingml.chart+xml"/>
  <Override PartName="/xl/worksheets/sheet23.xml" ContentType="application/vnd.openxmlformats-officedocument.spreadsheetml.worksheet+xml"/>
  <Override PartName="/xl/charts/chart71.xml" ContentType="application/vnd.openxmlformats-officedocument.drawingml.chart+xml"/>
  <Override PartName="/xl/drawings/drawing140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44.xml" ContentType="application/vnd.openxmlformats-officedocument.drawing+xml"/>
  <Override PartName="/xl/drawings/drawing143.xml" ContentType="application/vnd.openxmlformats-officedocument.drawing+xml"/>
  <Override PartName="/xl/drawings/drawing142.xml" ContentType="application/vnd.openxmlformats-officedocument.drawing+xml"/>
  <Override PartName="/xl/worksheets/sheet20.xml" ContentType="application/vnd.openxmlformats-officedocument.spreadsheetml.worksheet+xml"/>
  <Override PartName="/xl/charts/chart69.xml" ContentType="application/vnd.openxmlformats-officedocument.drawingml.chart+xml"/>
  <Override PartName="/xl/worksheets/sheet25.xml" ContentType="application/vnd.openxmlformats-officedocument.spreadsheetml.worksheet+xml"/>
  <Override PartName="/xl/charts/chart68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128.xml" ContentType="application/vnd.openxmlformats-officedocument.drawing+xml"/>
  <Override PartName="/xl/worksheets/sheet1.xml" ContentType="application/vnd.openxmlformats-officedocument.spreadsheetml.worksheet+xml"/>
  <Override PartName="/xl/drawings/drawing127.xml" ContentType="application/vnd.openxmlformats-officedocument.drawing+xml"/>
  <Override PartName="/xl/charts/chart55.xml" ContentType="application/vnd.openxmlformats-officedocument.drawingml.chart+xml"/>
  <Override PartName="/xl/worksheets/sheet30.xml" ContentType="application/vnd.openxmlformats-officedocument.spreadsheetml.worksheet+xml"/>
  <Override PartName="/xl/charts/chart56.xml" ContentType="application/vnd.openxmlformats-officedocument.drawingml.chart+xml"/>
  <Override PartName="/xl/worksheets/sheet29.xml" ContentType="application/vnd.openxmlformats-officedocument.spreadsheetml.workshee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6.xml" ContentType="application/vnd.openxmlformats-officedocument.drawingml.chart+xml"/>
  <Override PartName="/xl/worksheets/sheet27.xml" ContentType="application/vnd.openxmlformats-officedocument.spreadsheetml.worksheet+xml"/>
  <Override PartName="/xl/charts/chart67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charts/chart65.xml" ContentType="application/vnd.openxmlformats-officedocument.drawingml.chart+xml"/>
  <Override PartName="/xl/drawings/drawing129.xml" ContentType="application/vnd.openxmlformats-officedocument.drawing+xml"/>
  <Override PartName="/xl/charts/chart64.xml" ContentType="application/vnd.openxmlformats-officedocument.drawingml.chart+xml"/>
  <Override PartName="/xl/charts/chart63.xml" ContentType="application/vnd.openxmlformats-officedocument.drawingml.chart+xml"/>
  <Override PartName="/xl/charts/chart77.xml" ContentType="application/vnd.openxmlformats-officedocument.drawingml.char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drawings/drawing145.xml" ContentType="application/vnd.openxmlformats-officedocument.drawing+xml"/>
  <Override PartName="/xl/worksheets/sheet62.xml" ContentType="application/vnd.openxmlformats-officedocument.spreadsheetml.worksheet+xml"/>
  <Override PartName="/xl/charts/chart13.xml" ContentType="application/vnd.openxmlformats-officedocument.drawingml.chart+xml"/>
  <Override PartName="/xl/worksheets/sheet49.xml" ContentType="application/vnd.openxmlformats-officedocument.spreadsheetml.worksheet+xml"/>
  <Override PartName="/xl/charts/chart14.xml" ContentType="application/vnd.openxmlformats-officedocument.drawingml.chart+xml"/>
  <Override PartName="/xl/worksheets/sheet48.xml" ContentType="application/vnd.openxmlformats-officedocument.spreadsheetml.worksheet+xml"/>
  <Override PartName="/xl/worksheets/sheet50.xml" ContentType="application/vnd.openxmlformats-officedocument.spreadsheetml.worksheet+xml"/>
  <Override PartName="/xl/charts/chart12.xml" ContentType="application/vnd.openxmlformats-officedocument.drawingml.chart+xml"/>
  <Override PartName="/xl/worksheets/sheet51.xml" ContentType="application/vnd.openxmlformats-officedocument.spreadsheetml.worksheet+xml"/>
  <Override PartName="/xl/charts/chart11.xml" ContentType="application/vnd.openxmlformats-officedocument.drawingml.chart+xml"/>
  <Override PartName="/xl/worksheets/sheet52.xml" ContentType="application/vnd.openxmlformats-officedocument.spreadsheetml.worksheet+xml"/>
  <Override PartName="/xl/charts/chart10.xml" ContentType="application/vnd.openxmlformats-officedocument.drawingml.chart+xml"/>
  <Override PartName="/xl/charts/chart15.xml" ContentType="application/vnd.openxmlformats-officedocument.drawingml.chart+xml"/>
  <Override PartName="/xl/worksheets/sheet47.xml" ContentType="application/vnd.openxmlformats-officedocument.spreadsheetml.worksheet+xml"/>
  <Override PartName="/xl/charts/chart16.xml" ContentType="application/vnd.openxmlformats-officedocument.drawingml.chart+xml"/>
  <Override PartName="/xl/worksheets/sheet42.xml" ContentType="application/vnd.openxmlformats-officedocument.spreadsheetml.worksheet+xml"/>
  <Override PartName="/xl/charts/chart20.xml" ContentType="application/vnd.openxmlformats-officedocument.drawingml.chart+xml"/>
  <Override PartName="/xl/worksheets/sheet43.xml" ContentType="application/vnd.openxmlformats-officedocument.spreadsheetml.worksheet+xml"/>
  <Override PartName="/xl/charts/chart19.xml" ContentType="application/vnd.openxmlformats-officedocument.drawingml.chart+xml"/>
  <Override PartName="/xl/worksheets/sheet44.xml" ContentType="application/vnd.openxmlformats-officedocument.spreadsheetml.worksheet+xml"/>
  <Override PartName="/xl/charts/chart18.xml" ContentType="application/vnd.openxmlformats-officedocument.drawingml.chart+xml"/>
  <Override PartName="/xl/worksheets/sheet4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worksheets/sheet53.xml" ContentType="application/vnd.openxmlformats-officedocument.spreadsheetml.worksheet+xml"/>
  <Override PartName="/xl/charts/chart9.xml" ContentType="application/vnd.openxmlformats-officedocument.drawingml.chart+xml"/>
  <Override PartName="/xl/charts/chart6.xml" ContentType="application/vnd.openxmlformats-officedocument.drawingml.chart+xml"/>
  <Override PartName="/xl/worksheets/sheet56.xml" ContentType="application/vnd.openxmlformats-officedocument.spreadsheetml.worksheet+xml"/>
  <Override PartName="/xl/drawings/drawing27.xml" ContentType="application/vnd.openxmlformats-officedocument.drawing+xml"/>
  <Override PartName="/xl/drawings/drawing25.xml" ContentType="application/vnd.openxmlformats-officedocument.drawing+xml"/>
  <Override PartName="/xl/worksheets/sheet57.xml" ContentType="application/vnd.openxmlformats-officedocument.spreadsheetml.worksheet+xml"/>
  <Override PartName="/xl/charts/chart5.xml" ContentType="application/vnd.openxmlformats-officedocument.drawingml.chart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worksheets/sheet55.xml" ContentType="application/vnd.openxmlformats-officedocument.spreadsheetml.worksheet+xml"/>
  <Override PartName="/xl/drawings/drawing29.xml" ContentType="application/vnd.openxmlformats-officedocument.drawing+xml"/>
  <Override PartName="/xl/worksheets/sheet54.xml" ContentType="application/vnd.openxmlformats-officedocument.spreadsheetml.worksheet+xml"/>
  <Override PartName="/xl/charts/chart8.xml" ContentType="application/vnd.openxmlformats-officedocument.drawingml.chart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charts/chart21.xml" ContentType="application/vnd.openxmlformats-officedocument.drawingml.chart+xml"/>
  <Override PartName="/xl/worksheets/sheet41.xml" ContentType="application/vnd.openxmlformats-officedocument.spreadsheetml.worksheet+xml"/>
  <Override PartName="/xl/charts/chart22.xml" ContentType="application/vnd.openxmlformats-officedocument.drawingml.chart+xml"/>
  <Override PartName="/xl/drawings/drawing124.xml" ContentType="application/vnd.openxmlformats-officedocument.drawing+xml"/>
  <Override PartName="/xl/drawings/drawing62.xml" ContentType="application/vnd.openxmlformats-officedocument.drawing+xml"/>
  <Override PartName="/xl/charts/chart26.xml" ContentType="application/vnd.openxmlformats-officedocument.drawingml.chart+xml"/>
  <Override PartName="/xl/drawings/drawing61.xml" ContentType="application/vnd.openxmlformats-officedocument.drawing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65.xml" ContentType="application/vnd.openxmlformats-officedocument.drawing+xml"/>
  <Override PartName="/xl/drawings/drawing58.xml" ContentType="application/vnd.openxmlformats-officedocument.drawing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drawings/drawing49.xml" ContentType="application/vnd.openxmlformats-officedocument.drawing+xml"/>
  <Override PartName="/xl/worksheets/sheet39.xml" ContentType="application/vnd.openxmlformats-officedocument.spreadsheetml.worksheet+xml"/>
  <Override PartName="/xl/charts/chart23.xml" ContentType="application/vnd.openxmlformats-officedocument.drawingml.chart+xml"/>
  <Override PartName="/xl/worksheets/sheet40.xml" ContentType="application/vnd.openxmlformats-officedocument.spreadsheetml.worksheet+xml"/>
  <Override PartName="/xl/drawings/drawing52.xml" ContentType="application/vnd.openxmlformats-officedocument.drawing+xml"/>
  <Override PartName="/xl/drawings/drawing57.xml" ContentType="application/vnd.openxmlformats-officedocument.drawing+xml"/>
  <Override PartName="/xl/drawings/drawing56.xml" ContentType="application/vnd.openxmlformats-officedocument.drawing+xml"/>
  <Override PartName="/xl/worksheets/sheet37.xml" ContentType="application/vnd.openxmlformats-officedocument.spreadsheetml.worksheet+xml"/>
  <Override PartName="/xl/charts/chart25.xml" ContentType="application/vnd.openxmlformats-officedocument.drawingml.chart+xml"/>
  <Override PartName="/xl/drawings/drawing54.xml" ContentType="application/vnd.openxmlformats-officedocument.drawing+xml"/>
  <Override PartName="/xl/worksheets/sheet38.xml" ContentType="application/vnd.openxmlformats-officedocument.spreadsheetml.worksheet+xml"/>
  <Override PartName="/xl/charts/chart24.xml" ContentType="application/vnd.openxmlformats-officedocument.drawingml.chart+xml"/>
  <Override PartName="/xl/drawings/drawing22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0.xml" ContentType="application/vnd.openxmlformats-officedocument.spreadsheetml.worksheet+xml"/>
  <Override PartName="/xl/worksheets/sheet89.xml" ContentType="application/vnd.openxmlformats-officedocument.spreadsheetml.worksheet+xml"/>
  <Override PartName="/xl/worksheets/sheet88.xml" ContentType="application/vnd.openxmlformats-officedocument.spreadsheetml.worksheet+xml"/>
  <Override PartName="/xl/worksheets/sheet87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0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86.xml" ContentType="application/vnd.openxmlformats-officedocument.spreadsheetml.worksheet+xml"/>
  <Override PartName="/xl/worksheets/sheet85.xml" ContentType="application/vnd.openxmlformats-officedocument.spreadsheetml.worksheet+xml"/>
  <Override PartName="/xl/worksheets/sheet84.xml" ContentType="application/vnd.openxmlformats-officedocument.spreadsheetml.worksheet+xml"/>
  <Override PartName="/xl/worksheets/sheet7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82.xml" ContentType="application/vnd.openxmlformats-officedocument.spreadsheetml.worksheet+xml"/>
  <Override PartName="/xl/worksheets/sheet81.xml" ContentType="application/vnd.openxmlformats-officedocument.spreadsheetml.worksheet+xml"/>
  <Override PartName="/xl/worksheets/sheet80.xml" ContentType="application/vnd.openxmlformats-officedocument.spreadsheetml.worksheet+xml"/>
  <Override PartName="/xl/worksheets/sheet79.xml" ContentType="application/vnd.openxmlformats-officedocument.spreadsheetml.worksheet+xml"/>
  <Override PartName="/xl/worksheets/sheet7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drawings/drawing1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4.xml" ContentType="application/vnd.openxmlformats-officedocument.drawing+xml"/>
  <Override PartName="/xl/worksheets/sheet60.xml" ContentType="application/vnd.openxmlformats-officedocument.spreadsheetml.worksheet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drawings/drawing17.xml" ContentType="application/vnd.openxmlformats-officedocument.drawing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worksheets/sheet58.xml" ContentType="application/vnd.openxmlformats-officedocument.spreadsheetml.workshee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worksheets/sheet59.xml" ContentType="application/vnd.openxmlformats-officedocument.spreadsheetml.workshee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69.xml" ContentType="application/vnd.openxmlformats-officedocument.drawing+xml"/>
  <Override PartName="/xl/drawings/drawing104.xml" ContentType="application/vnd.openxmlformats-officedocument.drawing+xml"/>
  <Override PartName="/xl/drawings/drawing92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+xml"/>
  <Override PartName="/xl/charts/chart32.xml" ContentType="application/vnd.openxmlformats-officedocument.drawingml.chart+xml"/>
  <Override PartName="/xl/worksheets/sheet35.xml" ContentType="application/vnd.openxmlformats-officedocument.spreadsheetml.worksheet+xml"/>
  <Override PartName="/xl/charts/chart47.xml" ContentType="application/vnd.openxmlformats-officedocument.drawingml.chart+xml"/>
  <Override PartName="/xl/drawings/drawing95.xml" ContentType="application/vnd.openxmlformats-officedocument.drawing+xml"/>
  <Override PartName="/xl/charts/chart46.xml" ContentType="application/vnd.openxmlformats-officedocument.drawingml.chart+xml"/>
  <Override PartName="/xl/drawings/drawing107.xml" ContentType="application/vnd.openxmlformats-officedocument.drawing+xml"/>
  <Override PartName="/xl/drawings/drawing94.xml" ContentType="application/vnd.openxmlformats-officedocument.drawing+xml"/>
  <Override PartName="/xl/drawings/drawing90.xml" ContentType="application/vnd.openxmlformats-officedocument.drawing+xml"/>
  <Override PartName="/xl/charts/chart49.xml" ContentType="application/vnd.openxmlformats-officedocument.drawingml.chart+xml"/>
  <Override PartName="/xl/drawings/drawing86.xml" ContentType="application/vnd.openxmlformats-officedocument.drawing+xml"/>
  <Override PartName="/xl/charts/chart31.xml" ContentType="application/vnd.openxmlformats-officedocument.drawingml.chart+xml"/>
  <Override PartName="/xl/charts/chart45.xml" ContentType="application/vnd.openxmlformats-officedocument.drawingml.chart+xml"/>
  <Override PartName="/xl/drawings/drawing85.xml" ContentType="application/vnd.openxmlformats-officedocument.drawing+xml"/>
  <Override PartName="/xl/drawings/drawing87.xml" ContentType="application/vnd.openxmlformats-officedocument.drawing+xml"/>
  <Override PartName="/xl/drawings/drawing89.xml" ContentType="application/vnd.openxmlformats-officedocument.drawing+xml"/>
  <Override PartName="/xl/drawings/drawing88.xml" ContentType="application/vnd.openxmlformats-officedocument.drawing+xml"/>
  <Override PartName="/xl/drawings/drawing114.xml" ContentType="application/vnd.openxmlformats-officedocument.drawing+xml"/>
  <Override PartName="/xl/charts/chart33.xml" ContentType="application/vnd.openxmlformats-officedocument.drawingml.chart+xml"/>
  <Override PartName="/xl/drawings/drawing102.xml" ContentType="application/vnd.openxmlformats-officedocument.drawing+xml"/>
  <Override PartName="/xl/worksheets/sheet34.xml" ContentType="application/vnd.openxmlformats-officedocument.spreadsheetml.worksheet+xml"/>
  <Override PartName="/xl/drawings/drawing105.xml" ContentType="application/vnd.openxmlformats-officedocument.drawing+xml"/>
  <Override PartName="/xl/charts/chart35.xml" ContentType="application/vnd.openxmlformats-officedocument.drawingml.chart+xml"/>
  <Override PartName="/xl/worksheets/sheet32.xml" ContentType="application/vnd.openxmlformats-officedocument.spreadsheetml.worksheet+xml"/>
  <Override PartName="/xl/drawings/drawing103.xml" ContentType="application/vnd.openxmlformats-officedocument.drawing+xml"/>
  <Override PartName="/xl/charts/chart39.xml" ContentType="application/vnd.openxmlformats-officedocument.drawingml.char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36.xml" ContentType="application/vnd.openxmlformats-officedocument.drawingml.chart+xml"/>
  <Override PartName="/xl/drawings/drawing100.xml" ContentType="application/vnd.openxmlformats-officedocument.drawing+xml"/>
  <Override PartName="/xl/drawings/drawing97.xml" ContentType="application/vnd.openxmlformats-officedocument.drawing+xml"/>
  <Override PartName="/xl/charts/chart40.xml" ContentType="application/vnd.openxmlformats-officedocument.drawingml.chart+xml"/>
  <Override PartName="/xl/drawings/drawing96.xml" ContentType="application/vnd.openxmlformats-officedocument.drawing+xml"/>
  <Override PartName="/xl/drawings/drawing110.xml" ContentType="application/vnd.openxmlformats-officedocument.drawing+xml"/>
  <Override PartName="/xl/worksheets/sheet33.xml" ContentType="application/vnd.openxmlformats-officedocument.spreadsheetml.worksheet+xml"/>
  <Override PartName="/xl/drawings/drawing113.xml" ContentType="application/vnd.openxmlformats-officedocument.drawing+xml"/>
  <Override PartName="/xl/charts/chart34.xml" ContentType="application/vnd.openxmlformats-officedocument.drawingml.chart+xml"/>
  <Override PartName="/xl/drawings/drawing112.xml" ContentType="application/vnd.openxmlformats-officedocument.drawing+xml"/>
  <Override PartName="/xl/drawings/drawing99.xml" ContentType="application/vnd.openxmlformats-officedocument.drawing+xml"/>
  <Override PartName="/xl/drawings/drawing98.xml" ContentType="application/vnd.openxmlformats-officedocument.drawing+xml"/>
  <Override PartName="/xl/drawings/drawing115.xml" ContentType="application/vnd.openxmlformats-officedocument.drawing+xml"/>
  <Override PartName="/xl/drawings/drawing108.xml" ContentType="application/vnd.openxmlformats-officedocument.drawing+xml"/>
  <Override PartName="/xl/drawings/drawing74.xml" ContentType="application/vnd.openxmlformats-officedocument.drawing+xml"/>
  <Override PartName="/xl/drawings/drawing121.xml" ContentType="application/vnd.openxmlformats-officedocument.drawing+xml"/>
  <Override PartName="/xl/drawings/drawing75.xml" ContentType="application/vnd.openxmlformats-officedocument.drawing+xml"/>
  <Override PartName="/xl/drawings/drawing120.xml" ContentType="application/vnd.openxmlformats-officedocument.drawing+xml"/>
  <Override PartName="/xl/drawings/drawing119.xml" ContentType="application/vnd.openxmlformats-officedocument.drawing+xml"/>
  <Override PartName="/xl/drawings/drawing76.xml" ContentType="application/vnd.openxmlformats-officedocument.drawing+xml"/>
  <Override PartName="/xl/drawings/drawing73.xml" ContentType="application/vnd.openxmlformats-officedocument.drawing+xml"/>
  <Override PartName="/xl/charts/chart43.xml" ContentType="application/vnd.openxmlformats-officedocument.drawingml.chart+xml"/>
  <Override PartName="/xl/charts/chart28.xml" ContentType="application/vnd.openxmlformats-officedocument.drawingml.chart+xml"/>
  <Override PartName="/xl/drawings/drawing123.xml" ContentType="application/vnd.openxmlformats-officedocument.drawing+xml"/>
  <Override PartName="/xl/charts/chart27.xml" ContentType="application/vnd.openxmlformats-officedocument.drawingml.chart+xml"/>
  <Override PartName="/xl/drawings/drawing70.xml" ContentType="application/vnd.openxmlformats-officedocument.drawing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drawings/drawing71.xml" ContentType="application/vnd.openxmlformats-officedocument.drawing+xml"/>
  <Override PartName="/xl/drawings/drawing122.xml" ContentType="application/vnd.openxmlformats-officedocument.drawing+xml"/>
  <Override PartName="/xl/drawings/drawing72.xml" ContentType="application/vnd.openxmlformats-officedocument.drawing+xml"/>
  <Override PartName="/xl/charts/chart44.xml" ContentType="application/vnd.openxmlformats-officedocument.drawingml.chart+xml"/>
  <Override PartName="/xl/charts/chart54.xml" ContentType="application/vnd.openxmlformats-officedocument.drawingml.chart+xml"/>
  <Override PartName="/xl/drawings/drawing109.xml" ContentType="application/vnd.openxmlformats-officedocument.drawing+xml"/>
  <Override PartName="/xl/drawings/drawing117.xml" ContentType="application/vnd.openxmlformats-officedocument.drawing+xml"/>
  <Override PartName="/xl/drawings/drawing82.xml" ContentType="application/vnd.openxmlformats-officedocument.drawing+xml"/>
  <Override PartName="/xl/worksheets/sheet36.xml" ContentType="application/vnd.openxmlformats-officedocument.spreadsheetml.worksheet+xml"/>
  <Override PartName="/xl/worksheets/sheet31.xml" ContentType="application/vnd.openxmlformats-officedocument.spreadsheetml.worksheet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50.xml" ContentType="application/vnd.openxmlformats-officedocument.drawingml.chart+xml"/>
  <Override PartName="/xl/charts/chart30.xml" ContentType="application/vnd.openxmlformats-officedocument.drawingml.chart+xml"/>
  <Override PartName="/xl/charts/chart29.xml" ContentType="application/vnd.openxmlformats-officedocument.drawingml.chart+xml"/>
  <Override PartName="/xl/drawings/drawing77.xml" ContentType="application/vnd.openxmlformats-officedocument.drawing+xml"/>
  <Override PartName="/xl/drawings/drawing80.xml" ContentType="application/vnd.openxmlformats-officedocument.drawing+xml"/>
  <Override PartName="/xl/charts/chart52.xml" ContentType="application/vnd.openxmlformats-officedocument.drawingml.chart+xml"/>
  <Override PartName="/xl/drawings/drawing78.xml" ContentType="application/vnd.openxmlformats-officedocument.drawing+xml"/>
  <Override PartName="/xl/charts/chart53.xml" ContentType="application/vnd.openxmlformats-officedocument.drawingml.chart+xml"/>
  <Override PartName="/xl/drawings/drawing79.xml" ContentType="application/vnd.openxmlformats-officedocument.drawing+xml"/>
  <Override PartName="/xl/charts/chart51.xml" ContentType="application/vnd.openxmlformats-officedocument.drawingml.chart+xml"/>
  <Override PartName="/xl/drawings/drawing118.xml" ContentType="application/vnd.openxmlformats-officedocument.drawing+xml"/>
  <Override PartName="/xl/comments1.xml" ContentType="application/vnd.openxmlformats-officedocument.spreadsheetml.comment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Menú Turismo alojado" sheetId="2" r:id="rId2"/>
    <sheet name="Menú tipología de establecimien" sheetId="3" r:id="rId3"/>
    <sheet name="Alojados tipología" sheetId="4" r:id="rId4"/>
    <sheet name="tab. Turistas alojados tip" sheetId="5" r:id="rId5"/>
    <sheet name="grafica evolución alo x tip" sheetId="6" r:id="rId6"/>
    <sheet name="var evolu x tipolo" sheetId="7" r:id="rId7"/>
    <sheet name="tab.Evolución mensual tipología" sheetId="8" r:id="rId8"/>
    <sheet name="tablas turistas por Temporada" sheetId="9" r:id="rId9"/>
    <sheet name="Menú zonas y tipología" sheetId="10" r:id="rId10"/>
    <sheet name="Alojados zona tipología" sheetId="11" r:id="rId11"/>
    <sheet name="Gráfico alojados zona y tipolog" sheetId="12" r:id="rId12"/>
    <sheet name="Tablas turistas zona y tip." sheetId="13" r:id="rId13"/>
    <sheet name="variación x zonas tipo " sheetId="14" r:id="rId14"/>
    <sheet name="tablas Zonas mensual " sheetId="15" r:id="rId15"/>
    <sheet name="grafica zona mensual" sheetId="16" r:id="rId16"/>
    <sheet name="Tablas Evo. mens. zonas y TIPO" sheetId="17" r:id="rId17"/>
    <sheet name="Menú categoría-tipología" sheetId="18" r:id="rId18"/>
    <sheet name="tablas turistas por categorías " sheetId="19" r:id="rId19"/>
    <sheet name="grafica evolucion por categoria" sheetId="20" r:id="rId20"/>
    <sheet name="graf. dist cate ultimo año" sheetId="21" r:id="rId21"/>
    <sheet name="graf. dist cate periodo act" sheetId="22" r:id="rId22"/>
    <sheet name="VARIACIÓN EVOL POR CATEGORIA" sheetId="23" r:id="rId23"/>
    <sheet name="tab,Evolución mensual categoría" sheetId="24" r:id="rId24"/>
    <sheet name="Menú nacionalidades" sheetId="25" r:id="rId25"/>
    <sheet name="graficas evol mensual merc" sheetId="26" r:id="rId26"/>
    <sheet name="Nacionalidades  evolución mensu" sheetId="27" r:id="rId27"/>
    <sheet name="Nacionalidades " sheetId="28" r:id="rId28"/>
    <sheet name="Distribución Nacionalidades" sheetId="29" r:id="rId29"/>
    <sheet name="graf. dist NACIONALIDADES AÑO" sheetId="30" r:id="rId30"/>
    <sheet name="graf. dist NACIONALIDADES" sheetId="31" r:id="rId31"/>
    <sheet name="Nacionalidad-Alojamiento(datos)" sheetId="32" r:id="rId32"/>
    <sheet name="EVOLUCIÓN NACIO CATEGORIA " sheetId="33" r:id="rId33"/>
    <sheet name="nacionalidades distribucion alo" sheetId="34" r:id="rId34"/>
    <sheet name="Nacionalidad-Alojamiento" sheetId="35" r:id="rId35"/>
    <sheet name="Nacionalidad-evolución cuota" sheetId="36" r:id="rId36"/>
    <sheet name="Alojados evol mensual" sheetId="37" r:id="rId37"/>
    <sheet name="Gráfico alojados mensual" sheetId="38" r:id="rId38"/>
    <sheet name="Menú Pernoctaciones" sheetId="39" r:id="rId39"/>
    <sheet name="Tablas PERNOCTA zona" sheetId="40" r:id="rId40"/>
    <sheet name="evoución PERNOCTA zona" sheetId="41" r:id="rId41"/>
    <sheet name="tablas pernocta cat ev anual" sheetId="42" r:id="rId42"/>
    <sheet name="evolución pernocta cat ev anual" sheetId="43" r:id="rId43"/>
    <sheet name="Pernoctaciones tipología" sheetId="44" r:id="rId44"/>
    <sheet name="Pernoctaciones  tipolog y categ" sheetId="45" r:id="rId45"/>
    <sheet name="Gráfica pernoct tipolog" sheetId="46" r:id="rId46"/>
    <sheet name="Pernoctacion mensual" sheetId="47" r:id="rId47"/>
    <sheet name="Gráfica pernoctaciones mensual" sheetId="48" r:id="rId48"/>
    <sheet name="Menú IO" sheetId="49" r:id="rId49"/>
    <sheet name="Tablas evol IO zona" sheetId="50" r:id="rId50"/>
    <sheet name="evolución IO zona" sheetId="51" r:id="rId51"/>
    <sheet name="tablas evol IO CAT " sheetId="52" r:id="rId52"/>
    <sheet name="evolución IO CAT " sheetId="53" r:id="rId53"/>
    <sheet name="IO Tipología" sheetId="54" r:id="rId54"/>
    <sheet name="IO zona y Tipología " sheetId="55" r:id="rId55"/>
    <sheet name="gráfica IO zonas y tipologí " sheetId="56" r:id="rId56"/>
    <sheet name="IO tipología y categoría" sheetId="57" r:id="rId57"/>
    <sheet name="gráfica IO tipología" sheetId="58" r:id="rId58"/>
    <sheet name="IO evolución mensual" sheetId="59" r:id="rId59"/>
    <sheet name="gráfica IO mensual" sheetId="60" r:id="rId60"/>
    <sheet name="Menú EM" sheetId="61" r:id="rId61"/>
    <sheet name="Tablas evol EM zona" sheetId="62" r:id="rId62"/>
    <sheet name="tablas evol EM CAT" sheetId="63" r:id="rId63"/>
    <sheet name="evolución EM CAT" sheetId="64" r:id="rId64"/>
    <sheet name="EM Tipología" sheetId="65" r:id="rId65"/>
    <sheet name="EM zonas y tipología " sheetId="66" r:id="rId66"/>
    <sheet name="gráfico EM zona y tipología" sheetId="67" r:id="rId67"/>
    <sheet name="EM tipología y categoría" sheetId="68" r:id="rId68"/>
    <sheet name="Gráfica EM tipología" sheetId="69" r:id="rId69"/>
    <sheet name="EM evolución mensual" sheetId="70" r:id="rId70"/>
    <sheet name="Gráfica evolución mensual EM" sheetId="71" r:id="rId71"/>
    <sheet name="Menú municipios turísticos" sheetId="72" r:id="rId72"/>
    <sheet name="Alojados por municipio" sheetId="73" r:id="rId73"/>
    <sheet name="Gráfica alojados municipio" sheetId="74" r:id="rId74"/>
    <sheet name="Alojados tipología y categoría" sheetId="75" r:id="rId75"/>
    <sheet name="Gráfico aloj tipolog y categorí" sheetId="76" r:id="rId76"/>
    <sheet name="Pernoctaciones munic y tipologí" sheetId="77" r:id="rId77"/>
    <sheet name="Gráfica pernoct munic tipología" sheetId="78" r:id="rId78"/>
    <sheet name="pernocta municipio y catego" sheetId="79" r:id="rId79"/>
    <sheet name="Gráfico pernocta munic y cate" sheetId="80" r:id="rId80"/>
    <sheet name="IO municipio y Tipología" sheetId="81" r:id="rId81"/>
    <sheet name="gráfica IO MUNICIPI y tipología" sheetId="82" r:id="rId82"/>
    <sheet name="IO municipio y catego" sheetId="83" r:id="rId83"/>
    <sheet name="Gráfico IOa munic y ca " sheetId="84" r:id="rId84"/>
    <sheet name="EM MUNICIPIO y tipología" sheetId="85" r:id="rId85"/>
    <sheet name="gráfico EM MUNICIPI y tipología" sheetId="86" r:id="rId86"/>
    <sheet name="EM municipio y catego" sheetId="87" r:id="rId87"/>
    <sheet name="Gráfico EM munic y ca " sheetId="88" r:id="rId88"/>
    <sheet name="Nacionalidad-Zona (datos)" sheetId="89" r:id="rId89"/>
    <sheet name="evolucion nac zonas" sheetId="90" r:id="rId90"/>
    <sheet name="Nacionalidad-Zona" sheetId="91" r:id="rId91"/>
    <sheet name="Menú Oferta Alojativa" sheetId="92" r:id="rId92"/>
    <sheet name="Ofe Aloj Estim zona cat " sheetId="93" r:id="rId93"/>
    <sheet name="Graf plazas estim zona tipologí" sheetId="94" r:id="rId94"/>
    <sheet name="Oferta Alojat Estim tipol categ" sheetId="95" r:id="rId95"/>
    <sheet name="Gráfica plazas estim tipo categ" sheetId="96" r:id="rId96"/>
    <sheet name="Gráfica distrib plazas est tipo" sheetId="97" r:id="rId97"/>
    <sheet name="Menú plazas autorizadas" sheetId="98" r:id="rId98"/>
    <sheet name="Plazas Autorizadas tipología" sheetId="99" r:id="rId99"/>
    <sheet name="Gráfic Plazas Autoriz tipología" sheetId="100" r:id="rId100"/>
    <sheet name="Cuotas Plazas Autorizadas05" sheetId="101" r:id="rId101"/>
    <sheet name="Distrib Plazas Autor 03_04-05" sheetId="102" r:id="rId102"/>
    <sheet name="Gráfica Distrib Plazas Autoriza" sheetId="103" r:id="rId103"/>
    <sheet name="Hoja1" sheetId="104" state="hidden" r:id="rId104"/>
    <sheet name="actualizaciones" sheetId="105" state="hidden" r:id="rId105"/>
  </sheets>
  <externalReferences>
    <externalReference r:id="rId106"/>
    <externalReference r:id="rId107"/>
    <externalReference r:id="rId108"/>
  </externalReferences>
  <definedNames>
    <definedName name="_eoh05" localSheetId="69">#REF!</definedName>
    <definedName name="_eoh05" localSheetId="63">#REF!</definedName>
    <definedName name="_eoh05" localSheetId="30">#REF!</definedName>
    <definedName name="_eoh05" localSheetId="29">#REF!</definedName>
    <definedName name="_eoh05" localSheetId="73">#REF!</definedName>
    <definedName name="_eoh05" localSheetId="55">#REF!</definedName>
    <definedName name="_eoh05" localSheetId="54">#REF!</definedName>
    <definedName name="_eoh05" localSheetId="17">#REF!</definedName>
    <definedName name="_eoh05" localSheetId="24">#REF!</definedName>
    <definedName name="_eoh05" localSheetId="2">#REF!</definedName>
    <definedName name="_eoh05" localSheetId="9">#REF!</definedName>
    <definedName name="_eoh05" localSheetId="62">#REF!</definedName>
    <definedName name="_eoh05" localSheetId="61">#REF!</definedName>
    <definedName name="_eoh05" localSheetId="51">#REF!</definedName>
    <definedName name="_eoh05" localSheetId="49">#REF!</definedName>
    <definedName name="_eoh05" localSheetId="41">#REF!</definedName>
    <definedName name="_eoh05" localSheetId="39">#REF!</definedName>
    <definedName name="_eoh05">#REF!</definedName>
    <definedName name="_eoh06" localSheetId="69">#REF!</definedName>
    <definedName name="_eoh06" localSheetId="63">#REF!</definedName>
    <definedName name="_eoh06" localSheetId="30">#REF!</definedName>
    <definedName name="_eoh06" localSheetId="29">#REF!</definedName>
    <definedName name="_eoh06" localSheetId="73">#REF!</definedName>
    <definedName name="_eoh06" localSheetId="55">#REF!</definedName>
    <definedName name="_eoh06" localSheetId="54">#REF!</definedName>
    <definedName name="_eoh06" localSheetId="17">#REF!</definedName>
    <definedName name="_eoh06" localSheetId="24">#REF!</definedName>
    <definedName name="_eoh06" localSheetId="2">#REF!</definedName>
    <definedName name="_eoh06" localSheetId="9">#REF!</definedName>
    <definedName name="_eoh06" localSheetId="62">#REF!</definedName>
    <definedName name="_eoh06" localSheetId="61">#REF!</definedName>
    <definedName name="_eoh06" localSheetId="51">#REF!</definedName>
    <definedName name="_eoh06" localSheetId="49">#REF!</definedName>
    <definedName name="_eoh06" localSheetId="41">#REF!</definedName>
    <definedName name="_eoh06" localSheetId="39">#REF!</definedName>
    <definedName name="_eoh06">#REF!</definedName>
    <definedName name="_xlnm.Print_Area" localSheetId="36">'Alojados evol mensual'!$B$6:$F$73</definedName>
    <definedName name="_xlnm.Print_Area" localSheetId="72">'Alojados por municipio'!$B$6:$G$28</definedName>
    <definedName name="_xlnm.Print_Area" localSheetId="3">'Alojados tipología'!$C$10:$H$15</definedName>
    <definedName name="_xlnm.Print_Area" localSheetId="74">'Alojados tipología y categoría'!$B$7:$N$33</definedName>
    <definedName name="_xlnm.Print_Area" localSheetId="10">'Alojados zona tipología'!$C$3:$H$13</definedName>
    <definedName name="_xlnm.Print_Area" localSheetId="100">'Cuotas Plazas Autorizadas05'!$C$5:$M$40</definedName>
    <definedName name="_xlnm.Print_Area" localSheetId="101">'Distrib Plazas Autor 03_04-05'!$C$6:$I$62</definedName>
    <definedName name="_xlnm.Print_Area" localSheetId="28">'Distribución Nacionalidades'!$C$4:$E$29</definedName>
    <definedName name="_xlnm.Print_Area" localSheetId="69">'EM evolución mensual'!$B$6:$F$73</definedName>
    <definedName name="_xlnm.Print_Area" localSheetId="86">'EM municipio y catego'!$B$7:$J$33</definedName>
    <definedName name="_xlnm.Print_Area" localSheetId="84">'EM MUNICIPIO y tipología'!$B$6:$E$28</definedName>
    <definedName name="_xlnm.Print_Area" localSheetId="64">'EM Tipología'!$C$10:$F$15</definedName>
    <definedName name="_xlnm.Print_Area" localSheetId="67">'EM tipología y categoría'!$B$6:$E$18</definedName>
    <definedName name="_xlnm.Print_Area" localSheetId="65">'EM zonas y tipología '!$B$6:$E$16</definedName>
    <definedName name="_xlnm.Print_Area" localSheetId="63">'evolución EM CAT'!$C$3:$J$57</definedName>
    <definedName name="_xlnm.Print_Area" localSheetId="52">'evolución IO CAT '!$C$3:$J$57</definedName>
    <definedName name="_xlnm.Print_Area" localSheetId="50">'evolución IO zona'!$C$3:$I$58</definedName>
    <definedName name="_xlnm.Print_Area" localSheetId="89">'evolucion nac zonas'!$B$5:$G$31</definedName>
    <definedName name="_xlnm.Print_Area" localSheetId="32">'EVOLUCIÓN NACIO CATEGORIA '!$B$4:$H$31</definedName>
    <definedName name="_xlnm.Print_Area" localSheetId="42">'evolución pernocta cat ev anual'!$C$3:$J$57</definedName>
    <definedName name="_xlnm.Print_Area" localSheetId="40">'evoución PERNOCTA zona'!$C$3:$I$58</definedName>
    <definedName name="_xlnm.Print_Area" localSheetId="93">'Graf plazas estim zona tipologí'!$B$4:$J$54</definedName>
    <definedName name="_xlnm.Print_Area" localSheetId="21">'graf. dist cate periodo act'!$B$2:$I$22</definedName>
    <definedName name="_xlnm.Print_Area" localSheetId="20">'graf. dist cate ultimo año'!$C$2:$J$21</definedName>
    <definedName name="_xlnm.Print_Area" localSheetId="30">'graf. dist NACIONALIDADES'!$B$2:$J$45</definedName>
    <definedName name="_xlnm.Print_Area" localSheetId="29">'graf. dist NACIONALIDADES AÑO'!$B$2:$J$44</definedName>
    <definedName name="_xlnm.Print_Area" localSheetId="99">'Gráfic Plazas Autoriz tipología'!$C$2:$J$27</definedName>
    <definedName name="_xlnm.Print_Area" localSheetId="73">'Gráfica alojados municipio'!$B$4:$J$29</definedName>
    <definedName name="_xlnm.Print_Area" localSheetId="102">'Gráfica Distrib Plazas Autoriza'!$B$4:$P$42</definedName>
    <definedName name="_xlnm.Print_Area" localSheetId="96">'Gráfica distrib plazas est tipo'!$B$2:$P$76</definedName>
    <definedName name="_xlnm.Print_Area" localSheetId="68">'Gráfica EM tipología'!$B$4:$J$26</definedName>
    <definedName name="_xlnm.Print_Area" localSheetId="5">'grafica evolución alo x tip'!$C$2:$J$23</definedName>
    <definedName name="_xlnm.Print_Area" localSheetId="70">'Gráfica evolución mensual EM'!$C$4:$K$27</definedName>
    <definedName name="_xlnm.Print_Area" localSheetId="19">'grafica evolucion por categoria'!$C$2:$K$23</definedName>
    <definedName name="_xlnm.Print_Area" localSheetId="59">'gráfica IO mensual'!$B$5:$J$31</definedName>
    <definedName name="_xlnm.Print_Area" localSheetId="81">'gráfica IO MUNICIPI y tipología'!$B$3:$J$25</definedName>
    <definedName name="_xlnm.Print_Area" localSheetId="57">'gráfica IO tipología'!$B$5:$J$29</definedName>
    <definedName name="_xlnm.Print_Area" localSheetId="55">'gráfica IO zonas y tipologí '!$B$3:$J$25</definedName>
    <definedName name="_xlnm.Print_Area" localSheetId="77">'Gráfica pernoct munic tipología'!$B$4:$J$29</definedName>
    <definedName name="_xlnm.Print_Area" localSheetId="45">'Gráfica pernoct tipolog'!$B$4:$J$28</definedName>
    <definedName name="_xlnm.Print_Area" localSheetId="47">'Gráfica pernoctaciones mensual'!$B$4:$J$28</definedName>
    <definedName name="_xlnm.Print_Area" localSheetId="95">'Gráfica plazas estim tipo categ'!$B$2:$R$89</definedName>
    <definedName name="_xlnm.Print_Area" localSheetId="15">'grafica zona mensual'!$C$2:$J$42</definedName>
    <definedName name="_xlnm.Print_Area" localSheetId="25">'graficas evol mensual merc'!$B$2:$N$73,'graficas evol mensual merc'!$B$76:$N$145,'graficas evol mensual merc'!$B$148:$N$217,'graficas evol mensual merc'!$B$220:$N$289</definedName>
    <definedName name="_xlnm.Print_Area" localSheetId="75">'Gráfico aloj tipolog y categorí'!$B$5:$Q$39</definedName>
    <definedName name="_xlnm.Print_Area" localSheetId="37">'Gráfico alojados mensual'!$B$3:$K$28</definedName>
    <definedName name="_xlnm.Print_Area" localSheetId="11">'Gráfico alojados zona y tipolog'!$B$2:$I$25</definedName>
    <definedName name="_xlnm.Print_Area" localSheetId="87">'Gráfico EM munic y ca '!$B$5:$Q$39</definedName>
    <definedName name="_xlnm.Print_Area" localSheetId="85">'gráfico EM MUNICIPI y tipología'!$B$2:$J$26</definedName>
    <definedName name="_xlnm.Print_Area" localSheetId="66">'gráfico EM zona y tipología'!$B$2:$J$26</definedName>
    <definedName name="_xlnm.Print_Area" localSheetId="83">'Gráfico IOa munic y ca '!$B$5:$Q$39</definedName>
    <definedName name="_xlnm.Print_Area" localSheetId="79">'Gráfico pernocta munic y cate'!$B$5:$Q$39</definedName>
    <definedName name="_xlnm.Print_Area" localSheetId="58">'IO evolución mensual'!$B$6:$F$73</definedName>
    <definedName name="_xlnm.Print_Area" localSheetId="82">'IO municipio y catego'!$B$7:$J$33</definedName>
    <definedName name="_xlnm.Print_Area" localSheetId="80">'IO municipio y Tipología'!$B$6:$E$28</definedName>
    <definedName name="_xlnm.Print_Area" localSheetId="53">'IO Tipología'!$C$7:$F$12</definedName>
    <definedName name="_xlnm.Print_Area" localSheetId="56">'IO tipología y categoría'!$B$7:$E$19</definedName>
    <definedName name="_xlnm.Print_Area" localSheetId="54">'IO zona y Tipología '!$B$6:$E$16</definedName>
    <definedName name="_xlnm.Print_Area" localSheetId="17">'Menú categoría-tipología'!$D$6:$G$29</definedName>
    <definedName name="_xlnm.Print_Area" localSheetId="60">'Menú EM'!$D$7:$G$32</definedName>
    <definedName name="_xlnm.Print_Area" localSheetId="48">'Menú IO'!$C$8:$F$33</definedName>
    <definedName name="_xlnm.Print_Area" localSheetId="71">'Menú municipios turísticos'!$D$8:$G$34</definedName>
    <definedName name="_xlnm.Print_Area" localSheetId="24">'Menú nacionalidades'!$D$6:$G$35</definedName>
    <definedName name="_xlnm.Print_Area" localSheetId="91">'Menú Oferta Alojativa'!$D$8:$G$19</definedName>
    <definedName name="_xlnm.Print_Area" localSheetId="38">'Menú Pernoctaciones'!$C$5:$F$31</definedName>
    <definedName name="_xlnm.Print_Area" localSheetId="97">'Menú plazas autorizadas'!$D$7:$F$18</definedName>
    <definedName name="_xlnm.Print_Area" localSheetId="0">'Menú Principal'!$C$4:$G$22</definedName>
    <definedName name="_xlnm.Print_Area" localSheetId="2">'Menú tipología de establecimien'!$D$6:$G$25</definedName>
    <definedName name="_xlnm.Print_Area" localSheetId="1">'Menú Turismo alojado'!$D$6:$G$20</definedName>
    <definedName name="_xlnm.Print_Area" localSheetId="9">'Menú zonas y tipología'!$D$6:$G$27</definedName>
    <definedName name="_xlnm.Print_Area" localSheetId="34">'Nacionalidad-Alojamiento'!$B$7:$H$34</definedName>
    <definedName name="_xlnm.Print_Area" localSheetId="31">'Nacionalidad-Alojamiento(datos)'!$B$7:$H$34</definedName>
    <definedName name="_xlnm.Print_Area" localSheetId="27">'Nacionalidades '!$C$4:$G$29</definedName>
    <definedName name="_xlnm.Print_Area" localSheetId="26">'Nacionalidades  evolución mensu'!$B$5:$AV$71</definedName>
    <definedName name="_xlnm.Print_Area" localSheetId="33">'nacionalidades distribucion alo'!$B$5:$H$32</definedName>
    <definedName name="_xlnm.Print_Area" localSheetId="35">'Nacionalidad-evolución cuota'!$B$5:$Y$71</definedName>
    <definedName name="_xlnm.Print_Area" localSheetId="90">'Nacionalidad-Zona'!$B$6:$G$32</definedName>
    <definedName name="_xlnm.Print_Area" localSheetId="88">'Nacionalidad-Zona (datos)'!$B$6:$G$32</definedName>
    <definedName name="_xlnm.Print_Area" localSheetId="92">'Ofe Aloj Estim zona cat '!$B$6:$N$40</definedName>
    <definedName name="_xlnm.Print_Area" localSheetId="94">'Oferta Alojat Estim tipol categ'!$C$6:$O$51</definedName>
    <definedName name="_xlnm.Print_Area" localSheetId="78">'pernocta municipio y catego'!$B$7:$N$33</definedName>
    <definedName name="_xlnm.Print_Area" localSheetId="46">'Pernoctacion mensual'!$B$6:$F$73</definedName>
    <definedName name="_xlnm.Print_Area" localSheetId="44">'Pernoctaciones  tipolog y categ'!$B$7:$G$19</definedName>
    <definedName name="_xlnm.Print_Area" localSheetId="76">'Pernoctaciones munic y tipologí'!$B$6:$G$28</definedName>
    <definedName name="_xlnm.Print_Area" localSheetId="43">'Pernoctaciones tipología'!$B$11:$G$17</definedName>
    <definedName name="_xlnm.Print_Area" localSheetId="98">'Plazas Autorizadas tipología'!$C$4:$M$40</definedName>
    <definedName name="_xlnm.Print_Area" localSheetId="23">'tab,Evolución mensual categoría'!$C$3:$J$39</definedName>
    <definedName name="_xlnm.Print_Area" localSheetId="4">'tab. Turistas alojados tip'!$C$3:$F$70</definedName>
    <definedName name="_xlnm.Print_Area" localSheetId="7">'tab.Evolución mensual tipología'!$C$3:$F$38</definedName>
    <definedName name="_xlnm.Print_Area" localSheetId="16">'Tablas Evo. mens. zonas y TIPO'!$C$3:$R$38</definedName>
    <definedName name="_xlnm.Print_Area" localSheetId="62">'tablas evol EM CAT'!$C$3:$J$70</definedName>
    <definedName name="_xlnm.Print_Area" localSheetId="61">'Tablas evol EM zona'!$C$3:$I$71</definedName>
    <definedName name="_xlnm.Print_Area" localSheetId="51">'tablas evol IO CAT '!$C$3:$J$70</definedName>
    <definedName name="_xlnm.Print_Area" localSheetId="49">'Tablas evol IO zona'!$C$3:$I$71</definedName>
    <definedName name="_xlnm.Print_Area" localSheetId="41">'tablas pernocta cat ev anual'!$C$3:$J$70</definedName>
    <definedName name="_xlnm.Print_Area" localSheetId="39">'Tablas PERNOCTA zona'!$C$3:$I$71</definedName>
    <definedName name="_xlnm.Print_Area" localSheetId="18">'tablas turistas por categorías '!$C$3:$J$70</definedName>
    <definedName name="_xlnm.Print_Area" localSheetId="8">'tablas turistas por Temporada'!$C$3:$G$26</definedName>
    <definedName name="_xlnm.Print_Area" localSheetId="12">'Tablas turistas zona y tip.'!$C$3:$I$72</definedName>
    <definedName name="_xlnm.Print_Area" localSheetId="14">'tablas Zonas mensual '!$C$3:$J$36</definedName>
    <definedName name="_xlnm.Print_Area" localSheetId="6">'var evolu x tipolo'!$C$3:$F$58</definedName>
    <definedName name="_xlnm.Print_Area" localSheetId="22">'VARIACIÓN EVOL POR CATEGORIA'!$B$3:$I$57</definedName>
    <definedName name="_xlnm.Print_Area" localSheetId="13">'variación x zonas tipo '!$B$3:$H$58</definedName>
    <definedName name="CANARIAS" localSheetId="69">#REF!</definedName>
    <definedName name="CANARIAS" localSheetId="63">#REF!</definedName>
    <definedName name="CANARIAS" localSheetId="30">#REF!</definedName>
    <definedName name="CANARIAS" localSheetId="29">#REF!</definedName>
    <definedName name="CANARIAS" localSheetId="73">#REF!</definedName>
    <definedName name="CANARIAS" localSheetId="55">#REF!</definedName>
    <definedName name="CANARIAS" localSheetId="54">#REF!</definedName>
    <definedName name="CANARIAS" localSheetId="17">#REF!</definedName>
    <definedName name="CANARIAS" localSheetId="24">#REF!</definedName>
    <definedName name="CANARIAS" localSheetId="2">#REF!</definedName>
    <definedName name="CANARIAS" localSheetId="9">#REF!</definedName>
    <definedName name="CANARIAS" localSheetId="62">#REF!</definedName>
    <definedName name="CANARIAS" localSheetId="61">#REF!</definedName>
    <definedName name="CANARIAS" localSheetId="51">#REF!</definedName>
    <definedName name="CANARIAS" localSheetId="49">#REF!</definedName>
    <definedName name="CANARIAS" localSheetId="41">#REF!</definedName>
    <definedName name="CANARIAS" localSheetId="39">#REF!</definedName>
    <definedName name="CANARIAS">#REF!</definedName>
    <definedName name="eoap05" localSheetId="69">#REF!</definedName>
    <definedName name="eoap05" localSheetId="63">#REF!</definedName>
    <definedName name="eoap05" localSheetId="30">#REF!</definedName>
    <definedName name="eoap05" localSheetId="29">#REF!</definedName>
    <definedName name="eoap05" localSheetId="73">#REF!</definedName>
    <definedName name="eoap05" localSheetId="55">#REF!</definedName>
    <definedName name="eoap05" localSheetId="54">#REF!</definedName>
    <definedName name="eoap05" localSheetId="17">#REF!</definedName>
    <definedName name="eoap05" localSheetId="24">#REF!</definedName>
    <definedName name="eoap05" localSheetId="2">#REF!</definedName>
    <definedName name="eoap05" localSheetId="9">#REF!</definedName>
    <definedName name="eoap05" localSheetId="62">#REF!</definedName>
    <definedName name="eoap05" localSheetId="61">#REF!</definedName>
    <definedName name="eoap05" localSheetId="51">#REF!</definedName>
    <definedName name="eoap05" localSheetId="49">#REF!</definedName>
    <definedName name="eoap05" localSheetId="41">#REF!</definedName>
    <definedName name="eoap05" localSheetId="39">#REF!</definedName>
    <definedName name="eoap05">#REF!</definedName>
    <definedName name="EOAP05B" localSheetId="69">#REF!</definedName>
    <definedName name="EOAP05B" localSheetId="63">#REF!</definedName>
    <definedName name="EOAP05B" localSheetId="30">#REF!</definedName>
    <definedName name="EOAP05B" localSheetId="29">#REF!</definedName>
    <definedName name="EOAP05B" localSheetId="73">#REF!</definedName>
    <definedName name="EOAP05B" localSheetId="55">#REF!</definedName>
    <definedName name="EOAP05B" localSheetId="54">#REF!</definedName>
    <definedName name="EOAP05B" localSheetId="17">#REF!</definedName>
    <definedName name="EOAP05B" localSheetId="24">#REF!</definedName>
    <definedName name="EOAP05B" localSheetId="2">#REF!</definedName>
    <definedName name="EOAP05B" localSheetId="9">#REF!</definedName>
    <definedName name="EOAP05B" localSheetId="62">#REF!</definedName>
    <definedName name="EOAP05B" localSheetId="61">#REF!</definedName>
    <definedName name="EOAP05B" localSheetId="51">#REF!</definedName>
    <definedName name="EOAP05B" localSheetId="49">#REF!</definedName>
    <definedName name="EOAP05B" localSheetId="41">#REF!</definedName>
    <definedName name="EOAP05B" localSheetId="39">#REF!</definedName>
    <definedName name="EOAP05B">#REF!</definedName>
    <definedName name="eoap06" localSheetId="69">#REF!</definedName>
    <definedName name="eoap06" localSheetId="63">#REF!</definedName>
    <definedName name="eoap06" localSheetId="30">#REF!</definedName>
    <definedName name="eoap06" localSheetId="29">#REF!</definedName>
    <definedName name="eoap06" localSheetId="73">#REF!</definedName>
    <definedName name="eoap06" localSheetId="55">#REF!</definedName>
    <definedName name="eoap06" localSheetId="54">#REF!</definedName>
    <definedName name="eoap06" localSheetId="17">#REF!</definedName>
    <definedName name="eoap06" localSheetId="24">#REF!</definedName>
    <definedName name="eoap06" localSheetId="2">#REF!</definedName>
    <definedName name="eoap06" localSheetId="9">#REF!</definedName>
    <definedName name="eoap06" localSheetId="62">#REF!</definedName>
    <definedName name="eoap06" localSheetId="61">#REF!</definedName>
    <definedName name="eoap06" localSheetId="51">#REF!</definedName>
    <definedName name="eoap06" localSheetId="49">#REF!</definedName>
    <definedName name="eoap06" localSheetId="41">#REF!</definedName>
    <definedName name="eoap06" localSheetId="39">#REF!</definedName>
    <definedName name="eoap06">#REF!</definedName>
    <definedName name="EOAP06B" localSheetId="69">#REF!</definedName>
    <definedName name="EOAP06B" localSheetId="63">#REF!</definedName>
    <definedName name="EOAP06B" localSheetId="30">#REF!</definedName>
    <definedName name="EOAP06B" localSheetId="29">#REF!</definedName>
    <definedName name="EOAP06B" localSheetId="73">#REF!</definedName>
    <definedName name="EOAP06B" localSheetId="55">#REF!</definedName>
    <definedName name="EOAP06B" localSheetId="54">#REF!</definedName>
    <definedName name="EOAP06B" localSheetId="17">#REF!</definedName>
    <definedName name="EOAP06B" localSheetId="24">#REF!</definedName>
    <definedName name="EOAP06B" localSheetId="2">#REF!</definedName>
    <definedName name="EOAP06B" localSheetId="9">#REF!</definedName>
    <definedName name="EOAP06B" localSheetId="62">#REF!</definedName>
    <definedName name="EOAP06B" localSheetId="61">#REF!</definedName>
    <definedName name="EOAP06B" localSheetId="51">#REF!</definedName>
    <definedName name="EOAP06B" localSheetId="49">#REF!</definedName>
    <definedName name="EOAP06B" localSheetId="41">#REF!</definedName>
    <definedName name="EOAP06B" localSheetId="39">#REF!</definedName>
    <definedName name="EOAP06B">#REF!</definedName>
    <definedName name="eoh05B" localSheetId="69">#REF!</definedName>
    <definedName name="eoh05B" localSheetId="63">#REF!</definedName>
    <definedName name="eoh05B" localSheetId="30">#REF!</definedName>
    <definedName name="eoh05B" localSheetId="29">#REF!</definedName>
    <definedName name="eoh05B" localSheetId="73">#REF!</definedName>
    <definedName name="eoh05B" localSheetId="55">#REF!</definedName>
    <definedName name="eoh05B" localSheetId="54">#REF!</definedName>
    <definedName name="eoh05B" localSheetId="17">#REF!</definedName>
    <definedName name="eoh05B" localSheetId="24">#REF!</definedName>
    <definedName name="eoh05B" localSheetId="2">#REF!</definedName>
    <definedName name="eoh05B" localSheetId="9">#REF!</definedName>
    <definedName name="eoh05B" localSheetId="62">#REF!</definedName>
    <definedName name="eoh05B" localSheetId="61">#REF!</definedName>
    <definedName name="eoh05B" localSheetId="51">#REF!</definedName>
    <definedName name="eoh05B" localSheetId="49">#REF!</definedName>
    <definedName name="eoh05B" localSheetId="41">#REF!</definedName>
    <definedName name="eoh05B" localSheetId="39">#REF!</definedName>
    <definedName name="eoh05B">#REF!</definedName>
    <definedName name="eoh06B" localSheetId="69">#REF!</definedName>
    <definedName name="eoh06B" localSheetId="63">#REF!</definedName>
    <definedName name="eoh06B" localSheetId="30">#REF!</definedName>
    <definedName name="eoh06B" localSheetId="29">#REF!</definedName>
    <definedName name="eoh06B" localSheetId="73">#REF!</definedName>
    <definedName name="eoh06B" localSheetId="55">#REF!</definedName>
    <definedName name="eoh06B" localSheetId="54">#REF!</definedName>
    <definedName name="eoh06B" localSheetId="17">#REF!</definedName>
    <definedName name="eoh06B" localSheetId="24">#REF!</definedName>
    <definedName name="eoh06B" localSheetId="2">#REF!</definedName>
    <definedName name="eoh06B" localSheetId="9">#REF!</definedName>
    <definedName name="eoh06B" localSheetId="62">#REF!</definedName>
    <definedName name="eoh06B" localSheetId="61">#REF!</definedName>
    <definedName name="eoh06B" localSheetId="51">#REF!</definedName>
    <definedName name="eoh06B" localSheetId="49">#REF!</definedName>
    <definedName name="eoh06B" localSheetId="41">#REF!</definedName>
    <definedName name="eoh06B" localSheetId="39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69">#REF!</definedName>
    <definedName name="FT" localSheetId="63">#REF!</definedName>
    <definedName name="FT" localSheetId="30">#REF!</definedName>
    <definedName name="FT" localSheetId="29">#REF!</definedName>
    <definedName name="FT" localSheetId="73">#REF!</definedName>
    <definedName name="FT" localSheetId="55">#REF!</definedName>
    <definedName name="FT" localSheetId="54">#REF!</definedName>
    <definedName name="FT" localSheetId="17">#REF!</definedName>
    <definedName name="FT" localSheetId="24">#REF!</definedName>
    <definedName name="FT" localSheetId="2">#REF!</definedName>
    <definedName name="FT" localSheetId="9">#REF!</definedName>
    <definedName name="FT" localSheetId="62">#REF!</definedName>
    <definedName name="FT" localSheetId="61">#REF!</definedName>
    <definedName name="FT" localSheetId="51">#REF!</definedName>
    <definedName name="FT" localSheetId="49">#REF!</definedName>
    <definedName name="FT" localSheetId="41">#REF!</definedName>
    <definedName name="FT" localSheetId="39">#REF!</definedName>
    <definedName name="FT">#REF!</definedName>
    <definedName name="GC" localSheetId="69">#REF!</definedName>
    <definedName name="GC" localSheetId="63">#REF!</definedName>
    <definedName name="GC" localSheetId="30">#REF!</definedName>
    <definedName name="GC" localSheetId="29">#REF!</definedName>
    <definedName name="GC" localSheetId="73">#REF!</definedName>
    <definedName name="GC" localSheetId="55">#REF!</definedName>
    <definedName name="GC" localSheetId="54">#REF!</definedName>
    <definedName name="GC" localSheetId="17">#REF!</definedName>
    <definedName name="GC" localSheetId="24">#REF!</definedName>
    <definedName name="GC" localSheetId="2">#REF!</definedName>
    <definedName name="GC" localSheetId="9">#REF!</definedName>
    <definedName name="GC" localSheetId="62">#REF!</definedName>
    <definedName name="GC" localSheetId="61">#REF!</definedName>
    <definedName name="GC" localSheetId="51">#REF!</definedName>
    <definedName name="GC" localSheetId="49">#REF!</definedName>
    <definedName name="GC" localSheetId="41">#REF!</definedName>
    <definedName name="GC" localSheetId="39">#REF!</definedName>
    <definedName name="GC">#REF!</definedName>
    <definedName name="IPH" localSheetId="69">#REF!</definedName>
    <definedName name="IPH" localSheetId="63">#REF!</definedName>
    <definedName name="IPH" localSheetId="30">#REF!</definedName>
    <definedName name="IPH" localSheetId="29">#REF!</definedName>
    <definedName name="IPH" localSheetId="73">#REF!</definedName>
    <definedName name="IPH" localSheetId="55">#REF!</definedName>
    <definedName name="IPH" localSheetId="54">#REF!</definedName>
    <definedName name="IPH" localSheetId="17">#REF!</definedName>
    <definedName name="IPH" localSheetId="24">#REF!</definedName>
    <definedName name="IPH" localSheetId="2">#REF!</definedName>
    <definedName name="IPH" localSheetId="9">#REF!</definedName>
    <definedName name="IPH" localSheetId="62">#REF!</definedName>
    <definedName name="IPH" localSheetId="61">#REF!</definedName>
    <definedName name="IPH" localSheetId="51">#REF!</definedName>
    <definedName name="IPH" localSheetId="49">#REF!</definedName>
    <definedName name="IPH" localSheetId="41">#REF!</definedName>
    <definedName name="IPH" localSheetId="39">#REF!</definedName>
    <definedName name="IPH">#REF!</definedName>
    <definedName name="LP" localSheetId="69">#REF!</definedName>
    <definedName name="LP" localSheetId="63">#REF!</definedName>
    <definedName name="LP" localSheetId="30">#REF!</definedName>
    <definedName name="LP" localSheetId="29">#REF!</definedName>
    <definedName name="LP" localSheetId="73">#REF!</definedName>
    <definedName name="LP" localSheetId="55">#REF!</definedName>
    <definedName name="LP" localSheetId="54">#REF!</definedName>
    <definedName name="LP" localSheetId="17">#REF!</definedName>
    <definedName name="LP" localSheetId="24">#REF!</definedName>
    <definedName name="LP" localSheetId="2">#REF!</definedName>
    <definedName name="LP" localSheetId="9">#REF!</definedName>
    <definedName name="LP" localSheetId="62">#REF!</definedName>
    <definedName name="LP" localSheetId="61">#REF!</definedName>
    <definedName name="LP" localSheetId="51">#REF!</definedName>
    <definedName name="LP" localSheetId="49">#REF!</definedName>
    <definedName name="LP" localSheetId="41">#REF!</definedName>
    <definedName name="LP" localSheetId="39">#REF!</definedName>
    <definedName name="LP">#REF!</definedName>
    <definedName name="LZ" localSheetId="69">#REF!</definedName>
    <definedName name="LZ" localSheetId="63">#REF!</definedName>
    <definedName name="LZ" localSheetId="30">#REF!</definedName>
    <definedName name="LZ" localSheetId="29">#REF!</definedName>
    <definedName name="LZ" localSheetId="73">#REF!</definedName>
    <definedName name="LZ" localSheetId="55">#REF!</definedName>
    <definedName name="LZ" localSheetId="54">#REF!</definedName>
    <definedName name="LZ" localSheetId="17">#REF!</definedName>
    <definedName name="LZ" localSheetId="24">#REF!</definedName>
    <definedName name="LZ" localSheetId="2">#REF!</definedName>
    <definedName name="LZ" localSheetId="9">#REF!</definedName>
    <definedName name="LZ" localSheetId="62">#REF!</definedName>
    <definedName name="LZ" localSheetId="61">#REF!</definedName>
    <definedName name="LZ" localSheetId="51">#REF!</definedName>
    <definedName name="LZ" localSheetId="49">#REF!</definedName>
    <definedName name="LZ" localSheetId="41">#REF!</definedName>
    <definedName name="LZ" localSheetId="39">#REF!</definedName>
    <definedName name="LZ">#REF!</definedName>
    <definedName name="TF" localSheetId="69">#REF!</definedName>
    <definedName name="TF" localSheetId="63">#REF!</definedName>
    <definedName name="TF" localSheetId="30">#REF!</definedName>
    <definedName name="TF" localSheetId="29">#REF!</definedName>
    <definedName name="TF" localSheetId="73">#REF!</definedName>
    <definedName name="TF" localSheetId="55">#REF!</definedName>
    <definedName name="TF" localSheetId="54">#REF!</definedName>
    <definedName name="TF" localSheetId="17">#REF!</definedName>
    <definedName name="TF" localSheetId="24">#REF!</definedName>
    <definedName name="TF" localSheetId="2">#REF!</definedName>
    <definedName name="TF" localSheetId="9">#REF!</definedName>
    <definedName name="TF" localSheetId="62">#REF!</definedName>
    <definedName name="TF" localSheetId="61">#REF!</definedName>
    <definedName name="TF" localSheetId="51">#REF!</definedName>
    <definedName name="TF" localSheetId="49">#REF!</definedName>
    <definedName name="TF" localSheetId="41">#REF!</definedName>
    <definedName name="TF" localSheetId="39">#REF!</definedName>
    <definedName name="TF">#REF!</definedName>
    <definedName name="_xlnm.Print_Titles" localSheetId="25">'graficas evol mensual merc'!$2:$3</definedName>
    <definedName name="_xlnm.Print_Titles" localSheetId="26">'Nacionalidades  evolución mensu'!$B:$B</definedName>
  </definedNames>
  <calcPr calcId="125725"/>
</workbook>
</file>

<file path=xl/calcChain.xml><?xml version="1.0" encoding="utf-8"?>
<calcChain xmlns="http://schemas.openxmlformats.org/spreadsheetml/2006/main">
  <c r="D7" i="101"/>
  <c r="D7" i="102" s="1"/>
  <c r="B7" i="91"/>
  <c r="B6" i="90"/>
  <c r="B7" i="89"/>
  <c r="J32" i="87"/>
  <c r="E31"/>
  <c r="D31"/>
  <c r="C31"/>
  <c r="J30"/>
  <c r="I30"/>
  <c r="H30"/>
  <c r="I29"/>
  <c r="J29" s="1"/>
  <c r="H29"/>
  <c r="D29"/>
  <c r="E29" s="1"/>
  <c r="C29"/>
  <c r="J28"/>
  <c r="I28"/>
  <c r="H28"/>
  <c r="E28"/>
  <c r="D28"/>
  <c r="C28"/>
  <c r="I27"/>
  <c r="J27" s="1"/>
  <c r="H27"/>
  <c r="D27"/>
  <c r="C27"/>
  <c r="J26"/>
  <c r="I26"/>
  <c r="H26"/>
  <c r="E26"/>
  <c r="D26"/>
  <c r="C26"/>
  <c r="I24"/>
  <c r="J24" s="1"/>
  <c r="H24"/>
  <c r="D24"/>
  <c r="E24" s="1"/>
  <c r="C24"/>
  <c r="I22"/>
  <c r="H22"/>
  <c r="D22"/>
  <c r="C22"/>
  <c r="J18"/>
  <c r="I18"/>
  <c r="H18"/>
  <c r="E18"/>
  <c r="D18"/>
  <c r="C18"/>
  <c r="I16"/>
  <c r="J16" s="1"/>
  <c r="H16"/>
  <c r="D16"/>
  <c r="C16"/>
  <c r="E16" s="1"/>
  <c r="J15"/>
  <c r="I15"/>
  <c r="H15"/>
  <c r="D15"/>
  <c r="E15" s="1"/>
  <c r="C15"/>
  <c r="I14"/>
  <c r="H14"/>
  <c r="D14"/>
  <c r="C14"/>
  <c r="E14" s="1"/>
  <c r="J13"/>
  <c r="I13"/>
  <c r="H13"/>
  <c r="E13"/>
  <c r="D13"/>
  <c r="C13"/>
  <c r="I12"/>
  <c r="J12" s="1"/>
  <c r="H12"/>
  <c r="D12"/>
  <c r="C12"/>
  <c r="J10"/>
  <c r="I10"/>
  <c r="H10"/>
  <c r="D10"/>
  <c r="E10" s="1"/>
  <c r="C10"/>
  <c r="I8"/>
  <c r="H8"/>
  <c r="D8"/>
  <c r="C8"/>
  <c r="D26" i="85"/>
  <c r="C26"/>
  <c r="D25"/>
  <c r="E25" s="1"/>
  <c r="C25"/>
  <c r="E23"/>
  <c r="D23"/>
  <c r="C23"/>
  <c r="E22"/>
  <c r="D22"/>
  <c r="C22"/>
  <c r="D21"/>
  <c r="E21" s="1"/>
  <c r="C21"/>
  <c r="D19"/>
  <c r="C19"/>
  <c r="E18"/>
  <c r="D18"/>
  <c r="C18"/>
  <c r="D17"/>
  <c r="E17" s="1"/>
  <c r="C17"/>
  <c r="D15"/>
  <c r="E15" s="1"/>
  <c r="C15"/>
  <c r="E14"/>
  <c r="D14"/>
  <c r="C14"/>
  <c r="E13"/>
  <c r="D13"/>
  <c r="C13"/>
  <c r="D7"/>
  <c r="C7"/>
  <c r="E31" i="83"/>
  <c r="D31"/>
  <c r="C31"/>
  <c r="J30"/>
  <c r="I30"/>
  <c r="H30"/>
  <c r="I29"/>
  <c r="J29" s="1"/>
  <c r="H29"/>
  <c r="D29"/>
  <c r="E29" s="1"/>
  <c r="C29"/>
  <c r="J28"/>
  <c r="I28"/>
  <c r="H28"/>
  <c r="E28"/>
  <c r="D28"/>
  <c r="C28"/>
  <c r="I27"/>
  <c r="J27" s="1"/>
  <c r="H27"/>
  <c r="D27"/>
  <c r="E27" s="1"/>
  <c r="C27"/>
  <c r="J26"/>
  <c r="I26"/>
  <c r="H26"/>
  <c r="E26"/>
  <c r="D26"/>
  <c r="C26"/>
  <c r="I24"/>
  <c r="J24" s="1"/>
  <c r="H24"/>
  <c r="D24"/>
  <c r="E24" s="1"/>
  <c r="C24"/>
  <c r="I22"/>
  <c r="H22"/>
  <c r="D22"/>
  <c r="C22"/>
  <c r="J18"/>
  <c r="I18"/>
  <c r="H18"/>
  <c r="E18"/>
  <c r="D18"/>
  <c r="C18"/>
  <c r="I16"/>
  <c r="J16" s="1"/>
  <c r="H16"/>
  <c r="D16"/>
  <c r="E16" s="1"/>
  <c r="C16"/>
  <c r="J15"/>
  <c r="I15"/>
  <c r="H15"/>
  <c r="E15"/>
  <c r="D15"/>
  <c r="C15"/>
  <c r="I14"/>
  <c r="J14" s="1"/>
  <c r="H14"/>
  <c r="D14"/>
  <c r="E14" s="1"/>
  <c r="C14"/>
  <c r="J13"/>
  <c r="I13"/>
  <c r="H13"/>
  <c r="E13"/>
  <c r="D13"/>
  <c r="C13"/>
  <c r="I12"/>
  <c r="J12" s="1"/>
  <c r="H12"/>
  <c r="D12"/>
  <c r="E12" s="1"/>
  <c r="C12"/>
  <c r="J10"/>
  <c r="I10"/>
  <c r="H10"/>
  <c r="E10"/>
  <c r="D10"/>
  <c r="C10"/>
  <c r="I8"/>
  <c r="H8"/>
  <c r="D8"/>
  <c r="C8"/>
  <c r="D26" i="81"/>
  <c r="E26" s="1"/>
  <c r="C26"/>
  <c r="D25"/>
  <c r="E25" s="1"/>
  <c r="C25"/>
  <c r="E23"/>
  <c r="D23"/>
  <c r="C23"/>
  <c r="E22"/>
  <c r="D22"/>
  <c r="C22"/>
  <c r="D21"/>
  <c r="E21" s="1"/>
  <c r="C21"/>
  <c r="D19"/>
  <c r="E19" s="1"/>
  <c r="C19"/>
  <c r="E18"/>
  <c r="D18"/>
  <c r="C18"/>
  <c r="E17"/>
  <c r="D17"/>
  <c r="C17"/>
  <c r="D15"/>
  <c r="E15" s="1"/>
  <c r="C15"/>
  <c r="D14"/>
  <c r="E14" s="1"/>
  <c r="C14"/>
  <c r="E13"/>
  <c r="D13"/>
  <c r="C13"/>
  <c r="D7"/>
  <c r="C7"/>
  <c r="G27" i="77"/>
  <c r="C72" i="70"/>
  <c r="E72" s="1"/>
  <c r="F71"/>
  <c r="F70"/>
  <c r="F69"/>
  <c r="F68"/>
  <c r="F67"/>
  <c r="F66"/>
  <c r="F65"/>
  <c r="F64"/>
  <c r="F63"/>
  <c r="F62"/>
  <c r="F61"/>
  <c r="C59"/>
  <c r="E59" s="1"/>
  <c r="C46"/>
  <c r="E46" s="1"/>
  <c r="C33"/>
  <c r="E33" s="1"/>
  <c r="E20"/>
  <c r="C20"/>
  <c r="E17" i="68"/>
  <c r="D15"/>
  <c r="E15" s="1"/>
  <c r="C15"/>
  <c r="D14"/>
  <c r="C14"/>
  <c r="E14" s="1"/>
  <c r="E13"/>
  <c r="D13"/>
  <c r="C13"/>
  <c r="D12"/>
  <c r="E12" s="1"/>
  <c r="C12"/>
  <c r="D11"/>
  <c r="E11" s="1"/>
  <c r="C11"/>
  <c r="D9"/>
  <c r="C9"/>
  <c r="E9" s="1"/>
  <c r="D7"/>
  <c r="C7"/>
  <c r="E15" i="66"/>
  <c r="D14"/>
  <c r="E14" s="1"/>
  <c r="C14"/>
  <c r="D13"/>
  <c r="E13" s="1"/>
  <c r="C13"/>
  <c r="D7"/>
  <c r="C7"/>
  <c r="F14" i="65"/>
  <c r="E13"/>
  <c r="F13" s="1"/>
  <c r="D13"/>
  <c r="F12"/>
  <c r="E12"/>
  <c r="D12"/>
  <c r="E11"/>
  <c r="D11"/>
  <c r="J17" i="64"/>
  <c r="H17"/>
  <c r="G17"/>
  <c r="F17"/>
  <c r="E17"/>
  <c r="D17"/>
  <c r="J69" i="63"/>
  <c r="H69"/>
  <c r="G69"/>
  <c r="G56" i="64" s="1"/>
  <c r="F69" i="63"/>
  <c r="F56" i="64" s="1"/>
  <c r="E69" i="63"/>
  <c r="D69"/>
  <c r="J56"/>
  <c r="J56" i="64" s="1"/>
  <c r="H56" i="63"/>
  <c r="H43" i="64" s="1"/>
  <c r="G56" i="63"/>
  <c r="F56"/>
  <c r="E56"/>
  <c r="E56" i="64" s="1"/>
  <c r="D56" i="63"/>
  <c r="D43" i="64" s="1"/>
  <c r="J43" i="63"/>
  <c r="H43"/>
  <c r="G43"/>
  <c r="G43" i="64" s="1"/>
  <c r="F43" i="63"/>
  <c r="F30" i="64" s="1"/>
  <c r="E43" i="63"/>
  <c r="D43"/>
  <c r="J30"/>
  <c r="J30" i="64" s="1"/>
  <c r="H30" i="63"/>
  <c r="H30" i="64" s="1"/>
  <c r="G30" i="63"/>
  <c r="F30"/>
  <c r="E30"/>
  <c r="E30" i="64" s="1"/>
  <c r="D30" i="63"/>
  <c r="D30" i="64" s="1"/>
  <c r="J17" i="63"/>
  <c r="H17"/>
  <c r="G17"/>
  <c r="F17"/>
  <c r="E17"/>
  <c r="D17"/>
  <c r="F70" i="62"/>
  <c r="D70"/>
  <c r="F57"/>
  <c r="D57"/>
  <c r="F44"/>
  <c r="D44"/>
  <c r="F31"/>
  <c r="D31"/>
  <c r="F18"/>
  <c r="D18"/>
  <c r="E19" i="61"/>
  <c r="C72" i="59"/>
  <c r="C59"/>
  <c r="F46"/>
  <c r="E46"/>
  <c r="C46"/>
  <c r="C33"/>
  <c r="E20"/>
  <c r="C20"/>
  <c r="E18" i="57"/>
  <c r="D16"/>
  <c r="C16"/>
  <c r="E16" s="1"/>
  <c r="E15"/>
  <c r="D15"/>
  <c r="C15"/>
  <c r="D14"/>
  <c r="E14" s="1"/>
  <c r="C14"/>
  <c r="D13"/>
  <c r="C13"/>
  <c r="D12"/>
  <c r="C12"/>
  <c r="E12" s="1"/>
  <c r="E10"/>
  <c r="D10"/>
  <c r="C10"/>
  <c r="D8"/>
  <c r="C8"/>
  <c r="E15" i="55"/>
  <c r="D14"/>
  <c r="C14"/>
  <c r="D13"/>
  <c r="C13"/>
  <c r="E13" s="1"/>
  <c r="D7"/>
  <c r="C7"/>
  <c r="F11" i="54"/>
  <c r="F10"/>
  <c r="E10"/>
  <c r="D10"/>
  <c r="E9"/>
  <c r="F9" s="1"/>
  <c r="D9"/>
  <c r="E8"/>
  <c r="D8"/>
  <c r="I56" i="53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J17"/>
  <c r="H17"/>
  <c r="G17"/>
  <c r="F17"/>
  <c r="E17"/>
  <c r="D17"/>
  <c r="I16"/>
  <c r="I15"/>
  <c r="I14"/>
  <c r="I13"/>
  <c r="I12"/>
  <c r="I11"/>
  <c r="I10"/>
  <c r="I9"/>
  <c r="I8"/>
  <c r="I7"/>
  <c r="I6"/>
  <c r="I5"/>
  <c r="J69" i="52"/>
  <c r="H69"/>
  <c r="G69"/>
  <c r="F69"/>
  <c r="E69"/>
  <c r="D69"/>
  <c r="J56"/>
  <c r="J56" i="53" s="1"/>
  <c r="H56" i="52"/>
  <c r="G56"/>
  <c r="G56" i="53" s="1"/>
  <c r="F56" i="52"/>
  <c r="F56" i="53" s="1"/>
  <c r="E56" i="52"/>
  <c r="E56" i="53" s="1"/>
  <c r="D56" i="52"/>
  <c r="J43"/>
  <c r="J43" i="53" s="1"/>
  <c r="H43" i="52"/>
  <c r="H43" i="53" s="1"/>
  <c r="G43" i="52"/>
  <c r="G43" i="53" s="1"/>
  <c r="F43" i="52"/>
  <c r="F43" i="53" s="1"/>
  <c r="E43" i="52"/>
  <c r="E43" i="53" s="1"/>
  <c r="D43" i="52"/>
  <c r="D43" i="53" s="1"/>
  <c r="J30" i="52"/>
  <c r="J30" i="53" s="1"/>
  <c r="H30" i="52"/>
  <c r="H30" i="53" s="1"/>
  <c r="G30" i="52"/>
  <c r="G30" i="53" s="1"/>
  <c r="F30" i="52"/>
  <c r="F30" i="53" s="1"/>
  <c r="E30" i="52"/>
  <c r="E30" i="53" s="1"/>
  <c r="D30" i="52"/>
  <c r="D30" i="53" s="1"/>
  <c r="J17" i="52"/>
  <c r="H17"/>
  <c r="G17"/>
  <c r="F17"/>
  <c r="E17"/>
  <c r="D17"/>
  <c r="E57" i="51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F18"/>
  <c r="D18"/>
  <c r="E17"/>
  <c r="E16"/>
  <c r="E15"/>
  <c r="E14"/>
  <c r="E13"/>
  <c r="E12"/>
  <c r="E11"/>
  <c r="F70" i="50"/>
  <c r="D70"/>
  <c r="F57"/>
  <c r="F57" i="51" s="1"/>
  <c r="D57" i="50"/>
  <c r="F44"/>
  <c r="D44"/>
  <c r="F31"/>
  <c r="D31"/>
  <c r="D31" i="51" s="1"/>
  <c r="F18" i="50"/>
  <c r="D18"/>
  <c r="D20" i="49"/>
  <c r="B20" i="47"/>
  <c r="E8" i="45"/>
  <c r="C8"/>
  <c r="E12" i="44"/>
  <c r="C12"/>
  <c r="C17" i="42"/>
  <c r="C18" i="40"/>
  <c r="D17" i="39"/>
  <c r="B8" i="35"/>
  <c r="B6" i="34"/>
  <c r="B5" i="33"/>
  <c r="B8" i="32"/>
  <c r="E5" i="29"/>
  <c r="D5"/>
  <c r="E5" i="28"/>
  <c r="D5"/>
  <c r="E20" i="25"/>
  <c r="C17" i="19"/>
  <c r="E20" i="18"/>
  <c r="C18" i="13"/>
  <c r="F4" i="11"/>
  <c r="D4"/>
  <c r="E15" i="10"/>
  <c r="C17" i="5"/>
  <c r="F11" i="4"/>
  <c r="D11"/>
  <c r="E19" i="3"/>
  <c r="D6" i="1"/>
  <c r="D61" i="102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L39" i="99"/>
  <c r="H39"/>
  <c r="J38"/>
  <c r="F38"/>
  <c r="L37"/>
  <c r="H37"/>
  <c r="J36"/>
  <c r="F36"/>
  <c r="L35"/>
  <c r="H35"/>
  <c r="J34"/>
  <c r="F34"/>
  <c r="L33"/>
  <c r="H33"/>
  <c r="J32"/>
  <c r="F32"/>
  <c r="L31"/>
  <c r="H31"/>
  <c r="J30"/>
  <c r="F30"/>
  <c r="L29"/>
  <c r="H29"/>
  <c r="J28"/>
  <c r="F28"/>
  <c r="L27"/>
  <c r="H27"/>
  <c r="J26"/>
  <c r="F26"/>
  <c r="L25"/>
  <c r="H25"/>
  <c r="J24"/>
  <c r="F24"/>
  <c r="L23"/>
  <c r="H23"/>
  <c r="J22"/>
  <c r="F22"/>
  <c r="L21"/>
  <c r="H21"/>
  <c r="J20"/>
  <c r="F20"/>
  <c r="L19"/>
  <c r="H19"/>
  <c r="J18"/>
  <c r="F18"/>
  <c r="L17"/>
  <c r="H17"/>
  <c r="J16"/>
  <c r="F16"/>
  <c r="L15"/>
  <c r="H15"/>
  <c r="J14"/>
  <c r="F14"/>
  <c r="L13"/>
  <c r="H13"/>
  <c r="J12"/>
  <c r="F12"/>
  <c r="L11"/>
  <c r="H11"/>
  <c r="J10"/>
  <c r="F10"/>
  <c r="L9"/>
  <c r="H9"/>
  <c r="J8"/>
  <c r="F8"/>
  <c r="M50" i="95"/>
  <c r="F50"/>
  <c r="D49"/>
  <c r="F48"/>
  <c r="D47"/>
  <c r="F46"/>
  <c r="D45"/>
  <c r="F44"/>
  <c r="D38"/>
  <c r="F37"/>
  <c r="D36"/>
  <c r="F35"/>
  <c r="D34"/>
  <c r="F33"/>
  <c r="D27"/>
  <c r="F26"/>
  <c r="D25"/>
  <c r="F24"/>
  <c r="D23"/>
  <c r="F22"/>
  <c r="D21"/>
  <c r="F14"/>
  <c r="D13"/>
  <c r="F12"/>
  <c r="D11"/>
  <c r="F10"/>
  <c r="D9"/>
  <c r="F8"/>
  <c r="C39" i="93"/>
  <c r="E38"/>
  <c r="C37"/>
  <c r="E35"/>
  <c r="C34"/>
  <c r="E33"/>
  <c r="C31"/>
  <c r="E30"/>
  <c r="C29"/>
  <c r="E27"/>
  <c r="C26"/>
  <c r="E25"/>
  <c r="C23"/>
  <c r="E22"/>
  <c r="C21"/>
  <c r="E19"/>
  <c r="C18"/>
  <c r="E17"/>
  <c r="C14"/>
  <c r="E13"/>
  <c r="C11"/>
  <c r="E10"/>
  <c r="C9"/>
  <c r="D30" i="90"/>
  <c r="E29"/>
  <c r="F28"/>
  <c r="G27"/>
  <c r="C27"/>
  <c r="D26"/>
  <c r="E25"/>
  <c r="F24"/>
  <c r="G23"/>
  <c r="C23"/>
  <c r="D22"/>
  <c r="E21"/>
  <c r="F20"/>
  <c r="G19"/>
  <c r="C19"/>
  <c r="D18"/>
  <c r="E17"/>
  <c r="F16"/>
  <c r="G15"/>
  <c r="C15"/>
  <c r="D14"/>
  <c r="E13"/>
  <c r="F12"/>
  <c r="G11"/>
  <c r="C11"/>
  <c r="D10"/>
  <c r="E9"/>
  <c r="F8"/>
  <c r="D31" i="89"/>
  <c r="F29"/>
  <c r="G28"/>
  <c r="C28"/>
  <c r="D27"/>
  <c r="E26"/>
  <c r="F25"/>
  <c r="G24"/>
  <c r="C24"/>
  <c r="D23"/>
  <c r="E22"/>
  <c r="F21"/>
  <c r="G20"/>
  <c r="C20"/>
  <c r="D19"/>
  <c r="E18"/>
  <c r="G16"/>
  <c r="C16"/>
  <c r="D15"/>
  <c r="E14"/>
  <c r="F13"/>
  <c r="G12"/>
  <c r="C12"/>
  <c r="D11"/>
  <c r="E10"/>
  <c r="F9"/>
  <c r="M39" i="99"/>
  <c r="I39"/>
  <c r="K38"/>
  <c r="G38"/>
  <c r="M37"/>
  <c r="I37"/>
  <c r="K36"/>
  <c r="G36"/>
  <c r="M35"/>
  <c r="I35"/>
  <c r="K34"/>
  <c r="G34"/>
  <c r="M33"/>
  <c r="I33"/>
  <c r="K32"/>
  <c r="G32"/>
  <c r="M31"/>
  <c r="I31"/>
  <c r="K30"/>
  <c r="G30"/>
  <c r="M29"/>
  <c r="I29"/>
  <c r="K28"/>
  <c r="G28"/>
  <c r="M27"/>
  <c r="I27"/>
  <c r="K26"/>
  <c r="G26"/>
  <c r="M25"/>
  <c r="I25"/>
  <c r="K24"/>
  <c r="G24"/>
  <c r="M23"/>
  <c r="I23"/>
  <c r="K22"/>
  <c r="G22"/>
  <c r="M21"/>
  <c r="I21"/>
  <c r="K20"/>
  <c r="G20"/>
  <c r="M19"/>
  <c r="I19"/>
  <c r="K18"/>
  <c r="G18"/>
  <c r="M17"/>
  <c r="I17"/>
  <c r="K16"/>
  <c r="G16"/>
  <c r="M15"/>
  <c r="I15"/>
  <c r="K14"/>
  <c r="G14"/>
  <c r="M13"/>
  <c r="I13"/>
  <c r="K12"/>
  <c r="G12"/>
  <c r="M11"/>
  <c r="I11"/>
  <c r="K10"/>
  <c r="G10"/>
  <c r="M9"/>
  <c r="I9"/>
  <c r="K8"/>
  <c r="G8"/>
  <c r="K49" i="95"/>
  <c r="M48"/>
  <c r="K47"/>
  <c r="M46"/>
  <c r="K45"/>
  <c r="M44"/>
  <c r="K38"/>
  <c r="M37"/>
  <c r="K36"/>
  <c r="M35"/>
  <c r="K34"/>
  <c r="M33"/>
  <c r="K27"/>
  <c r="M26"/>
  <c r="K25"/>
  <c r="M24"/>
  <c r="K23"/>
  <c r="M22"/>
  <c r="K21"/>
  <c r="M14"/>
  <c r="K13"/>
  <c r="M12"/>
  <c r="K11"/>
  <c r="M10"/>
  <c r="K9"/>
  <c r="M8"/>
  <c r="J39" i="93"/>
  <c r="L38"/>
  <c r="J37"/>
  <c r="L35"/>
  <c r="J34"/>
  <c r="L33"/>
  <c r="J31"/>
  <c r="L30"/>
  <c r="J29"/>
  <c r="L27"/>
  <c r="J26"/>
  <c r="L25"/>
  <c r="J23"/>
  <c r="L22"/>
  <c r="J21"/>
  <c r="L19"/>
  <c r="J18"/>
  <c r="L17"/>
  <c r="J14"/>
  <c r="L13"/>
  <c r="J11"/>
  <c r="L10"/>
  <c r="J9"/>
  <c r="E30" i="90"/>
  <c r="F29"/>
  <c r="G28"/>
  <c r="C28"/>
  <c r="D27"/>
  <c r="E26"/>
  <c r="F25"/>
  <c r="G24"/>
  <c r="C24"/>
  <c r="D23"/>
  <c r="E22"/>
  <c r="F21"/>
  <c r="G20"/>
  <c r="C20"/>
  <c r="D19"/>
  <c r="E18"/>
  <c r="F17"/>
  <c r="G16"/>
  <c r="C16"/>
  <c r="D15"/>
  <c r="E14"/>
  <c r="F13"/>
  <c r="G12"/>
  <c r="C12"/>
  <c r="D11"/>
  <c r="E10"/>
  <c r="F9"/>
  <c r="G8"/>
  <c r="C8"/>
  <c r="E31" i="89"/>
  <c r="G29"/>
  <c r="C29"/>
  <c r="D28"/>
  <c r="E27"/>
  <c r="F26"/>
  <c r="G25"/>
  <c r="C25"/>
  <c r="D24"/>
  <c r="E23"/>
  <c r="F22"/>
  <c r="G21"/>
  <c r="C21"/>
  <c r="D20"/>
  <c r="E19"/>
  <c r="F18"/>
  <c r="D16"/>
  <c r="E15"/>
  <c r="F14"/>
  <c r="G13"/>
  <c r="C13"/>
  <c r="D12"/>
  <c r="E11"/>
  <c r="F10"/>
  <c r="G9"/>
  <c r="C9"/>
  <c r="H61" i="102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J39" i="99"/>
  <c r="F39"/>
  <c r="L38"/>
  <c r="H38"/>
  <c r="J37"/>
  <c r="F37"/>
  <c r="L36"/>
  <c r="H36"/>
  <c r="J35"/>
  <c r="F35"/>
  <c r="L34"/>
  <c r="H34"/>
  <c r="J33"/>
  <c r="F33"/>
  <c r="L32"/>
  <c r="H32"/>
  <c r="J31"/>
  <c r="F31"/>
  <c r="L30"/>
  <c r="H30"/>
  <c r="J29"/>
  <c r="F29"/>
  <c r="L28"/>
  <c r="H28"/>
  <c r="J27"/>
  <c r="F27"/>
  <c r="L26"/>
  <c r="H26"/>
  <c r="J25"/>
  <c r="F25"/>
  <c r="L24"/>
  <c r="H24"/>
  <c r="J23"/>
  <c r="F23"/>
  <c r="L22"/>
  <c r="H22"/>
  <c r="J21"/>
  <c r="F21"/>
  <c r="L20"/>
  <c r="H20"/>
  <c r="J19"/>
  <c r="F19"/>
  <c r="L18"/>
  <c r="H18"/>
  <c r="J17"/>
  <c r="F17"/>
  <c r="L16"/>
  <c r="H16"/>
  <c r="J15"/>
  <c r="F15"/>
  <c r="L14"/>
  <c r="H14"/>
  <c r="J13"/>
  <c r="F13"/>
  <c r="L12"/>
  <c r="H12"/>
  <c r="J11"/>
  <c r="F11"/>
  <c r="L10"/>
  <c r="H10"/>
  <c r="J9"/>
  <c r="F9"/>
  <c r="L8"/>
  <c r="H8"/>
  <c r="K50" i="95"/>
  <c r="D50"/>
  <c r="F49"/>
  <c r="D48"/>
  <c r="F47"/>
  <c r="D46"/>
  <c r="F45"/>
  <c r="D44"/>
  <c r="F38"/>
  <c r="D37"/>
  <c r="F36"/>
  <c r="D35"/>
  <c r="F34"/>
  <c r="D33"/>
  <c r="F27"/>
  <c r="D26"/>
  <c r="F25"/>
  <c r="D24"/>
  <c r="F23"/>
  <c r="D22"/>
  <c r="F21"/>
  <c r="D14"/>
  <c r="F13"/>
  <c r="D12"/>
  <c r="F11"/>
  <c r="D10"/>
  <c r="F9"/>
  <c r="D8"/>
  <c r="E39" i="93"/>
  <c r="C38"/>
  <c r="E37"/>
  <c r="C35"/>
  <c r="E34"/>
  <c r="C33"/>
  <c r="E31"/>
  <c r="C30"/>
  <c r="E29"/>
  <c r="C27"/>
  <c r="E26"/>
  <c r="C25"/>
  <c r="E23"/>
  <c r="C22"/>
  <c r="E21"/>
  <c r="C19"/>
  <c r="E18"/>
  <c r="C17"/>
  <c r="E14"/>
  <c r="C13"/>
  <c r="E11"/>
  <c r="C10"/>
  <c r="E9"/>
  <c r="F30" i="90"/>
  <c r="G29"/>
  <c r="C29"/>
  <c r="D28"/>
  <c r="E27"/>
  <c r="F26"/>
  <c r="G25"/>
  <c r="C25"/>
  <c r="D24"/>
  <c r="E23"/>
  <c r="F22"/>
  <c r="G21"/>
  <c r="C21"/>
  <c r="D20"/>
  <c r="E19"/>
  <c r="F18"/>
  <c r="G17"/>
  <c r="C17"/>
  <c r="D16"/>
  <c r="E15"/>
  <c r="F14"/>
  <c r="G13"/>
  <c r="C13"/>
  <c r="D12"/>
  <c r="E11"/>
  <c r="F10"/>
  <c r="G9"/>
  <c r="C9"/>
  <c r="D8"/>
  <c r="F31" i="89"/>
  <c r="D29"/>
  <c r="E28"/>
  <c r="F27"/>
  <c r="G26"/>
  <c r="C26"/>
  <c r="D25"/>
  <c r="E24"/>
  <c r="F23"/>
  <c r="G22"/>
  <c r="C22"/>
  <c r="D21"/>
  <c r="E20"/>
  <c r="F19"/>
  <c r="G18"/>
  <c r="C18"/>
  <c r="E16"/>
  <c r="F15"/>
  <c r="G14"/>
  <c r="C14"/>
  <c r="D13"/>
  <c r="E12"/>
  <c r="F11"/>
  <c r="G10"/>
  <c r="C10"/>
  <c r="D9"/>
  <c r="K39" i="99"/>
  <c r="G39"/>
  <c r="M38"/>
  <c r="I38"/>
  <c r="K37"/>
  <c r="G37"/>
  <c r="M36"/>
  <c r="I36"/>
  <c r="K35"/>
  <c r="G35"/>
  <c r="M34"/>
  <c r="I34"/>
  <c r="K33"/>
  <c r="G33"/>
  <c r="M32"/>
  <c r="I32"/>
  <c r="K31"/>
  <c r="G31"/>
  <c r="M30"/>
  <c r="I30"/>
  <c r="K29"/>
  <c r="G29"/>
  <c r="M28"/>
  <c r="I28"/>
  <c r="K27"/>
  <c r="G27"/>
  <c r="M26"/>
  <c r="I26"/>
  <c r="K25"/>
  <c r="G25"/>
  <c r="M24"/>
  <c r="I24"/>
  <c r="K23"/>
  <c r="G23"/>
  <c r="M22"/>
  <c r="I22"/>
  <c r="K21"/>
  <c r="G21"/>
  <c r="M20"/>
  <c r="I20"/>
  <c r="K19"/>
  <c r="G19"/>
  <c r="M18"/>
  <c r="I18"/>
  <c r="K17"/>
  <c r="G17"/>
  <c r="M16"/>
  <c r="I16"/>
  <c r="K15"/>
  <c r="G15"/>
  <c r="M14"/>
  <c r="I14"/>
  <c r="K13"/>
  <c r="G13"/>
  <c r="M12"/>
  <c r="I12"/>
  <c r="K11"/>
  <c r="G11"/>
  <c r="M10"/>
  <c r="I10"/>
  <c r="K9"/>
  <c r="G9"/>
  <c r="M8"/>
  <c r="I8"/>
  <c r="M49" i="95"/>
  <c r="K48"/>
  <c r="M47"/>
  <c r="K46"/>
  <c r="M45"/>
  <c r="K44"/>
  <c r="M38"/>
  <c r="K37"/>
  <c r="M36"/>
  <c r="K35"/>
  <c r="M34"/>
  <c r="K33"/>
  <c r="M27"/>
  <c r="K26"/>
  <c r="M25"/>
  <c r="K24"/>
  <c r="M23"/>
  <c r="K22"/>
  <c r="M21"/>
  <c r="K14"/>
  <c r="M13"/>
  <c r="K12"/>
  <c r="M11"/>
  <c r="K10"/>
  <c r="M9"/>
  <c r="K8"/>
  <c r="L39" i="93"/>
  <c r="J38"/>
  <c r="L37"/>
  <c r="J35"/>
  <c r="L34"/>
  <c r="J33"/>
  <c r="L31"/>
  <c r="J30"/>
  <c r="L29"/>
  <c r="J27"/>
  <c r="L26"/>
  <c r="J25"/>
  <c r="L23"/>
  <c r="J22"/>
  <c r="L21"/>
  <c r="J19"/>
  <c r="L18"/>
  <c r="J17"/>
  <c r="L14"/>
  <c r="J13"/>
  <c r="L11"/>
  <c r="J10"/>
  <c r="L9"/>
  <c r="G30" i="90"/>
  <c r="C30"/>
  <c r="D29"/>
  <c r="E28"/>
  <c r="F27"/>
  <c r="G26"/>
  <c r="C26"/>
  <c r="D25"/>
  <c r="E24"/>
  <c r="F23"/>
  <c r="G22"/>
  <c r="C22"/>
  <c r="D21"/>
  <c r="E20"/>
  <c r="F19"/>
  <c r="G18"/>
  <c r="C18"/>
  <c r="D17"/>
  <c r="E16"/>
  <c r="F15"/>
  <c r="G14"/>
  <c r="C14"/>
  <c r="D13"/>
  <c r="E12"/>
  <c r="F11"/>
  <c r="G10"/>
  <c r="C10"/>
  <c r="D9"/>
  <c r="E8"/>
  <c r="G31" i="89"/>
  <c r="C31"/>
  <c r="E29"/>
  <c r="F28"/>
  <c r="G27"/>
  <c r="C27"/>
  <c r="D26"/>
  <c r="E25"/>
  <c r="F24"/>
  <c r="G23"/>
  <c r="C23"/>
  <c r="D22"/>
  <c r="E21"/>
  <c r="F20"/>
  <c r="G19"/>
  <c r="C19"/>
  <c r="D18"/>
  <c r="F16"/>
  <c r="G15"/>
  <c r="C15"/>
  <c r="D14"/>
  <c r="E13"/>
  <c r="F12"/>
  <c r="G11"/>
  <c r="C11"/>
  <c r="D10"/>
  <c r="E9"/>
  <c r="D9" i="85"/>
  <c r="C11" i="81"/>
  <c r="E31" i="79"/>
  <c r="J29"/>
  <c r="L28"/>
  <c r="J27"/>
  <c r="L26"/>
  <c r="J24"/>
  <c r="L18"/>
  <c r="J16"/>
  <c r="L15"/>
  <c r="J14"/>
  <c r="L13"/>
  <c r="J12"/>
  <c r="L10"/>
  <c r="C25" i="77"/>
  <c r="E22"/>
  <c r="C19"/>
  <c r="E17"/>
  <c r="C14"/>
  <c r="E11"/>
  <c r="C9"/>
  <c r="E31" i="75"/>
  <c r="J29"/>
  <c r="L28"/>
  <c r="J27"/>
  <c r="L26"/>
  <c r="J24"/>
  <c r="L18"/>
  <c r="J16"/>
  <c r="L15"/>
  <c r="J14"/>
  <c r="L13"/>
  <c r="J12"/>
  <c r="L10"/>
  <c r="C27" i="73"/>
  <c r="E25"/>
  <c r="C22"/>
  <c r="E19"/>
  <c r="C17"/>
  <c r="E14"/>
  <c r="C11"/>
  <c r="E9"/>
  <c r="C71" i="70"/>
  <c r="C70"/>
  <c r="C69"/>
  <c r="C68"/>
  <c r="C67"/>
  <c r="C66"/>
  <c r="C65"/>
  <c r="C64"/>
  <c r="C63"/>
  <c r="C62"/>
  <c r="C61"/>
  <c r="C60"/>
  <c r="C45"/>
  <c r="C44"/>
  <c r="C43"/>
  <c r="C42"/>
  <c r="C41"/>
  <c r="C40"/>
  <c r="C39"/>
  <c r="C38"/>
  <c r="C37"/>
  <c r="C36"/>
  <c r="C35"/>
  <c r="C34"/>
  <c r="D10" i="66"/>
  <c r="C9"/>
  <c r="G68" i="63"/>
  <c r="J67"/>
  <c r="E67"/>
  <c r="G66"/>
  <c r="J65"/>
  <c r="E65"/>
  <c r="G64"/>
  <c r="J63"/>
  <c r="E63"/>
  <c r="G62"/>
  <c r="J61"/>
  <c r="E61"/>
  <c r="G60"/>
  <c r="J59"/>
  <c r="E59"/>
  <c r="G58"/>
  <c r="J57"/>
  <c r="E57"/>
  <c r="J55"/>
  <c r="E55"/>
  <c r="G54"/>
  <c r="J53"/>
  <c r="E53"/>
  <c r="G52"/>
  <c r="J51"/>
  <c r="E51"/>
  <c r="G50"/>
  <c r="J49"/>
  <c r="E49"/>
  <c r="G48"/>
  <c r="J47"/>
  <c r="E47"/>
  <c r="G46"/>
  <c r="J45"/>
  <c r="E45"/>
  <c r="G44"/>
  <c r="G42"/>
  <c r="J41"/>
  <c r="E41"/>
  <c r="G40"/>
  <c r="J39"/>
  <c r="E39"/>
  <c r="G38"/>
  <c r="J37"/>
  <c r="E37"/>
  <c r="G36"/>
  <c r="J35"/>
  <c r="E35"/>
  <c r="G34"/>
  <c r="J33"/>
  <c r="E33"/>
  <c r="G32"/>
  <c r="J31"/>
  <c r="E31"/>
  <c r="J29"/>
  <c r="E29"/>
  <c r="G28"/>
  <c r="J27"/>
  <c r="E27"/>
  <c r="G26"/>
  <c r="J25"/>
  <c r="E25"/>
  <c r="G24"/>
  <c r="J23"/>
  <c r="E23"/>
  <c r="G22"/>
  <c r="J21"/>
  <c r="E21"/>
  <c r="G20"/>
  <c r="J19"/>
  <c r="E19"/>
  <c r="G18"/>
  <c r="G16"/>
  <c r="J15"/>
  <c r="E15"/>
  <c r="G14"/>
  <c r="J13"/>
  <c r="E13"/>
  <c r="G12"/>
  <c r="J11"/>
  <c r="E11"/>
  <c r="G10"/>
  <c r="J9"/>
  <c r="E9"/>
  <c r="G8"/>
  <c r="J7"/>
  <c r="E7"/>
  <c r="G6"/>
  <c r="J5"/>
  <c r="E5"/>
  <c r="G70" i="62"/>
  <c r="H69"/>
  <c r="I68"/>
  <c r="D68"/>
  <c r="F67"/>
  <c r="G66"/>
  <c r="H65"/>
  <c r="I64"/>
  <c r="D64"/>
  <c r="F63"/>
  <c r="G62"/>
  <c r="H61"/>
  <c r="I60"/>
  <c r="D60"/>
  <c r="F59"/>
  <c r="G58"/>
  <c r="H57"/>
  <c r="I56"/>
  <c r="D56"/>
  <c r="F55"/>
  <c r="G54"/>
  <c r="H53"/>
  <c r="I52"/>
  <c r="D52"/>
  <c r="F51"/>
  <c r="G50"/>
  <c r="H49"/>
  <c r="I48"/>
  <c r="D48"/>
  <c r="F47"/>
  <c r="G46"/>
  <c r="H45"/>
  <c r="I44"/>
  <c r="F43"/>
  <c r="G42"/>
  <c r="H41"/>
  <c r="I40"/>
  <c r="D40"/>
  <c r="F39"/>
  <c r="G38"/>
  <c r="H37"/>
  <c r="I36"/>
  <c r="D36"/>
  <c r="F35"/>
  <c r="G34"/>
  <c r="H33"/>
  <c r="I32"/>
  <c r="D32"/>
  <c r="G30"/>
  <c r="H29"/>
  <c r="I28"/>
  <c r="D28"/>
  <c r="F27"/>
  <c r="G26"/>
  <c r="H25"/>
  <c r="I24"/>
  <c r="D24"/>
  <c r="F23"/>
  <c r="G22"/>
  <c r="H21"/>
  <c r="I20"/>
  <c r="D20"/>
  <c r="F19"/>
  <c r="G18"/>
  <c r="H17"/>
  <c r="I16"/>
  <c r="D16"/>
  <c r="F15"/>
  <c r="G14"/>
  <c r="H13"/>
  <c r="I12"/>
  <c r="D12"/>
  <c r="F11"/>
  <c r="G10"/>
  <c r="H9"/>
  <c r="I8"/>
  <c r="D8"/>
  <c r="F7"/>
  <c r="G6"/>
  <c r="C58" i="59"/>
  <c r="C54"/>
  <c r="C50"/>
  <c r="D11" i="55"/>
  <c r="C10"/>
  <c r="C11" i="85"/>
  <c r="D11" i="81"/>
  <c r="C10"/>
  <c r="L32" i="79"/>
  <c r="J30"/>
  <c r="E29"/>
  <c r="C28"/>
  <c r="E27"/>
  <c r="C26"/>
  <c r="E24"/>
  <c r="C18"/>
  <c r="E16"/>
  <c r="C15"/>
  <c r="E14"/>
  <c r="C13"/>
  <c r="E12"/>
  <c r="C10"/>
  <c r="C26" i="77"/>
  <c r="E23"/>
  <c r="C21"/>
  <c r="E18"/>
  <c r="C15"/>
  <c r="E13"/>
  <c r="C10"/>
  <c r="L32" i="75"/>
  <c r="J30"/>
  <c r="E29"/>
  <c r="C28"/>
  <c r="E27"/>
  <c r="C26"/>
  <c r="E24"/>
  <c r="C18"/>
  <c r="E16"/>
  <c r="C15"/>
  <c r="E14"/>
  <c r="C13"/>
  <c r="E12"/>
  <c r="C10"/>
  <c r="E26" i="73"/>
  <c r="C23"/>
  <c r="E21"/>
  <c r="C18"/>
  <c r="E15"/>
  <c r="C13"/>
  <c r="E10"/>
  <c r="C19" i="70"/>
  <c r="C18"/>
  <c r="C17"/>
  <c r="C16"/>
  <c r="C15"/>
  <c r="C14"/>
  <c r="C13"/>
  <c r="C12"/>
  <c r="C11"/>
  <c r="C10"/>
  <c r="C9"/>
  <c r="C8"/>
  <c r="D9" i="66"/>
  <c r="H68" i="63"/>
  <c r="D68"/>
  <c r="F67"/>
  <c r="H66"/>
  <c r="D66"/>
  <c r="F65"/>
  <c r="H64"/>
  <c r="D64"/>
  <c r="F63"/>
  <c r="H62"/>
  <c r="D62"/>
  <c r="F61"/>
  <c r="H60"/>
  <c r="D60"/>
  <c r="F59"/>
  <c r="H58"/>
  <c r="D58"/>
  <c r="F57"/>
  <c r="F55"/>
  <c r="H54"/>
  <c r="D54"/>
  <c r="F53"/>
  <c r="H52"/>
  <c r="D52"/>
  <c r="F51"/>
  <c r="H50"/>
  <c r="D50"/>
  <c r="F49"/>
  <c r="H48"/>
  <c r="D48"/>
  <c r="F47"/>
  <c r="H46"/>
  <c r="D46"/>
  <c r="F45"/>
  <c r="H44"/>
  <c r="D44"/>
  <c r="H42"/>
  <c r="D42"/>
  <c r="F41"/>
  <c r="H40"/>
  <c r="D40"/>
  <c r="F39"/>
  <c r="H38"/>
  <c r="D38"/>
  <c r="F37"/>
  <c r="H36"/>
  <c r="D36"/>
  <c r="F35"/>
  <c r="H34"/>
  <c r="D34"/>
  <c r="F33"/>
  <c r="H32"/>
  <c r="D32"/>
  <c r="F31"/>
  <c r="F29"/>
  <c r="H28"/>
  <c r="D28"/>
  <c r="F27"/>
  <c r="H26"/>
  <c r="D26"/>
  <c r="F25"/>
  <c r="H24"/>
  <c r="D24"/>
  <c r="F23"/>
  <c r="H22"/>
  <c r="D22"/>
  <c r="F21"/>
  <c r="H20"/>
  <c r="D20"/>
  <c r="F19"/>
  <c r="H18"/>
  <c r="D18"/>
  <c r="H16"/>
  <c r="D16"/>
  <c r="F15"/>
  <c r="H14"/>
  <c r="D14"/>
  <c r="F13"/>
  <c r="H12"/>
  <c r="D12"/>
  <c r="F11"/>
  <c r="H10"/>
  <c r="D10"/>
  <c r="F9"/>
  <c r="H8"/>
  <c r="D8"/>
  <c r="F7"/>
  <c r="H6"/>
  <c r="D6"/>
  <c r="F5"/>
  <c r="H70" i="62"/>
  <c r="I69"/>
  <c r="D11" i="85"/>
  <c r="C10"/>
  <c r="H32" i="83"/>
  <c r="D10" i="81"/>
  <c r="C9"/>
  <c r="C31" i="79"/>
  <c r="L29"/>
  <c r="J28"/>
  <c r="L27"/>
  <c r="J26"/>
  <c r="L24"/>
  <c r="J18"/>
  <c r="L16"/>
  <c r="J15"/>
  <c r="L14"/>
  <c r="J13"/>
  <c r="L12"/>
  <c r="J10"/>
  <c r="E25" i="77"/>
  <c r="C22"/>
  <c r="E19"/>
  <c r="C17"/>
  <c r="E14"/>
  <c r="C11"/>
  <c r="E9"/>
  <c r="C31" i="75"/>
  <c r="L29"/>
  <c r="J28"/>
  <c r="L27"/>
  <c r="J26"/>
  <c r="L24"/>
  <c r="J18"/>
  <c r="L16"/>
  <c r="J15"/>
  <c r="L14"/>
  <c r="J13"/>
  <c r="L12"/>
  <c r="J10"/>
  <c r="E27" i="73"/>
  <c r="C25"/>
  <c r="E22"/>
  <c r="C19"/>
  <c r="E17"/>
  <c r="C14"/>
  <c r="E11"/>
  <c r="C9"/>
  <c r="C58" i="70"/>
  <c r="C57"/>
  <c r="C56"/>
  <c r="C55"/>
  <c r="C54"/>
  <c r="C53"/>
  <c r="C52"/>
  <c r="C51"/>
  <c r="C50"/>
  <c r="C49"/>
  <c r="C48"/>
  <c r="C47"/>
  <c r="C32"/>
  <c r="C31"/>
  <c r="C30"/>
  <c r="C29"/>
  <c r="C28"/>
  <c r="C27"/>
  <c r="C26"/>
  <c r="C25"/>
  <c r="C24"/>
  <c r="C23"/>
  <c r="C22"/>
  <c r="C21"/>
  <c r="C11" i="66"/>
  <c r="J68" i="63"/>
  <c r="E68"/>
  <c r="G67"/>
  <c r="J66"/>
  <c r="E66"/>
  <c r="G65"/>
  <c r="J64"/>
  <c r="E64"/>
  <c r="G63"/>
  <c r="J62"/>
  <c r="E62"/>
  <c r="G61"/>
  <c r="J60"/>
  <c r="E60"/>
  <c r="G59"/>
  <c r="J58"/>
  <c r="E58"/>
  <c r="G57"/>
  <c r="G55"/>
  <c r="J54"/>
  <c r="E54"/>
  <c r="G53"/>
  <c r="J52"/>
  <c r="E52"/>
  <c r="G51"/>
  <c r="J50"/>
  <c r="E50"/>
  <c r="G49"/>
  <c r="J48"/>
  <c r="E48"/>
  <c r="G47"/>
  <c r="J46"/>
  <c r="E46"/>
  <c r="G45"/>
  <c r="J44"/>
  <c r="E44"/>
  <c r="J42"/>
  <c r="E42"/>
  <c r="G41"/>
  <c r="J40"/>
  <c r="E40"/>
  <c r="G39"/>
  <c r="J38"/>
  <c r="E38"/>
  <c r="G37"/>
  <c r="J36"/>
  <c r="E36"/>
  <c r="G35"/>
  <c r="J34"/>
  <c r="E34"/>
  <c r="G33"/>
  <c r="J32"/>
  <c r="E32"/>
  <c r="G31"/>
  <c r="G29"/>
  <c r="J28"/>
  <c r="E28"/>
  <c r="G27"/>
  <c r="J26"/>
  <c r="E26"/>
  <c r="G25"/>
  <c r="J24"/>
  <c r="E24"/>
  <c r="G23"/>
  <c r="J22"/>
  <c r="E22"/>
  <c r="G21"/>
  <c r="J20"/>
  <c r="E20"/>
  <c r="G19"/>
  <c r="J18"/>
  <c r="E18"/>
  <c r="J16"/>
  <c r="E16"/>
  <c r="G15"/>
  <c r="J14"/>
  <c r="E14"/>
  <c r="G13"/>
  <c r="J12"/>
  <c r="E12"/>
  <c r="G11"/>
  <c r="J10"/>
  <c r="E10"/>
  <c r="G9"/>
  <c r="J8"/>
  <c r="E8"/>
  <c r="G7"/>
  <c r="J6"/>
  <c r="E6"/>
  <c r="G5"/>
  <c r="I70" i="62"/>
  <c r="D10" i="85"/>
  <c r="C9"/>
  <c r="I32" i="83"/>
  <c r="D9" i="81"/>
  <c r="J32" i="79"/>
  <c r="L30"/>
  <c r="C29"/>
  <c r="E28"/>
  <c r="C27"/>
  <c r="E26"/>
  <c r="C24"/>
  <c r="E18"/>
  <c r="C16"/>
  <c r="E15"/>
  <c r="C14"/>
  <c r="E13"/>
  <c r="C12"/>
  <c r="E10"/>
  <c r="E26" i="77"/>
  <c r="C23"/>
  <c r="E21"/>
  <c r="C18"/>
  <c r="E15"/>
  <c r="C13"/>
  <c r="E10"/>
  <c r="J32" i="75"/>
  <c r="L30"/>
  <c r="C29"/>
  <c r="E28"/>
  <c r="C27"/>
  <c r="E26"/>
  <c r="C24"/>
  <c r="E18"/>
  <c r="C16"/>
  <c r="E15"/>
  <c r="C14"/>
  <c r="E13"/>
  <c r="C12"/>
  <c r="E10"/>
  <c r="C26" i="73"/>
  <c r="E23"/>
  <c r="C21"/>
  <c r="E18"/>
  <c r="C15"/>
  <c r="E13"/>
  <c r="C10"/>
  <c r="D11" i="66"/>
  <c r="C10"/>
  <c r="F68" i="63"/>
  <c r="H67"/>
  <c r="D67"/>
  <c r="F66"/>
  <c r="H65"/>
  <c r="D65"/>
  <c r="F64"/>
  <c r="H63"/>
  <c r="D63"/>
  <c r="F62"/>
  <c r="H61"/>
  <c r="D61"/>
  <c r="F60"/>
  <c r="H59"/>
  <c r="D59"/>
  <c r="F58"/>
  <c r="H57"/>
  <c r="D57"/>
  <c r="H55"/>
  <c r="D55"/>
  <c r="F54"/>
  <c r="H53"/>
  <c r="D53"/>
  <c r="F52"/>
  <c r="H51"/>
  <c r="D51"/>
  <c r="F50"/>
  <c r="H49"/>
  <c r="D49"/>
  <c r="F48"/>
  <c r="H47"/>
  <c r="D47"/>
  <c r="F46"/>
  <c r="H45"/>
  <c r="D45"/>
  <c r="F44"/>
  <c r="F42"/>
  <c r="H41"/>
  <c r="D41"/>
  <c r="F40"/>
  <c r="H39"/>
  <c r="D39"/>
  <c r="F38"/>
  <c r="H37"/>
  <c r="D37"/>
  <c r="F36"/>
  <c r="H35"/>
  <c r="D35"/>
  <c r="F34"/>
  <c r="H33"/>
  <c r="D33"/>
  <c r="F32"/>
  <c r="H31"/>
  <c r="D31"/>
  <c r="H29"/>
  <c r="D29"/>
  <c r="F28"/>
  <c r="H27"/>
  <c r="D27"/>
  <c r="F26"/>
  <c r="H25"/>
  <c r="D25"/>
  <c r="F24"/>
  <c r="H23"/>
  <c r="D23"/>
  <c r="F22"/>
  <c r="H21"/>
  <c r="D21"/>
  <c r="F20"/>
  <c r="H19"/>
  <c r="D19"/>
  <c r="F18"/>
  <c r="F16"/>
  <c r="H15"/>
  <c r="D15"/>
  <c r="F14"/>
  <c r="H13"/>
  <c r="D13"/>
  <c r="F12"/>
  <c r="H11"/>
  <c r="D11"/>
  <c r="F10"/>
  <c r="H9"/>
  <c r="D9"/>
  <c r="F8"/>
  <c r="H7"/>
  <c r="D7"/>
  <c r="F6"/>
  <c r="H5"/>
  <c r="D5"/>
  <c r="G69" i="62"/>
  <c r="H68"/>
  <c r="I67"/>
  <c r="D67"/>
  <c r="F66"/>
  <c r="G65"/>
  <c r="H64"/>
  <c r="I63"/>
  <c r="D63"/>
  <c r="F62"/>
  <c r="G61"/>
  <c r="H60"/>
  <c r="I59"/>
  <c r="D59"/>
  <c r="F58"/>
  <c r="G57"/>
  <c r="H56"/>
  <c r="I55"/>
  <c r="D55"/>
  <c r="F54"/>
  <c r="G53"/>
  <c r="H52"/>
  <c r="I51"/>
  <c r="D51"/>
  <c r="F50"/>
  <c r="G49"/>
  <c r="H48"/>
  <c r="I47"/>
  <c r="D47"/>
  <c r="F46"/>
  <c r="G45"/>
  <c r="H44"/>
  <c r="I43"/>
  <c r="D43"/>
  <c r="F42"/>
  <c r="G41"/>
  <c r="H40"/>
  <c r="I39"/>
  <c r="D39"/>
  <c r="F38"/>
  <c r="G37"/>
  <c r="H36"/>
  <c r="I35"/>
  <c r="D35"/>
  <c r="F34"/>
  <c r="G33"/>
  <c r="H32"/>
  <c r="I31"/>
  <c r="F30"/>
  <c r="G29"/>
  <c r="H28"/>
  <c r="I27"/>
  <c r="D27"/>
  <c r="F26"/>
  <c r="G25"/>
  <c r="H24"/>
  <c r="I23"/>
  <c r="D23"/>
  <c r="F22"/>
  <c r="G21"/>
  <c r="H20"/>
  <c r="I19"/>
  <c r="D19"/>
  <c r="G17"/>
  <c r="H16"/>
  <c r="I15"/>
  <c r="D15"/>
  <c r="F14"/>
  <c r="G13"/>
  <c r="H12"/>
  <c r="I11"/>
  <c r="D11"/>
  <c r="F10"/>
  <c r="G9"/>
  <c r="H8"/>
  <c r="I7"/>
  <c r="D7"/>
  <c r="F6"/>
  <c r="C71" i="59"/>
  <c r="C69"/>
  <c r="C67"/>
  <c r="C65"/>
  <c r="C63"/>
  <c r="C61"/>
  <c r="C55"/>
  <c r="C51"/>
  <c r="C47"/>
  <c r="C32"/>
  <c r="C31"/>
  <c r="C30"/>
  <c r="C29"/>
  <c r="C28"/>
  <c r="C27"/>
  <c r="C26"/>
  <c r="C25"/>
  <c r="C24"/>
  <c r="C23"/>
  <c r="C22"/>
  <c r="C21"/>
  <c r="C11" i="55"/>
  <c r="F68" i="62"/>
  <c r="H66"/>
  <c r="D65"/>
  <c r="G63"/>
  <c r="I61"/>
  <c r="F60"/>
  <c r="H58"/>
  <c r="G55"/>
  <c r="I53"/>
  <c r="F52"/>
  <c r="H50"/>
  <c r="D49"/>
  <c r="G47"/>
  <c r="I45"/>
  <c r="I42"/>
  <c r="F41"/>
  <c r="H39"/>
  <c r="D38"/>
  <c r="G36"/>
  <c r="I34"/>
  <c r="F33"/>
  <c r="H31"/>
  <c r="I30"/>
  <c r="F29"/>
  <c r="H27"/>
  <c r="D26"/>
  <c r="G24"/>
  <c r="I22"/>
  <c r="F21"/>
  <c r="H19"/>
  <c r="D17"/>
  <c r="G15"/>
  <c r="I13"/>
  <c r="F12"/>
  <c r="H10"/>
  <c r="D9"/>
  <c r="G7"/>
  <c r="C52" i="59"/>
  <c r="C45"/>
  <c r="C43"/>
  <c r="C41"/>
  <c r="C39"/>
  <c r="C37"/>
  <c r="C35"/>
  <c r="J68" i="52"/>
  <c r="E68"/>
  <c r="G67"/>
  <c r="J66"/>
  <c r="E66"/>
  <c r="G65"/>
  <c r="J64"/>
  <c r="E64"/>
  <c r="G63"/>
  <c r="J62"/>
  <c r="E62"/>
  <c r="G61"/>
  <c r="J60"/>
  <c r="E60"/>
  <c r="G59"/>
  <c r="J58"/>
  <c r="E58"/>
  <c r="G57"/>
  <c r="G55"/>
  <c r="J54"/>
  <c r="E54"/>
  <c r="G53"/>
  <c r="J52"/>
  <c r="E52"/>
  <c r="G51"/>
  <c r="J50"/>
  <c r="E50"/>
  <c r="G49"/>
  <c r="J48"/>
  <c r="E48"/>
  <c r="G47"/>
  <c r="J46"/>
  <c r="E46"/>
  <c r="G45"/>
  <c r="J44"/>
  <c r="E44"/>
  <c r="J42"/>
  <c r="E42"/>
  <c r="G41"/>
  <c r="J40"/>
  <c r="E40"/>
  <c r="G39"/>
  <c r="J38"/>
  <c r="E38"/>
  <c r="G37"/>
  <c r="J36"/>
  <c r="E36"/>
  <c r="G35"/>
  <c r="J34"/>
  <c r="E34"/>
  <c r="G33"/>
  <c r="J32"/>
  <c r="E32"/>
  <c r="G31"/>
  <c r="G29"/>
  <c r="J28"/>
  <c r="E28"/>
  <c r="G27"/>
  <c r="J26"/>
  <c r="E26"/>
  <c r="G25"/>
  <c r="J24"/>
  <c r="E24"/>
  <c r="G23"/>
  <c r="J22"/>
  <c r="E22"/>
  <c r="G21"/>
  <c r="J20"/>
  <c r="E20"/>
  <c r="G19"/>
  <c r="J18"/>
  <c r="E18"/>
  <c r="J16"/>
  <c r="E16"/>
  <c r="G15"/>
  <c r="J14"/>
  <c r="E14"/>
  <c r="G13"/>
  <c r="J12"/>
  <c r="E12"/>
  <c r="G11"/>
  <c r="J10"/>
  <c r="E10"/>
  <c r="G9"/>
  <c r="J8"/>
  <c r="E8"/>
  <c r="G7"/>
  <c r="J6"/>
  <c r="E6"/>
  <c r="G5"/>
  <c r="G18" i="51"/>
  <c r="H70" i="50"/>
  <c r="I69"/>
  <c r="D69"/>
  <c r="F68"/>
  <c r="G67"/>
  <c r="H66"/>
  <c r="I65"/>
  <c r="D65"/>
  <c r="F64"/>
  <c r="G63"/>
  <c r="H62"/>
  <c r="I61"/>
  <c r="D61"/>
  <c r="F60"/>
  <c r="G68" i="62"/>
  <c r="I66"/>
  <c r="F65"/>
  <c r="H63"/>
  <c r="D62"/>
  <c r="G60"/>
  <c r="I58"/>
  <c r="H55"/>
  <c r="D54"/>
  <c r="G52"/>
  <c r="I50"/>
  <c r="F49"/>
  <c r="H47"/>
  <c r="D46"/>
  <c r="G44"/>
  <c r="G43"/>
  <c r="I41"/>
  <c r="F40"/>
  <c r="H38"/>
  <c r="D37"/>
  <c r="G35"/>
  <c r="I33"/>
  <c r="F32"/>
  <c r="I29"/>
  <c r="F28"/>
  <c r="H26"/>
  <c r="D25"/>
  <c r="G23"/>
  <c r="I21"/>
  <c r="F20"/>
  <c r="H18"/>
  <c r="F17"/>
  <c r="H15"/>
  <c r="D14"/>
  <c r="G12"/>
  <c r="I10"/>
  <c r="F9"/>
  <c r="H7"/>
  <c r="D6"/>
  <c r="C70" i="59"/>
  <c r="C66"/>
  <c r="C62"/>
  <c r="C53"/>
  <c r="C18"/>
  <c r="C16"/>
  <c r="C14"/>
  <c r="C12"/>
  <c r="C10"/>
  <c r="C8"/>
  <c r="C9" i="55"/>
  <c r="F68" i="52"/>
  <c r="H67"/>
  <c r="D67"/>
  <c r="F66"/>
  <c r="H65"/>
  <c r="D65"/>
  <c r="F64"/>
  <c r="H63"/>
  <c r="D63"/>
  <c r="F62"/>
  <c r="H61"/>
  <c r="D61"/>
  <c r="F60"/>
  <c r="H59"/>
  <c r="D59"/>
  <c r="F58"/>
  <c r="H57"/>
  <c r="D57"/>
  <c r="H55"/>
  <c r="D55"/>
  <c r="F54"/>
  <c r="H53"/>
  <c r="D53"/>
  <c r="F52"/>
  <c r="H51"/>
  <c r="D51"/>
  <c r="F50"/>
  <c r="H49"/>
  <c r="D49"/>
  <c r="F48"/>
  <c r="H47"/>
  <c r="D47"/>
  <c r="F46"/>
  <c r="H45"/>
  <c r="D45"/>
  <c r="F44"/>
  <c r="F42"/>
  <c r="H41"/>
  <c r="D41"/>
  <c r="F40"/>
  <c r="H39"/>
  <c r="D39"/>
  <c r="F38"/>
  <c r="H37"/>
  <c r="D37"/>
  <c r="F36"/>
  <c r="H35"/>
  <c r="D35"/>
  <c r="F34"/>
  <c r="H33"/>
  <c r="D33"/>
  <c r="F32"/>
  <c r="H31"/>
  <c r="D31"/>
  <c r="H29"/>
  <c r="D29"/>
  <c r="F28"/>
  <c r="H27"/>
  <c r="D27"/>
  <c r="F26"/>
  <c r="H25"/>
  <c r="D25"/>
  <c r="F24"/>
  <c r="H23"/>
  <c r="D23"/>
  <c r="F22"/>
  <c r="H21"/>
  <c r="D21"/>
  <c r="F20"/>
  <c r="H19"/>
  <c r="D19"/>
  <c r="F18"/>
  <c r="F16"/>
  <c r="H15"/>
  <c r="D15"/>
  <c r="F14"/>
  <c r="H13"/>
  <c r="D13"/>
  <c r="F12"/>
  <c r="H11"/>
  <c r="D11"/>
  <c r="F10"/>
  <c r="H9"/>
  <c r="D9"/>
  <c r="F8"/>
  <c r="H7"/>
  <c r="D7"/>
  <c r="F6"/>
  <c r="H5"/>
  <c r="D5"/>
  <c r="H18" i="51"/>
  <c r="I70" i="50"/>
  <c r="F69"/>
  <c r="G68"/>
  <c r="H67"/>
  <c r="I66"/>
  <c r="D66"/>
  <c r="F65"/>
  <c r="G64"/>
  <c r="H63"/>
  <c r="I62"/>
  <c r="D62"/>
  <c r="F61"/>
  <c r="G60"/>
  <c r="D69" i="62"/>
  <c r="G67"/>
  <c r="I65"/>
  <c r="F64"/>
  <c r="H62"/>
  <c r="D61"/>
  <c r="G59"/>
  <c r="I57"/>
  <c r="F56"/>
  <c r="H54"/>
  <c r="D53"/>
  <c r="G51"/>
  <c r="I49"/>
  <c r="F48"/>
  <c r="H46"/>
  <c r="D45"/>
  <c r="H43"/>
  <c r="D42"/>
  <c r="G40"/>
  <c r="I38"/>
  <c r="F37"/>
  <c r="H35"/>
  <c r="D34"/>
  <c r="G32"/>
  <c r="D30"/>
  <c r="G28"/>
  <c r="I26"/>
  <c r="F25"/>
  <c r="H23"/>
  <c r="D22"/>
  <c r="G20"/>
  <c r="I18"/>
  <c r="I17"/>
  <c r="F16"/>
  <c r="H14"/>
  <c r="D13"/>
  <c r="G11"/>
  <c r="I9"/>
  <c r="F8"/>
  <c r="H6"/>
  <c r="C56" i="59"/>
  <c r="C48"/>
  <c r="C44"/>
  <c r="C42"/>
  <c r="C40"/>
  <c r="C38"/>
  <c r="C36"/>
  <c r="C34"/>
  <c r="D9" i="55"/>
  <c r="G68" i="52"/>
  <c r="J67"/>
  <c r="E67"/>
  <c r="G66"/>
  <c r="J65"/>
  <c r="E65"/>
  <c r="G64"/>
  <c r="J63"/>
  <c r="E63"/>
  <c r="G62"/>
  <c r="J61"/>
  <c r="E61"/>
  <c r="G60"/>
  <c r="J59"/>
  <c r="E59"/>
  <c r="G58"/>
  <c r="J57"/>
  <c r="E57"/>
  <c r="J55"/>
  <c r="E55"/>
  <c r="G54"/>
  <c r="J53"/>
  <c r="E53"/>
  <c r="G52"/>
  <c r="J51"/>
  <c r="E51"/>
  <c r="G50"/>
  <c r="J49"/>
  <c r="E49"/>
  <c r="G48"/>
  <c r="J47"/>
  <c r="E47"/>
  <c r="G46"/>
  <c r="J45"/>
  <c r="E45"/>
  <c r="G44"/>
  <c r="G42"/>
  <c r="J41"/>
  <c r="E41"/>
  <c r="G40"/>
  <c r="J39"/>
  <c r="E39"/>
  <c r="G38"/>
  <c r="J37"/>
  <c r="E37"/>
  <c r="G36"/>
  <c r="J35"/>
  <c r="E35"/>
  <c r="G34"/>
  <c r="J33"/>
  <c r="E33"/>
  <c r="G32"/>
  <c r="J31"/>
  <c r="E31"/>
  <c r="J29"/>
  <c r="E29"/>
  <c r="G28"/>
  <c r="J27"/>
  <c r="E27"/>
  <c r="G26"/>
  <c r="J25"/>
  <c r="E25"/>
  <c r="G24"/>
  <c r="J23"/>
  <c r="E23"/>
  <c r="G22"/>
  <c r="J21"/>
  <c r="E21"/>
  <c r="G20"/>
  <c r="J19"/>
  <c r="E19"/>
  <c r="G18"/>
  <c r="G16"/>
  <c r="J15"/>
  <c r="E15"/>
  <c r="G14"/>
  <c r="J13"/>
  <c r="E13"/>
  <c r="G12"/>
  <c r="J11"/>
  <c r="E11"/>
  <c r="G10"/>
  <c r="J9"/>
  <c r="E9"/>
  <c r="G8"/>
  <c r="J7"/>
  <c r="E7"/>
  <c r="G6"/>
  <c r="J5"/>
  <c r="E5"/>
  <c r="I18" i="51"/>
  <c r="G69" i="50"/>
  <c r="H68"/>
  <c r="I67"/>
  <c r="D67"/>
  <c r="F66"/>
  <c r="G65"/>
  <c r="H64"/>
  <c r="I63"/>
  <c r="D63"/>
  <c r="F62"/>
  <c r="G61"/>
  <c r="H60"/>
  <c r="I59"/>
  <c r="D59"/>
  <c r="F58"/>
  <c r="G57"/>
  <c r="H56"/>
  <c r="I55"/>
  <c r="D55"/>
  <c r="F54"/>
  <c r="G53"/>
  <c r="H52"/>
  <c r="I51"/>
  <c r="D51"/>
  <c r="F50"/>
  <c r="G49"/>
  <c r="H48"/>
  <c r="I47"/>
  <c r="D47"/>
  <c r="F46"/>
  <c r="G45"/>
  <c r="H44"/>
  <c r="I43"/>
  <c r="D43"/>
  <c r="F42"/>
  <c r="G41"/>
  <c r="H40"/>
  <c r="I39"/>
  <c r="D39"/>
  <c r="F38"/>
  <c r="G37"/>
  <c r="H36"/>
  <c r="I35"/>
  <c r="D35"/>
  <c r="F34"/>
  <c r="G33"/>
  <c r="H32"/>
  <c r="I31"/>
  <c r="F30"/>
  <c r="G29"/>
  <c r="H28"/>
  <c r="I27"/>
  <c r="D27"/>
  <c r="F26"/>
  <c r="G25"/>
  <c r="H24"/>
  <c r="I23"/>
  <c r="D23"/>
  <c r="F22"/>
  <c r="G21"/>
  <c r="H20"/>
  <c r="I19"/>
  <c r="D19"/>
  <c r="G17"/>
  <c r="H16"/>
  <c r="I15"/>
  <c r="D15"/>
  <c r="F14"/>
  <c r="G13"/>
  <c r="H12"/>
  <c r="I11"/>
  <c r="D11"/>
  <c r="F10"/>
  <c r="H9"/>
  <c r="D9"/>
  <c r="F8"/>
  <c r="H7"/>
  <c r="D7"/>
  <c r="F6"/>
  <c r="C72" i="47"/>
  <c r="C58"/>
  <c r="C54"/>
  <c r="C50"/>
  <c r="C46"/>
  <c r="F69" i="62"/>
  <c r="H67"/>
  <c r="D66"/>
  <c r="G64"/>
  <c r="I62"/>
  <c r="F61"/>
  <c r="H59"/>
  <c r="D58"/>
  <c r="G56"/>
  <c r="I54"/>
  <c r="F53"/>
  <c r="H51"/>
  <c r="D50"/>
  <c r="G48"/>
  <c r="I46"/>
  <c r="F45"/>
  <c r="H42"/>
  <c r="D41"/>
  <c r="G39"/>
  <c r="I37"/>
  <c r="F36"/>
  <c r="H34"/>
  <c r="D33"/>
  <c r="G31"/>
  <c r="H30"/>
  <c r="D29"/>
  <c r="G27"/>
  <c r="I25"/>
  <c r="F24"/>
  <c r="H22"/>
  <c r="D21"/>
  <c r="G19"/>
  <c r="G16"/>
  <c r="I14"/>
  <c r="F13"/>
  <c r="H11"/>
  <c r="D10"/>
  <c r="G8"/>
  <c r="I6"/>
  <c r="C68" i="59"/>
  <c r="C64"/>
  <c r="C60"/>
  <c r="C57"/>
  <c r="C49"/>
  <c r="C19"/>
  <c r="C17"/>
  <c r="C15"/>
  <c r="C13"/>
  <c r="C11"/>
  <c r="C9"/>
  <c r="D10" i="55"/>
  <c r="H68" i="52"/>
  <c r="D68"/>
  <c r="F67"/>
  <c r="H66"/>
  <c r="D66"/>
  <c r="F65"/>
  <c r="H64"/>
  <c r="D64"/>
  <c r="F63"/>
  <c r="H62"/>
  <c r="D62"/>
  <c r="F61"/>
  <c r="H60"/>
  <c r="D60"/>
  <c r="F59"/>
  <c r="H58"/>
  <c r="D58"/>
  <c r="F57"/>
  <c r="F55"/>
  <c r="H54"/>
  <c r="D54"/>
  <c r="F53"/>
  <c r="H52"/>
  <c r="D52"/>
  <c r="F51"/>
  <c r="H50"/>
  <c r="D50"/>
  <c r="F49"/>
  <c r="H48"/>
  <c r="D48"/>
  <c r="F47"/>
  <c r="H46"/>
  <c r="D46"/>
  <c r="F45"/>
  <c r="H44"/>
  <c r="D44"/>
  <c r="H42"/>
  <c r="D42"/>
  <c r="F41"/>
  <c r="H40"/>
  <c r="D40"/>
  <c r="F39"/>
  <c r="H38"/>
  <c r="D38"/>
  <c r="F37"/>
  <c r="H36"/>
  <c r="D36"/>
  <c r="F35"/>
  <c r="H34"/>
  <c r="D34"/>
  <c r="F33"/>
  <c r="H32"/>
  <c r="D32"/>
  <c r="F31"/>
  <c r="F29"/>
  <c r="H28"/>
  <c r="D28"/>
  <c r="F27"/>
  <c r="H26"/>
  <c r="D26"/>
  <c r="F25"/>
  <c r="H24"/>
  <c r="D24"/>
  <c r="F23"/>
  <c r="H22"/>
  <c r="D22"/>
  <c r="F21"/>
  <c r="H20"/>
  <c r="D20"/>
  <c r="F19"/>
  <c r="H18"/>
  <c r="D18"/>
  <c r="H16"/>
  <c r="D16"/>
  <c r="F15"/>
  <c r="H14"/>
  <c r="D14"/>
  <c r="F13"/>
  <c r="H12"/>
  <c r="D12"/>
  <c r="F11"/>
  <c r="H10"/>
  <c r="D10"/>
  <c r="F9"/>
  <c r="H8"/>
  <c r="D8"/>
  <c r="F7"/>
  <c r="H6"/>
  <c r="D6"/>
  <c r="F5"/>
  <c r="G70" i="50"/>
  <c r="H69"/>
  <c r="I68"/>
  <c r="D68"/>
  <c r="F67"/>
  <c r="G66"/>
  <c r="H65"/>
  <c r="I64"/>
  <c r="D64"/>
  <c r="F63"/>
  <c r="G62"/>
  <c r="H61"/>
  <c r="I60"/>
  <c r="D60"/>
  <c r="F59"/>
  <c r="G58"/>
  <c r="H57"/>
  <c r="I56"/>
  <c r="D56"/>
  <c r="F55"/>
  <c r="G54"/>
  <c r="H53"/>
  <c r="I52"/>
  <c r="D52"/>
  <c r="F51"/>
  <c r="G50"/>
  <c r="H49"/>
  <c r="I48"/>
  <c r="D48"/>
  <c r="F47"/>
  <c r="G46"/>
  <c r="H45"/>
  <c r="I44"/>
  <c r="F43"/>
  <c r="G42"/>
  <c r="H41"/>
  <c r="I40"/>
  <c r="D40"/>
  <c r="F39"/>
  <c r="G38"/>
  <c r="H37"/>
  <c r="I36"/>
  <c r="D36"/>
  <c r="F35"/>
  <c r="G34"/>
  <c r="H33"/>
  <c r="I32"/>
  <c r="D32"/>
  <c r="G30"/>
  <c r="H29"/>
  <c r="I28"/>
  <c r="D28"/>
  <c r="F27"/>
  <c r="G26"/>
  <c r="H25"/>
  <c r="I24"/>
  <c r="D24"/>
  <c r="F23"/>
  <c r="G22"/>
  <c r="H21"/>
  <c r="I20"/>
  <c r="D20"/>
  <c r="F19"/>
  <c r="G18"/>
  <c r="H17"/>
  <c r="I16"/>
  <c r="D16"/>
  <c r="F15"/>
  <c r="G14"/>
  <c r="H13"/>
  <c r="I12"/>
  <c r="D12"/>
  <c r="F11"/>
  <c r="G10"/>
  <c r="I9"/>
  <c r="E9"/>
  <c r="G8"/>
  <c r="I7"/>
  <c r="E7"/>
  <c r="G6"/>
  <c r="C70" i="47"/>
  <c r="C68"/>
  <c r="C66"/>
  <c r="C64"/>
  <c r="C62"/>
  <c r="C60"/>
  <c r="C57"/>
  <c r="C53"/>
  <c r="C49"/>
  <c r="C45"/>
  <c r="C44"/>
  <c r="C43"/>
  <c r="C42"/>
  <c r="C41"/>
  <c r="C40"/>
  <c r="C39"/>
  <c r="C38"/>
  <c r="C37"/>
  <c r="C36"/>
  <c r="C35"/>
  <c r="C34"/>
  <c r="C20"/>
  <c r="C19"/>
  <c r="C18"/>
  <c r="C17"/>
  <c r="C16"/>
  <c r="C15"/>
  <c r="C14"/>
  <c r="C13"/>
  <c r="C12"/>
  <c r="C11"/>
  <c r="C10"/>
  <c r="C9"/>
  <c r="C8"/>
  <c r="C18" i="45"/>
  <c r="G59" i="50"/>
  <c r="I57"/>
  <c r="F56"/>
  <c r="H54"/>
  <c r="D53"/>
  <c r="G51"/>
  <c r="I49"/>
  <c r="F48"/>
  <c r="H46"/>
  <c r="D45"/>
  <c r="H43"/>
  <c r="D42"/>
  <c r="G40"/>
  <c r="I38"/>
  <c r="F37"/>
  <c r="H35"/>
  <c r="D34"/>
  <c r="G32"/>
  <c r="D30"/>
  <c r="G28"/>
  <c r="I26"/>
  <c r="F25"/>
  <c r="H23"/>
  <c r="D22"/>
  <c r="G20"/>
  <c r="I18"/>
  <c r="I17"/>
  <c r="F16"/>
  <c r="H14"/>
  <c r="D13"/>
  <c r="G11"/>
  <c r="D10"/>
  <c r="H8"/>
  <c r="F7"/>
  <c r="D6"/>
  <c r="C69" i="47"/>
  <c r="C65"/>
  <c r="C61"/>
  <c r="C55"/>
  <c r="C47"/>
  <c r="C32"/>
  <c r="C30"/>
  <c r="C28"/>
  <c r="C26"/>
  <c r="C24"/>
  <c r="C22"/>
  <c r="C15" i="45"/>
  <c r="E13"/>
  <c r="C10"/>
  <c r="C15" i="44"/>
  <c r="J69" i="42"/>
  <c r="F69"/>
  <c r="I68"/>
  <c r="E68"/>
  <c r="H67"/>
  <c r="D67"/>
  <c r="G66"/>
  <c r="J65"/>
  <c r="F65"/>
  <c r="I64"/>
  <c r="E64"/>
  <c r="H63"/>
  <c r="D63"/>
  <c r="G62"/>
  <c r="J61"/>
  <c r="F61"/>
  <c r="I60"/>
  <c r="E60"/>
  <c r="H59"/>
  <c r="D59"/>
  <c r="G58"/>
  <c r="J57"/>
  <c r="F57"/>
  <c r="I56"/>
  <c r="E56"/>
  <c r="H55"/>
  <c r="D55"/>
  <c r="G54"/>
  <c r="J53"/>
  <c r="F53"/>
  <c r="I52"/>
  <c r="E52"/>
  <c r="H51"/>
  <c r="D51"/>
  <c r="G50"/>
  <c r="J49"/>
  <c r="F49"/>
  <c r="I48"/>
  <c r="E48"/>
  <c r="H47"/>
  <c r="D47"/>
  <c r="G46"/>
  <c r="J45"/>
  <c r="F45"/>
  <c r="I44"/>
  <c r="E44"/>
  <c r="H43"/>
  <c r="D43"/>
  <c r="G42"/>
  <c r="J41"/>
  <c r="F41"/>
  <c r="I40"/>
  <c r="E40"/>
  <c r="H39"/>
  <c r="D39"/>
  <c r="G38"/>
  <c r="J37"/>
  <c r="F37"/>
  <c r="I36"/>
  <c r="E36"/>
  <c r="H35"/>
  <c r="D35"/>
  <c r="G34"/>
  <c r="J33"/>
  <c r="F33"/>
  <c r="I32"/>
  <c r="E32"/>
  <c r="H31"/>
  <c r="D31"/>
  <c r="G30"/>
  <c r="J29"/>
  <c r="F29"/>
  <c r="I28"/>
  <c r="E28"/>
  <c r="H27"/>
  <c r="D27"/>
  <c r="G26"/>
  <c r="J25"/>
  <c r="F25"/>
  <c r="I24"/>
  <c r="E24"/>
  <c r="H23"/>
  <c r="D23"/>
  <c r="G22"/>
  <c r="J21"/>
  <c r="F21"/>
  <c r="I20"/>
  <c r="E20"/>
  <c r="H19"/>
  <c r="D19"/>
  <c r="G18"/>
  <c r="J17"/>
  <c r="F17"/>
  <c r="J16"/>
  <c r="F16"/>
  <c r="I15"/>
  <c r="E15"/>
  <c r="H14"/>
  <c r="D14"/>
  <c r="G13"/>
  <c r="J12"/>
  <c r="F12"/>
  <c r="I11"/>
  <c r="E11"/>
  <c r="H10"/>
  <c r="D10"/>
  <c r="G9"/>
  <c r="J8"/>
  <c r="F8"/>
  <c r="I7"/>
  <c r="E7"/>
  <c r="H6"/>
  <c r="D6"/>
  <c r="G5"/>
  <c r="I70" i="40"/>
  <c r="E70"/>
  <c r="G69"/>
  <c r="I68"/>
  <c r="E68"/>
  <c r="H59" i="50"/>
  <c r="D58"/>
  <c r="G56"/>
  <c r="I54"/>
  <c r="F53"/>
  <c r="H51"/>
  <c r="D50"/>
  <c r="G48"/>
  <c r="I46"/>
  <c r="F45"/>
  <c r="H42"/>
  <c r="D41"/>
  <c r="G39"/>
  <c r="I37"/>
  <c r="F36"/>
  <c r="H34"/>
  <c r="D33"/>
  <c r="G31"/>
  <c r="H30"/>
  <c r="D29"/>
  <c r="G27"/>
  <c r="I25"/>
  <c r="F24"/>
  <c r="H22"/>
  <c r="D21"/>
  <c r="G19"/>
  <c r="G16"/>
  <c r="I14"/>
  <c r="F13"/>
  <c r="H11"/>
  <c r="E10"/>
  <c r="I8"/>
  <c r="G7"/>
  <c r="E6"/>
  <c r="C59" i="47"/>
  <c r="C56"/>
  <c r="C48"/>
  <c r="C33"/>
  <c r="C16" i="45"/>
  <c r="E14"/>
  <c r="C12"/>
  <c r="C16" i="44"/>
  <c r="E14"/>
  <c r="G69" i="42"/>
  <c r="J68"/>
  <c r="F68"/>
  <c r="I67"/>
  <c r="E67"/>
  <c r="H66"/>
  <c r="D66"/>
  <c r="G65"/>
  <c r="J64"/>
  <c r="F64"/>
  <c r="I63"/>
  <c r="E63"/>
  <c r="H62"/>
  <c r="D62"/>
  <c r="G61"/>
  <c r="J60"/>
  <c r="F60"/>
  <c r="I59"/>
  <c r="E59"/>
  <c r="H58"/>
  <c r="D58"/>
  <c r="G57"/>
  <c r="J56"/>
  <c r="F56"/>
  <c r="I55"/>
  <c r="E55"/>
  <c r="H54"/>
  <c r="D54"/>
  <c r="G53"/>
  <c r="J52"/>
  <c r="F52"/>
  <c r="I51"/>
  <c r="E51"/>
  <c r="H50"/>
  <c r="D50"/>
  <c r="G49"/>
  <c r="J48"/>
  <c r="F48"/>
  <c r="I47"/>
  <c r="E47"/>
  <c r="H46"/>
  <c r="D46"/>
  <c r="G45"/>
  <c r="J44"/>
  <c r="F44"/>
  <c r="I43"/>
  <c r="E43"/>
  <c r="H42"/>
  <c r="D42"/>
  <c r="G41"/>
  <c r="J40"/>
  <c r="F40"/>
  <c r="I39"/>
  <c r="E39"/>
  <c r="H38"/>
  <c r="D38"/>
  <c r="G37"/>
  <c r="J36"/>
  <c r="F36"/>
  <c r="I35"/>
  <c r="E35"/>
  <c r="H34"/>
  <c r="D34"/>
  <c r="G33"/>
  <c r="J32"/>
  <c r="F32"/>
  <c r="I31"/>
  <c r="E31"/>
  <c r="H30"/>
  <c r="D30"/>
  <c r="G29"/>
  <c r="J28"/>
  <c r="F28"/>
  <c r="I27"/>
  <c r="E27"/>
  <c r="H26"/>
  <c r="D26"/>
  <c r="G25"/>
  <c r="J24"/>
  <c r="F24"/>
  <c r="I23"/>
  <c r="E23"/>
  <c r="H22"/>
  <c r="D22"/>
  <c r="G21"/>
  <c r="J20"/>
  <c r="F20"/>
  <c r="I19"/>
  <c r="E19"/>
  <c r="H18"/>
  <c r="D18"/>
  <c r="G17"/>
  <c r="G16"/>
  <c r="J15"/>
  <c r="F15"/>
  <c r="I14"/>
  <c r="E14"/>
  <c r="H13"/>
  <c r="D13"/>
  <c r="G12"/>
  <c r="J11"/>
  <c r="F11"/>
  <c r="I10"/>
  <c r="E10"/>
  <c r="H9"/>
  <c r="D9"/>
  <c r="G8"/>
  <c r="J7"/>
  <c r="F7"/>
  <c r="I6"/>
  <c r="E6"/>
  <c r="H5"/>
  <c r="D5"/>
  <c r="F70" i="40"/>
  <c r="H69"/>
  <c r="D69"/>
  <c r="F68"/>
  <c r="H67"/>
  <c r="H58" i="50"/>
  <c r="G55"/>
  <c r="I53"/>
  <c r="F52"/>
  <c r="H50"/>
  <c r="D49"/>
  <c r="G47"/>
  <c r="I45"/>
  <c r="I42"/>
  <c r="F41"/>
  <c r="H39"/>
  <c r="D38"/>
  <c r="G36"/>
  <c r="I34"/>
  <c r="F33"/>
  <c r="H31"/>
  <c r="I30"/>
  <c r="F29"/>
  <c r="H27"/>
  <c r="D26"/>
  <c r="G24"/>
  <c r="I22"/>
  <c r="F21"/>
  <c r="H19"/>
  <c r="D17"/>
  <c r="G15"/>
  <c r="I13"/>
  <c r="F12"/>
  <c r="H10"/>
  <c r="F9"/>
  <c r="D8"/>
  <c r="H6"/>
  <c r="C71" i="47"/>
  <c r="C67"/>
  <c r="C63"/>
  <c r="C51"/>
  <c r="C31"/>
  <c r="C29"/>
  <c r="C27"/>
  <c r="C25"/>
  <c r="C23"/>
  <c r="C21"/>
  <c r="E15" i="45"/>
  <c r="C13"/>
  <c r="E10"/>
  <c r="E15" i="44"/>
  <c r="H69" i="42"/>
  <c r="D69"/>
  <c r="G68"/>
  <c r="J67"/>
  <c r="F67"/>
  <c r="I66"/>
  <c r="E66"/>
  <c r="H65"/>
  <c r="D65"/>
  <c r="G64"/>
  <c r="J63"/>
  <c r="F63"/>
  <c r="I62"/>
  <c r="E62"/>
  <c r="H61"/>
  <c r="D61"/>
  <c r="G60"/>
  <c r="J59"/>
  <c r="F59"/>
  <c r="I58"/>
  <c r="E58"/>
  <c r="H57"/>
  <c r="D57"/>
  <c r="G56"/>
  <c r="J55"/>
  <c r="F55"/>
  <c r="I54"/>
  <c r="E54"/>
  <c r="H53"/>
  <c r="D53"/>
  <c r="G52"/>
  <c r="J51"/>
  <c r="F51"/>
  <c r="I50"/>
  <c r="E50"/>
  <c r="H49"/>
  <c r="D49"/>
  <c r="G48"/>
  <c r="J47"/>
  <c r="F47"/>
  <c r="I46"/>
  <c r="E46"/>
  <c r="H45"/>
  <c r="D45"/>
  <c r="G44"/>
  <c r="J43"/>
  <c r="F43"/>
  <c r="I42"/>
  <c r="E42"/>
  <c r="H41"/>
  <c r="D41"/>
  <c r="G40"/>
  <c r="J39"/>
  <c r="F39"/>
  <c r="I38"/>
  <c r="E38"/>
  <c r="H37"/>
  <c r="D37"/>
  <c r="G36"/>
  <c r="J35"/>
  <c r="F35"/>
  <c r="I34"/>
  <c r="E34"/>
  <c r="H33"/>
  <c r="D33"/>
  <c r="G32"/>
  <c r="J31"/>
  <c r="F31"/>
  <c r="I30"/>
  <c r="E30"/>
  <c r="H29"/>
  <c r="D29"/>
  <c r="G28"/>
  <c r="J27"/>
  <c r="F27"/>
  <c r="I26"/>
  <c r="E26"/>
  <c r="H25"/>
  <c r="D25"/>
  <c r="G24"/>
  <c r="J23"/>
  <c r="F23"/>
  <c r="I22"/>
  <c r="E22"/>
  <c r="H21"/>
  <c r="D21"/>
  <c r="G20"/>
  <c r="J19"/>
  <c r="F19"/>
  <c r="I18"/>
  <c r="E18"/>
  <c r="H17"/>
  <c r="D17"/>
  <c r="H16"/>
  <c r="D16"/>
  <c r="G15"/>
  <c r="J14"/>
  <c r="F14"/>
  <c r="I13"/>
  <c r="E13"/>
  <c r="H12"/>
  <c r="D12"/>
  <c r="G11"/>
  <c r="J10"/>
  <c r="F10"/>
  <c r="I9"/>
  <c r="E9"/>
  <c r="H8"/>
  <c r="D8"/>
  <c r="G7"/>
  <c r="J6"/>
  <c r="F6"/>
  <c r="I5"/>
  <c r="E5"/>
  <c r="G70" i="40"/>
  <c r="I69"/>
  <c r="E69"/>
  <c r="G68"/>
  <c r="I67"/>
  <c r="E67"/>
  <c r="G66"/>
  <c r="I65"/>
  <c r="E65"/>
  <c r="G64"/>
  <c r="I63"/>
  <c r="E63"/>
  <c r="G62"/>
  <c r="I61"/>
  <c r="E61"/>
  <c r="G60"/>
  <c r="I59"/>
  <c r="E59"/>
  <c r="G58"/>
  <c r="I57"/>
  <c r="E57"/>
  <c r="G56"/>
  <c r="I55"/>
  <c r="E55"/>
  <c r="G54"/>
  <c r="I53"/>
  <c r="E53"/>
  <c r="G52"/>
  <c r="I51"/>
  <c r="E51"/>
  <c r="G50"/>
  <c r="I49"/>
  <c r="E49"/>
  <c r="G48"/>
  <c r="I47"/>
  <c r="E47"/>
  <c r="G46"/>
  <c r="I45"/>
  <c r="E45"/>
  <c r="G44"/>
  <c r="I43"/>
  <c r="E43"/>
  <c r="G42"/>
  <c r="I41"/>
  <c r="E41"/>
  <c r="G40"/>
  <c r="I39"/>
  <c r="E39"/>
  <c r="G38"/>
  <c r="I37"/>
  <c r="E37"/>
  <c r="G36"/>
  <c r="I35"/>
  <c r="E35"/>
  <c r="G34"/>
  <c r="I33"/>
  <c r="E33"/>
  <c r="G32"/>
  <c r="I31"/>
  <c r="E31"/>
  <c r="G30"/>
  <c r="I29"/>
  <c r="E29"/>
  <c r="G28"/>
  <c r="I27"/>
  <c r="E27"/>
  <c r="G26"/>
  <c r="I25"/>
  <c r="E25"/>
  <c r="G24"/>
  <c r="I23"/>
  <c r="E23"/>
  <c r="G22"/>
  <c r="I21"/>
  <c r="E21"/>
  <c r="G20"/>
  <c r="I19"/>
  <c r="E19"/>
  <c r="G18"/>
  <c r="F17"/>
  <c r="H16"/>
  <c r="D16"/>
  <c r="F15"/>
  <c r="H14"/>
  <c r="D14"/>
  <c r="F13"/>
  <c r="H12"/>
  <c r="D12"/>
  <c r="F11"/>
  <c r="H10"/>
  <c r="D10"/>
  <c r="F9"/>
  <c r="H8"/>
  <c r="D8"/>
  <c r="F7"/>
  <c r="H6"/>
  <c r="I58" i="50"/>
  <c r="H55"/>
  <c r="D54"/>
  <c r="G52"/>
  <c r="I50"/>
  <c r="F49"/>
  <c r="H47"/>
  <c r="D46"/>
  <c r="G44"/>
  <c r="G43"/>
  <c r="I41"/>
  <c r="F40"/>
  <c r="H38"/>
  <c r="D37"/>
  <c r="G35"/>
  <c r="I33"/>
  <c r="F32"/>
  <c r="I29"/>
  <c r="F28"/>
  <c r="H26"/>
  <c r="D25"/>
  <c r="G23"/>
  <c r="I21"/>
  <c r="F20"/>
  <c r="H18"/>
  <c r="F17"/>
  <c r="H15"/>
  <c r="D14"/>
  <c r="G12"/>
  <c r="I10"/>
  <c r="G9"/>
  <c r="E8"/>
  <c r="I6"/>
  <c r="C52" i="47"/>
  <c r="E18" i="45"/>
  <c r="E16"/>
  <c r="C14"/>
  <c r="E12"/>
  <c r="E16" i="44"/>
  <c r="C14"/>
  <c r="I69" i="42"/>
  <c r="E69"/>
  <c r="H68"/>
  <c r="D68"/>
  <c r="G67"/>
  <c r="J66"/>
  <c r="F66"/>
  <c r="I65"/>
  <c r="E65"/>
  <c r="H64"/>
  <c r="D64"/>
  <c r="G63"/>
  <c r="J62"/>
  <c r="F62"/>
  <c r="I61"/>
  <c r="E61"/>
  <c r="H60"/>
  <c r="D60"/>
  <c r="G59"/>
  <c r="J58"/>
  <c r="F58"/>
  <c r="I57"/>
  <c r="E57"/>
  <c r="H56"/>
  <c r="D56"/>
  <c r="G55"/>
  <c r="J54"/>
  <c r="F54"/>
  <c r="I53"/>
  <c r="E53"/>
  <c r="H52"/>
  <c r="D52"/>
  <c r="G51"/>
  <c r="J50"/>
  <c r="F50"/>
  <c r="I49"/>
  <c r="E49"/>
  <c r="H48"/>
  <c r="D48"/>
  <c r="G47"/>
  <c r="J46"/>
  <c r="F46"/>
  <c r="I45"/>
  <c r="E45"/>
  <c r="H44"/>
  <c r="D44"/>
  <c r="G43"/>
  <c r="J42"/>
  <c r="F42"/>
  <c r="I41"/>
  <c r="E41"/>
  <c r="H40"/>
  <c r="D40"/>
  <c r="G39"/>
  <c r="J38"/>
  <c r="F38"/>
  <c r="I37"/>
  <c r="E37"/>
  <c r="H36"/>
  <c r="D36"/>
  <c r="G35"/>
  <c r="J34"/>
  <c r="F34"/>
  <c r="I33"/>
  <c r="E33"/>
  <c r="H32"/>
  <c r="D32"/>
  <c r="G31"/>
  <c r="J30"/>
  <c r="F30"/>
  <c r="I29"/>
  <c r="E29"/>
  <c r="H28"/>
  <c r="D28"/>
  <c r="G27"/>
  <c r="J26"/>
  <c r="F26"/>
  <c r="I25"/>
  <c r="E25"/>
  <c r="H24"/>
  <c r="D24"/>
  <c r="G23"/>
  <c r="J22"/>
  <c r="F22"/>
  <c r="I21"/>
  <c r="E21"/>
  <c r="H20"/>
  <c r="D20"/>
  <c r="G19"/>
  <c r="J18"/>
  <c r="F18"/>
  <c r="I17"/>
  <c r="E17"/>
  <c r="I16"/>
  <c r="E16"/>
  <c r="H15"/>
  <c r="D15"/>
  <c r="G14"/>
  <c r="J13"/>
  <c r="F13"/>
  <c r="I12"/>
  <c r="E12"/>
  <c r="H11"/>
  <c r="D11"/>
  <c r="G10"/>
  <c r="J9"/>
  <c r="F9"/>
  <c r="I8"/>
  <c r="E8"/>
  <c r="H7"/>
  <c r="D7"/>
  <c r="G6"/>
  <c r="J5"/>
  <c r="F5"/>
  <c r="H70" i="40"/>
  <c r="D70"/>
  <c r="F69"/>
  <c r="H68"/>
  <c r="D68"/>
  <c r="F67"/>
  <c r="H66"/>
  <c r="D66"/>
  <c r="F65"/>
  <c r="H64"/>
  <c r="D64"/>
  <c r="F63"/>
  <c r="H62"/>
  <c r="D62"/>
  <c r="F61"/>
  <c r="H60"/>
  <c r="D60"/>
  <c r="F59"/>
  <c r="H58"/>
  <c r="D58"/>
  <c r="F57"/>
  <c r="H56"/>
  <c r="D56"/>
  <c r="F55"/>
  <c r="H54"/>
  <c r="D54"/>
  <c r="F53"/>
  <c r="H52"/>
  <c r="D52"/>
  <c r="F51"/>
  <c r="H50"/>
  <c r="D50"/>
  <c r="F49"/>
  <c r="H48"/>
  <c r="D48"/>
  <c r="F47"/>
  <c r="H46"/>
  <c r="D46"/>
  <c r="F45"/>
  <c r="H44"/>
  <c r="D44"/>
  <c r="F43"/>
  <c r="H42"/>
  <c r="D42"/>
  <c r="F41"/>
  <c r="H40"/>
  <c r="D40"/>
  <c r="F39"/>
  <c r="H38"/>
  <c r="D38"/>
  <c r="F37"/>
  <c r="H36"/>
  <c r="D36"/>
  <c r="F35"/>
  <c r="H34"/>
  <c r="D34"/>
  <c r="F33"/>
  <c r="H32"/>
  <c r="D32"/>
  <c r="F31"/>
  <c r="H30"/>
  <c r="D30"/>
  <c r="F29"/>
  <c r="H28"/>
  <c r="D28"/>
  <c r="F27"/>
  <c r="H26"/>
  <c r="D26"/>
  <c r="F25"/>
  <c r="H24"/>
  <c r="D24"/>
  <c r="F23"/>
  <c r="H22"/>
  <c r="D22"/>
  <c r="F21"/>
  <c r="H20"/>
  <c r="D20"/>
  <c r="F19"/>
  <c r="H18"/>
  <c r="D18"/>
  <c r="G17"/>
  <c r="I16"/>
  <c r="E16"/>
  <c r="G15"/>
  <c r="I14"/>
  <c r="E14"/>
  <c r="G13"/>
  <c r="I12"/>
  <c r="E12"/>
  <c r="G11"/>
  <c r="I10"/>
  <c r="E10"/>
  <c r="G9"/>
  <c r="I8"/>
  <c r="E8"/>
  <c r="G7"/>
  <c r="I6"/>
  <c r="E6"/>
  <c r="I66"/>
  <c r="G65"/>
  <c r="E64"/>
  <c r="I62"/>
  <c r="G61"/>
  <c r="E60"/>
  <c r="I58"/>
  <c r="G57"/>
  <c r="E56"/>
  <c r="I54"/>
  <c r="G53"/>
  <c r="E52"/>
  <c r="I50"/>
  <c r="G49"/>
  <c r="E48"/>
  <c r="I46"/>
  <c r="G45"/>
  <c r="E44"/>
  <c r="I42"/>
  <c r="G41"/>
  <c r="E40"/>
  <c r="I38"/>
  <c r="G37"/>
  <c r="E36"/>
  <c r="I34"/>
  <c r="G33"/>
  <c r="E32"/>
  <c r="I30"/>
  <c r="G29"/>
  <c r="E28"/>
  <c r="I26"/>
  <c r="G25"/>
  <c r="E24"/>
  <c r="I22"/>
  <c r="G21"/>
  <c r="E20"/>
  <c r="I18"/>
  <c r="I17"/>
  <c r="G16"/>
  <c r="E15"/>
  <c r="I13"/>
  <c r="G12"/>
  <c r="E11"/>
  <c r="I9"/>
  <c r="G8"/>
  <c r="E7"/>
  <c r="D6"/>
  <c r="C59" i="37"/>
  <c r="C56"/>
  <c r="C52"/>
  <c r="C48"/>
  <c r="C47"/>
  <c r="C32"/>
  <c r="C31"/>
  <c r="C30"/>
  <c r="C29"/>
  <c r="C28"/>
  <c r="C27"/>
  <c r="C26"/>
  <c r="C25"/>
  <c r="C24"/>
  <c r="C23"/>
  <c r="C22"/>
  <c r="C21"/>
  <c r="W71" i="36"/>
  <c r="S71"/>
  <c r="O71"/>
  <c r="K71"/>
  <c r="G71"/>
  <c r="C71"/>
  <c r="V70"/>
  <c r="R70"/>
  <c r="N70"/>
  <c r="J70"/>
  <c r="F70"/>
  <c r="Y69"/>
  <c r="U69"/>
  <c r="Q69"/>
  <c r="M69"/>
  <c r="I69"/>
  <c r="E69"/>
  <c r="X68"/>
  <c r="T68"/>
  <c r="P68"/>
  <c r="L68"/>
  <c r="H68"/>
  <c r="D68"/>
  <c r="W67"/>
  <c r="S67"/>
  <c r="O67"/>
  <c r="K67"/>
  <c r="G67"/>
  <c r="C67"/>
  <c r="V66"/>
  <c r="R66"/>
  <c r="N66"/>
  <c r="J66"/>
  <c r="F66"/>
  <c r="Y65"/>
  <c r="U65"/>
  <c r="Q65"/>
  <c r="M65"/>
  <c r="I65"/>
  <c r="E65"/>
  <c r="X64"/>
  <c r="T64"/>
  <c r="P64"/>
  <c r="L64"/>
  <c r="H64"/>
  <c r="D64"/>
  <c r="W63"/>
  <c r="S63"/>
  <c r="O63"/>
  <c r="K63"/>
  <c r="G63"/>
  <c r="C63"/>
  <c r="V62"/>
  <c r="R62"/>
  <c r="N62"/>
  <c r="J62"/>
  <c r="F62"/>
  <c r="Y61"/>
  <c r="U61"/>
  <c r="Q61"/>
  <c r="M61"/>
  <c r="I61"/>
  <c r="E61"/>
  <c r="X60"/>
  <c r="T60"/>
  <c r="P60"/>
  <c r="L60"/>
  <c r="H60"/>
  <c r="D60"/>
  <c r="W59"/>
  <c r="S59"/>
  <c r="O59"/>
  <c r="K59"/>
  <c r="G59"/>
  <c r="C59"/>
  <c r="V58"/>
  <c r="R58"/>
  <c r="N58"/>
  <c r="J58"/>
  <c r="F58"/>
  <c r="Y57"/>
  <c r="U57"/>
  <c r="Q57"/>
  <c r="M57"/>
  <c r="I57"/>
  <c r="E57"/>
  <c r="X56"/>
  <c r="T56"/>
  <c r="P56"/>
  <c r="L56"/>
  <c r="H56"/>
  <c r="D56"/>
  <c r="W55"/>
  <c r="S55"/>
  <c r="O55"/>
  <c r="K55"/>
  <c r="G55"/>
  <c r="C55"/>
  <c r="V54"/>
  <c r="R54"/>
  <c r="N54"/>
  <c r="J54"/>
  <c r="F54"/>
  <c r="Y53"/>
  <c r="U53"/>
  <c r="Q53"/>
  <c r="M53"/>
  <c r="I53"/>
  <c r="E53"/>
  <c r="X52"/>
  <c r="T52"/>
  <c r="P52"/>
  <c r="L52"/>
  <c r="H52"/>
  <c r="D52"/>
  <c r="W51"/>
  <c r="S51"/>
  <c r="O51"/>
  <c r="K51"/>
  <c r="G51"/>
  <c r="C51"/>
  <c r="V50"/>
  <c r="R50"/>
  <c r="N50"/>
  <c r="J50"/>
  <c r="F50"/>
  <c r="Y49"/>
  <c r="U49"/>
  <c r="Q49"/>
  <c r="M49"/>
  <c r="I49"/>
  <c r="E49"/>
  <c r="X48"/>
  <c r="T48"/>
  <c r="P48"/>
  <c r="L48"/>
  <c r="H48"/>
  <c r="D48"/>
  <c r="W47"/>
  <c r="S47"/>
  <c r="O47"/>
  <c r="K47"/>
  <c r="G47"/>
  <c r="C47"/>
  <c r="V46"/>
  <c r="R46"/>
  <c r="N46"/>
  <c r="J46"/>
  <c r="F46"/>
  <c r="Y45"/>
  <c r="U45"/>
  <c r="Q45"/>
  <c r="M45"/>
  <c r="I45"/>
  <c r="E45"/>
  <c r="X44"/>
  <c r="T44"/>
  <c r="P44"/>
  <c r="L44"/>
  <c r="H44"/>
  <c r="D44"/>
  <c r="W43"/>
  <c r="S43"/>
  <c r="O43"/>
  <c r="K43"/>
  <c r="G43"/>
  <c r="C43"/>
  <c r="V42"/>
  <c r="R42"/>
  <c r="N42"/>
  <c r="J42"/>
  <c r="F42"/>
  <c r="Y41"/>
  <c r="U41"/>
  <c r="Q41"/>
  <c r="M41"/>
  <c r="I41"/>
  <c r="E41"/>
  <c r="X40"/>
  <c r="T40"/>
  <c r="P40"/>
  <c r="L40"/>
  <c r="H40"/>
  <c r="D40"/>
  <c r="W39"/>
  <c r="S39"/>
  <c r="O39"/>
  <c r="K39"/>
  <c r="G39"/>
  <c r="C39"/>
  <c r="V38"/>
  <c r="R38"/>
  <c r="D67" i="40"/>
  <c r="H65"/>
  <c r="F64"/>
  <c r="D63"/>
  <c r="H61"/>
  <c r="F60"/>
  <c r="D59"/>
  <c r="H57"/>
  <c r="F56"/>
  <c r="D55"/>
  <c r="H53"/>
  <c r="F52"/>
  <c r="D51"/>
  <c r="H49"/>
  <c r="F48"/>
  <c r="D47"/>
  <c r="H45"/>
  <c r="F44"/>
  <c r="D43"/>
  <c r="H41"/>
  <c r="F40"/>
  <c r="D39"/>
  <c r="H37"/>
  <c r="F36"/>
  <c r="D35"/>
  <c r="H33"/>
  <c r="F32"/>
  <c r="D31"/>
  <c r="H29"/>
  <c r="F28"/>
  <c r="D27"/>
  <c r="H25"/>
  <c r="F24"/>
  <c r="D23"/>
  <c r="H21"/>
  <c r="F20"/>
  <c r="D19"/>
  <c r="D17"/>
  <c r="H15"/>
  <c r="F14"/>
  <c r="D13"/>
  <c r="H11"/>
  <c r="F10"/>
  <c r="D9"/>
  <c r="H7"/>
  <c r="F6"/>
  <c r="C71" i="37"/>
  <c r="C69"/>
  <c r="C67"/>
  <c r="C65"/>
  <c r="C63"/>
  <c r="C61"/>
  <c r="C55"/>
  <c r="C51"/>
  <c r="C46"/>
  <c r="X71" i="36"/>
  <c r="T71"/>
  <c r="P71"/>
  <c r="L71"/>
  <c r="H71"/>
  <c r="D71"/>
  <c r="W70"/>
  <c r="S70"/>
  <c r="O70"/>
  <c r="K70"/>
  <c r="G70"/>
  <c r="C70"/>
  <c r="V69"/>
  <c r="R69"/>
  <c r="N69"/>
  <c r="J69"/>
  <c r="F69"/>
  <c r="Y68"/>
  <c r="U68"/>
  <c r="Q68"/>
  <c r="M68"/>
  <c r="I68"/>
  <c r="E68"/>
  <c r="X67"/>
  <c r="T67"/>
  <c r="P67"/>
  <c r="L67"/>
  <c r="H67"/>
  <c r="D67"/>
  <c r="W66"/>
  <c r="S66"/>
  <c r="O66"/>
  <c r="K66"/>
  <c r="G66"/>
  <c r="C66"/>
  <c r="V65"/>
  <c r="R65"/>
  <c r="N65"/>
  <c r="J65"/>
  <c r="F65"/>
  <c r="Y64"/>
  <c r="U64"/>
  <c r="Q64"/>
  <c r="M64"/>
  <c r="I64"/>
  <c r="E64"/>
  <c r="X63"/>
  <c r="T63"/>
  <c r="P63"/>
  <c r="L63"/>
  <c r="H63"/>
  <c r="D63"/>
  <c r="W62"/>
  <c r="S62"/>
  <c r="O62"/>
  <c r="K62"/>
  <c r="G62"/>
  <c r="C62"/>
  <c r="V61"/>
  <c r="R61"/>
  <c r="N61"/>
  <c r="J61"/>
  <c r="F61"/>
  <c r="Y60"/>
  <c r="U60"/>
  <c r="Q60"/>
  <c r="M60"/>
  <c r="I60"/>
  <c r="E60"/>
  <c r="X59"/>
  <c r="T59"/>
  <c r="P59"/>
  <c r="L59"/>
  <c r="H59"/>
  <c r="D59"/>
  <c r="W58"/>
  <c r="S58"/>
  <c r="O58"/>
  <c r="K58"/>
  <c r="G58"/>
  <c r="C58"/>
  <c r="V57"/>
  <c r="R57"/>
  <c r="N57"/>
  <c r="J57"/>
  <c r="F57"/>
  <c r="Y56"/>
  <c r="U56"/>
  <c r="Q56"/>
  <c r="M56"/>
  <c r="I56"/>
  <c r="E56"/>
  <c r="X55"/>
  <c r="T55"/>
  <c r="P55"/>
  <c r="L55"/>
  <c r="H55"/>
  <c r="D55"/>
  <c r="W54"/>
  <c r="S54"/>
  <c r="O54"/>
  <c r="K54"/>
  <c r="G54"/>
  <c r="C54"/>
  <c r="V53"/>
  <c r="R53"/>
  <c r="N53"/>
  <c r="J53"/>
  <c r="F53"/>
  <c r="Y52"/>
  <c r="U52"/>
  <c r="Q52"/>
  <c r="M52"/>
  <c r="I52"/>
  <c r="E52"/>
  <c r="X51"/>
  <c r="T51"/>
  <c r="P51"/>
  <c r="L51"/>
  <c r="H51"/>
  <c r="D51"/>
  <c r="W50"/>
  <c r="S50"/>
  <c r="O50"/>
  <c r="K50"/>
  <c r="G50"/>
  <c r="C50"/>
  <c r="V49"/>
  <c r="R49"/>
  <c r="N49"/>
  <c r="J49"/>
  <c r="F49"/>
  <c r="Y48"/>
  <c r="U48"/>
  <c r="Q48"/>
  <c r="M48"/>
  <c r="I48"/>
  <c r="E48"/>
  <c r="X47"/>
  <c r="T47"/>
  <c r="P47"/>
  <c r="L47"/>
  <c r="H47"/>
  <c r="D47"/>
  <c r="W46"/>
  <c r="S46"/>
  <c r="O46"/>
  <c r="K46"/>
  <c r="G46"/>
  <c r="C46"/>
  <c r="V45"/>
  <c r="R45"/>
  <c r="N45"/>
  <c r="J45"/>
  <c r="F45"/>
  <c r="Y44"/>
  <c r="U44"/>
  <c r="Q44"/>
  <c r="M44"/>
  <c r="I44"/>
  <c r="E44"/>
  <c r="X43"/>
  <c r="T43"/>
  <c r="P43"/>
  <c r="L43"/>
  <c r="H43"/>
  <c r="D43"/>
  <c r="W42"/>
  <c r="S42"/>
  <c r="O42"/>
  <c r="K42"/>
  <c r="G42"/>
  <c r="C42"/>
  <c r="V41"/>
  <c r="R41"/>
  <c r="N41"/>
  <c r="J41"/>
  <c r="F41"/>
  <c r="Y40"/>
  <c r="U40"/>
  <c r="Q40"/>
  <c r="M40"/>
  <c r="I40"/>
  <c r="E40"/>
  <c r="X39"/>
  <c r="T39"/>
  <c r="P39"/>
  <c r="L39"/>
  <c r="H39"/>
  <c r="D39"/>
  <c r="W38"/>
  <c r="S38"/>
  <c r="O38"/>
  <c r="G67" i="40"/>
  <c r="E66"/>
  <c r="I64"/>
  <c r="G63"/>
  <c r="E62"/>
  <c r="I60"/>
  <c r="G59"/>
  <c r="E58"/>
  <c r="I56"/>
  <c r="G55"/>
  <c r="E54"/>
  <c r="I52"/>
  <c r="G51"/>
  <c r="E50"/>
  <c r="I48"/>
  <c r="G47"/>
  <c r="E46"/>
  <c r="I44"/>
  <c r="G43"/>
  <c r="E42"/>
  <c r="I40"/>
  <c r="G39"/>
  <c r="E38"/>
  <c r="I36"/>
  <c r="G35"/>
  <c r="E34"/>
  <c r="I32"/>
  <c r="G31"/>
  <c r="E30"/>
  <c r="I28"/>
  <c r="G27"/>
  <c r="E26"/>
  <c r="I24"/>
  <c r="G23"/>
  <c r="E22"/>
  <c r="I20"/>
  <c r="G19"/>
  <c r="E18"/>
  <c r="E17"/>
  <c r="I15"/>
  <c r="G14"/>
  <c r="E13"/>
  <c r="I11"/>
  <c r="G10"/>
  <c r="E9"/>
  <c r="I7"/>
  <c r="G6"/>
  <c r="C72" i="37"/>
  <c r="C58"/>
  <c r="C54"/>
  <c r="C50"/>
  <c r="C45"/>
  <c r="C44"/>
  <c r="C43"/>
  <c r="C42"/>
  <c r="C41"/>
  <c r="C40"/>
  <c r="C39"/>
  <c r="C38"/>
  <c r="C37"/>
  <c r="C36"/>
  <c r="C35"/>
  <c r="C34"/>
  <c r="C20"/>
  <c r="Y71" i="36"/>
  <c r="U71"/>
  <c r="Q71"/>
  <c r="M71"/>
  <c r="I71"/>
  <c r="E71"/>
  <c r="X70"/>
  <c r="T70"/>
  <c r="P70"/>
  <c r="L70"/>
  <c r="H70"/>
  <c r="D70"/>
  <c r="W69"/>
  <c r="S69"/>
  <c r="O69"/>
  <c r="K69"/>
  <c r="G69"/>
  <c r="C69"/>
  <c r="V68"/>
  <c r="R68"/>
  <c r="N68"/>
  <c r="J68"/>
  <c r="F68"/>
  <c r="Y67"/>
  <c r="U67"/>
  <c r="Q67"/>
  <c r="M67"/>
  <c r="I67"/>
  <c r="E67"/>
  <c r="X66"/>
  <c r="T66"/>
  <c r="P66"/>
  <c r="L66"/>
  <c r="H66"/>
  <c r="D66"/>
  <c r="W65"/>
  <c r="S65"/>
  <c r="O65"/>
  <c r="K65"/>
  <c r="G65"/>
  <c r="C65"/>
  <c r="V64"/>
  <c r="R64"/>
  <c r="N64"/>
  <c r="J64"/>
  <c r="F64"/>
  <c r="Y63"/>
  <c r="U63"/>
  <c r="Q63"/>
  <c r="M63"/>
  <c r="I63"/>
  <c r="E63"/>
  <c r="X62"/>
  <c r="T62"/>
  <c r="P62"/>
  <c r="L62"/>
  <c r="H62"/>
  <c r="D62"/>
  <c r="W61"/>
  <c r="S61"/>
  <c r="O61"/>
  <c r="K61"/>
  <c r="G61"/>
  <c r="C61"/>
  <c r="V60"/>
  <c r="R60"/>
  <c r="N60"/>
  <c r="J60"/>
  <c r="F60"/>
  <c r="Y59"/>
  <c r="U59"/>
  <c r="Q59"/>
  <c r="M59"/>
  <c r="I59"/>
  <c r="E59"/>
  <c r="X58"/>
  <c r="T58"/>
  <c r="P58"/>
  <c r="L58"/>
  <c r="H58"/>
  <c r="D58"/>
  <c r="W57"/>
  <c r="S57"/>
  <c r="O57"/>
  <c r="K57"/>
  <c r="G57"/>
  <c r="C57"/>
  <c r="V56"/>
  <c r="R56"/>
  <c r="N56"/>
  <c r="J56"/>
  <c r="F56"/>
  <c r="Y55"/>
  <c r="U55"/>
  <c r="Q55"/>
  <c r="M55"/>
  <c r="I55"/>
  <c r="E55"/>
  <c r="X54"/>
  <c r="T54"/>
  <c r="P54"/>
  <c r="L54"/>
  <c r="H54"/>
  <c r="D54"/>
  <c r="W53"/>
  <c r="S53"/>
  <c r="O53"/>
  <c r="K53"/>
  <c r="G53"/>
  <c r="C53"/>
  <c r="V52"/>
  <c r="R52"/>
  <c r="N52"/>
  <c r="J52"/>
  <c r="F52"/>
  <c r="Y51"/>
  <c r="U51"/>
  <c r="Q51"/>
  <c r="M51"/>
  <c r="I51"/>
  <c r="E51"/>
  <c r="X50"/>
  <c r="T50"/>
  <c r="P50"/>
  <c r="L50"/>
  <c r="H50"/>
  <c r="D50"/>
  <c r="W49"/>
  <c r="S49"/>
  <c r="O49"/>
  <c r="K49"/>
  <c r="G49"/>
  <c r="C49"/>
  <c r="V48"/>
  <c r="R48"/>
  <c r="N48"/>
  <c r="J48"/>
  <c r="F48"/>
  <c r="Y47"/>
  <c r="U47"/>
  <c r="Q47"/>
  <c r="M47"/>
  <c r="I47"/>
  <c r="E47"/>
  <c r="X46"/>
  <c r="T46"/>
  <c r="P46"/>
  <c r="L46"/>
  <c r="H46"/>
  <c r="D46"/>
  <c r="W45"/>
  <c r="S45"/>
  <c r="O45"/>
  <c r="K45"/>
  <c r="G45"/>
  <c r="C45"/>
  <c r="V44"/>
  <c r="R44"/>
  <c r="N44"/>
  <c r="J44"/>
  <c r="F44"/>
  <c r="Y43"/>
  <c r="U43"/>
  <c r="Q43"/>
  <c r="M43"/>
  <c r="I43"/>
  <c r="E43"/>
  <c r="X42"/>
  <c r="T42"/>
  <c r="P42"/>
  <c r="L42"/>
  <c r="H42"/>
  <c r="D42"/>
  <c r="W41"/>
  <c r="S41"/>
  <c r="O41"/>
  <c r="K41"/>
  <c r="G41"/>
  <c r="C41"/>
  <c r="V40"/>
  <c r="R40"/>
  <c r="N40"/>
  <c r="J40"/>
  <c r="F40"/>
  <c r="Y39"/>
  <c r="U39"/>
  <c r="Q39"/>
  <c r="M39"/>
  <c r="I39"/>
  <c r="E39"/>
  <c r="X38"/>
  <c r="T38"/>
  <c r="P38"/>
  <c r="L38"/>
  <c r="H38"/>
  <c r="D38"/>
  <c r="W37"/>
  <c r="S37"/>
  <c r="O37"/>
  <c r="K37"/>
  <c r="G37"/>
  <c r="C37"/>
  <c r="V36"/>
  <c r="R36"/>
  <c r="N36"/>
  <c r="J36"/>
  <c r="F36"/>
  <c r="Y35"/>
  <c r="U35"/>
  <c r="Q35"/>
  <c r="M35"/>
  <c r="I35"/>
  <c r="E35"/>
  <c r="X34"/>
  <c r="T34"/>
  <c r="P34"/>
  <c r="L34"/>
  <c r="H34"/>
  <c r="D34"/>
  <c r="W33"/>
  <c r="S33"/>
  <c r="O33"/>
  <c r="K33"/>
  <c r="G33"/>
  <c r="C33"/>
  <c r="V32"/>
  <c r="R32"/>
  <c r="N32"/>
  <c r="J32"/>
  <c r="F32"/>
  <c r="F66" i="40"/>
  <c r="D65"/>
  <c r="H63"/>
  <c r="F62"/>
  <c r="D61"/>
  <c r="H59"/>
  <c r="F58"/>
  <c r="D57"/>
  <c r="H55"/>
  <c r="F54"/>
  <c r="D53"/>
  <c r="H51"/>
  <c r="F50"/>
  <c r="D49"/>
  <c r="H47"/>
  <c r="F46"/>
  <c r="D45"/>
  <c r="H43"/>
  <c r="F42"/>
  <c r="D41"/>
  <c r="H39"/>
  <c r="F38"/>
  <c r="D37"/>
  <c r="H35"/>
  <c r="F34"/>
  <c r="D33"/>
  <c r="H31"/>
  <c r="F30"/>
  <c r="D29"/>
  <c r="H27"/>
  <c r="F26"/>
  <c r="D25"/>
  <c r="H23"/>
  <c r="F22"/>
  <c r="D21"/>
  <c r="H19"/>
  <c r="F18"/>
  <c r="H17"/>
  <c r="F16"/>
  <c r="D15"/>
  <c r="H13"/>
  <c r="F12"/>
  <c r="D11"/>
  <c r="H9"/>
  <c r="F8"/>
  <c r="D7"/>
  <c r="C70" i="37"/>
  <c r="C68"/>
  <c r="C66"/>
  <c r="C64"/>
  <c r="C62"/>
  <c r="C60"/>
  <c r="C57"/>
  <c r="C53"/>
  <c r="C49"/>
  <c r="C33"/>
  <c r="C19"/>
  <c r="C18"/>
  <c r="C17"/>
  <c r="C16"/>
  <c r="C15"/>
  <c r="C14"/>
  <c r="C13"/>
  <c r="C12"/>
  <c r="C11"/>
  <c r="C10"/>
  <c r="C9"/>
  <c r="C8"/>
  <c r="V71" i="36"/>
  <c r="R71"/>
  <c r="N71"/>
  <c r="J71"/>
  <c r="F71"/>
  <c r="Y70"/>
  <c r="U70"/>
  <c r="Q70"/>
  <c r="M70"/>
  <c r="I70"/>
  <c r="E70"/>
  <c r="X69"/>
  <c r="T69"/>
  <c r="P69"/>
  <c r="L69"/>
  <c r="H69"/>
  <c r="D69"/>
  <c r="W68"/>
  <c r="S68"/>
  <c r="O68"/>
  <c r="K68"/>
  <c r="G68"/>
  <c r="C68"/>
  <c r="V67"/>
  <c r="R67"/>
  <c r="N67"/>
  <c r="J67"/>
  <c r="F67"/>
  <c r="Y66"/>
  <c r="U66"/>
  <c r="Q66"/>
  <c r="M66"/>
  <c r="I66"/>
  <c r="E66"/>
  <c r="X65"/>
  <c r="T65"/>
  <c r="P65"/>
  <c r="L65"/>
  <c r="H65"/>
  <c r="D65"/>
  <c r="W64"/>
  <c r="S64"/>
  <c r="O64"/>
  <c r="K64"/>
  <c r="G64"/>
  <c r="C64"/>
  <c r="V63"/>
  <c r="R63"/>
  <c r="N63"/>
  <c r="J63"/>
  <c r="F63"/>
  <c r="Y62"/>
  <c r="U62"/>
  <c r="Q62"/>
  <c r="M62"/>
  <c r="I62"/>
  <c r="E62"/>
  <c r="X61"/>
  <c r="T61"/>
  <c r="P61"/>
  <c r="L61"/>
  <c r="H61"/>
  <c r="D61"/>
  <c r="W60"/>
  <c r="S60"/>
  <c r="O60"/>
  <c r="K60"/>
  <c r="G60"/>
  <c r="C60"/>
  <c r="V59"/>
  <c r="R59"/>
  <c r="N59"/>
  <c r="J59"/>
  <c r="F59"/>
  <c r="Y58"/>
  <c r="U58"/>
  <c r="Q58"/>
  <c r="M58"/>
  <c r="I58"/>
  <c r="E58"/>
  <c r="X57"/>
  <c r="T57"/>
  <c r="P57"/>
  <c r="L57"/>
  <c r="H57"/>
  <c r="D57"/>
  <c r="W56"/>
  <c r="S56"/>
  <c r="O56"/>
  <c r="K56"/>
  <c r="G56"/>
  <c r="C56"/>
  <c r="V55"/>
  <c r="R55"/>
  <c r="N55"/>
  <c r="J55"/>
  <c r="F55"/>
  <c r="Y54"/>
  <c r="U54"/>
  <c r="Q54"/>
  <c r="M54"/>
  <c r="I54"/>
  <c r="E54"/>
  <c r="X53"/>
  <c r="T53"/>
  <c r="P53"/>
  <c r="L53"/>
  <c r="H53"/>
  <c r="D53"/>
  <c r="W52"/>
  <c r="S52"/>
  <c r="O52"/>
  <c r="K52"/>
  <c r="G52"/>
  <c r="C52"/>
  <c r="V51"/>
  <c r="R51"/>
  <c r="N51"/>
  <c r="J51"/>
  <c r="F51"/>
  <c r="Y50"/>
  <c r="U50"/>
  <c r="Q50"/>
  <c r="M50"/>
  <c r="I50"/>
  <c r="E50"/>
  <c r="X49"/>
  <c r="T49"/>
  <c r="P49"/>
  <c r="L49"/>
  <c r="H49"/>
  <c r="D49"/>
  <c r="W48"/>
  <c r="S48"/>
  <c r="O48"/>
  <c r="K48"/>
  <c r="G48"/>
  <c r="C48"/>
  <c r="V47"/>
  <c r="R47"/>
  <c r="N47"/>
  <c r="J47"/>
  <c r="F47"/>
  <c r="Y46"/>
  <c r="U46"/>
  <c r="Q46"/>
  <c r="M46"/>
  <c r="I46"/>
  <c r="E46"/>
  <c r="X45"/>
  <c r="T45"/>
  <c r="P45"/>
  <c r="L45"/>
  <c r="H45"/>
  <c r="D45"/>
  <c r="W44"/>
  <c r="S44"/>
  <c r="O44"/>
  <c r="K44"/>
  <c r="G44"/>
  <c r="C44"/>
  <c r="V43"/>
  <c r="R43"/>
  <c r="N43"/>
  <c r="J43"/>
  <c r="F43"/>
  <c r="Y42"/>
  <c r="U42"/>
  <c r="Q42"/>
  <c r="M42"/>
  <c r="I42"/>
  <c r="E42"/>
  <c r="X41"/>
  <c r="T41"/>
  <c r="P41"/>
  <c r="L41"/>
  <c r="H41"/>
  <c r="D41"/>
  <c r="W40"/>
  <c r="S40"/>
  <c r="O40"/>
  <c r="K40"/>
  <c r="G40"/>
  <c r="C40"/>
  <c r="V39"/>
  <c r="R39"/>
  <c r="N39"/>
  <c r="J39"/>
  <c r="F39"/>
  <c r="Y38"/>
  <c r="U38"/>
  <c r="Q38"/>
  <c r="M38"/>
  <c r="I38"/>
  <c r="E38"/>
  <c r="X37"/>
  <c r="T37"/>
  <c r="P37"/>
  <c r="L37"/>
  <c r="H37"/>
  <c r="D37"/>
  <c r="W36"/>
  <c r="S36"/>
  <c r="O36"/>
  <c r="K36"/>
  <c r="G36"/>
  <c r="C36"/>
  <c r="V35"/>
  <c r="R35"/>
  <c r="N35"/>
  <c r="J35"/>
  <c r="F35"/>
  <c r="Y34"/>
  <c r="U34"/>
  <c r="Q34"/>
  <c r="M34"/>
  <c r="I34"/>
  <c r="E34"/>
  <c r="X33"/>
  <c r="T33"/>
  <c r="P33"/>
  <c r="L33"/>
  <c r="H33"/>
  <c r="D33"/>
  <c r="W32"/>
  <c r="S32"/>
  <c r="O32"/>
  <c r="K32"/>
  <c r="G32"/>
  <c r="N38"/>
  <c r="F38"/>
  <c r="U37"/>
  <c r="M37"/>
  <c r="E37"/>
  <c r="T36"/>
  <c r="L36"/>
  <c r="D36"/>
  <c r="S35"/>
  <c r="K35"/>
  <c r="C35"/>
  <c r="R34"/>
  <c r="J34"/>
  <c r="Y33"/>
  <c r="Q33"/>
  <c r="I33"/>
  <c r="X32"/>
  <c r="P32"/>
  <c r="H32"/>
  <c r="Y31"/>
  <c r="U31"/>
  <c r="Q31"/>
  <c r="M31"/>
  <c r="I31"/>
  <c r="E31"/>
  <c r="X30"/>
  <c r="T30"/>
  <c r="P30"/>
  <c r="L30"/>
  <c r="H30"/>
  <c r="D30"/>
  <c r="W29"/>
  <c r="S29"/>
  <c r="O29"/>
  <c r="K29"/>
  <c r="G29"/>
  <c r="C29"/>
  <c r="V28"/>
  <c r="R28"/>
  <c r="N28"/>
  <c r="J28"/>
  <c r="F28"/>
  <c r="Y27"/>
  <c r="U27"/>
  <c r="Q27"/>
  <c r="M27"/>
  <c r="I27"/>
  <c r="E27"/>
  <c r="X26"/>
  <c r="T26"/>
  <c r="P26"/>
  <c r="L26"/>
  <c r="H26"/>
  <c r="D26"/>
  <c r="W25"/>
  <c r="S25"/>
  <c r="O25"/>
  <c r="K25"/>
  <c r="G25"/>
  <c r="C25"/>
  <c r="V24"/>
  <c r="R24"/>
  <c r="N24"/>
  <c r="J24"/>
  <c r="F24"/>
  <c r="Y23"/>
  <c r="U23"/>
  <c r="Q23"/>
  <c r="M23"/>
  <c r="I23"/>
  <c r="E23"/>
  <c r="X22"/>
  <c r="T22"/>
  <c r="P22"/>
  <c r="L22"/>
  <c r="H22"/>
  <c r="D22"/>
  <c r="W21"/>
  <c r="S21"/>
  <c r="O21"/>
  <c r="K21"/>
  <c r="G21"/>
  <c r="C21"/>
  <c r="V20"/>
  <c r="R20"/>
  <c r="N20"/>
  <c r="J20"/>
  <c r="F20"/>
  <c r="Y19"/>
  <c r="U19"/>
  <c r="Q19"/>
  <c r="M19"/>
  <c r="I19"/>
  <c r="E19"/>
  <c r="X18"/>
  <c r="T18"/>
  <c r="P18"/>
  <c r="L18"/>
  <c r="H18"/>
  <c r="D18"/>
  <c r="W17"/>
  <c r="S17"/>
  <c r="O17"/>
  <c r="K17"/>
  <c r="G17"/>
  <c r="C17"/>
  <c r="V16"/>
  <c r="R16"/>
  <c r="N16"/>
  <c r="J16"/>
  <c r="F16"/>
  <c r="Y15"/>
  <c r="U15"/>
  <c r="Q15"/>
  <c r="M15"/>
  <c r="I15"/>
  <c r="E15"/>
  <c r="X14"/>
  <c r="T14"/>
  <c r="P14"/>
  <c r="L14"/>
  <c r="H14"/>
  <c r="D14"/>
  <c r="W13"/>
  <c r="S13"/>
  <c r="O13"/>
  <c r="K13"/>
  <c r="G13"/>
  <c r="C13"/>
  <c r="V12"/>
  <c r="R12"/>
  <c r="N12"/>
  <c r="J12"/>
  <c r="F12"/>
  <c r="Y11"/>
  <c r="U11"/>
  <c r="Q11"/>
  <c r="M11"/>
  <c r="I11"/>
  <c r="E11"/>
  <c r="X10"/>
  <c r="T10"/>
  <c r="P10"/>
  <c r="L10"/>
  <c r="H10"/>
  <c r="D10"/>
  <c r="W9"/>
  <c r="S9"/>
  <c r="O9"/>
  <c r="K9"/>
  <c r="G9"/>
  <c r="C9"/>
  <c r="V8"/>
  <c r="R8"/>
  <c r="N8"/>
  <c r="J8"/>
  <c r="F8"/>
  <c r="Y7"/>
  <c r="U7"/>
  <c r="Q7"/>
  <c r="M7"/>
  <c r="I7"/>
  <c r="E7"/>
  <c r="F31" i="34"/>
  <c r="H30"/>
  <c r="D30"/>
  <c r="F29"/>
  <c r="H28"/>
  <c r="D28"/>
  <c r="F27"/>
  <c r="H26"/>
  <c r="D26"/>
  <c r="F25"/>
  <c r="H24"/>
  <c r="D24"/>
  <c r="F23"/>
  <c r="H22"/>
  <c r="D22"/>
  <c r="F21"/>
  <c r="H20"/>
  <c r="D20"/>
  <c r="F19"/>
  <c r="H18"/>
  <c r="D18"/>
  <c r="F17"/>
  <c r="H16"/>
  <c r="D16"/>
  <c r="F15"/>
  <c r="H14"/>
  <c r="D14"/>
  <c r="F13"/>
  <c r="H12"/>
  <c r="D12"/>
  <c r="F11"/>
  <c r="H10"/>
  <c r="D10"/>
  <c r="F9"/>
  <c r="E30" i="33"/>
  <c r="G29"/>
  <c r="C29"/>
  <c r="E28"/>
  <c r="G27"/>
  <c r="C27"/>
  <c r="E26"/>
  <c r="G25"/>
  <c r="C25"/>
  <c r="E24"/>
  <c r="G23"/>
  <c r="C23"/>
  <c r="E22"/>
  <c r="G21"/>
  <c r="C21"/>
  <c r="E20"/>
  <c r="G19"/>
  <c r="C19"/>
  <c r="E18"/>
  <c r="G17"/>
  <c r="C17"/>
  <c r="E16"/>
  <c r="G15"/>
  <c r="C15"/>
  <c r="E14"/>
  <c r="G13"/>
  <c r="C13"/>
  <c r="E12"/>
  <c r="G11"/>
  <c r="C11"/>
  <c r="E10"/>
  <c r="G9"/>
  <c r="C9"/>
  <c r="E8"/>
  <c r="H33" i="32"/>
  <c r="D33"/>
  <c r="H31"/>
  <c r="D31"/>
  <c r="F30"/>
  <c r="H29"/>
  <c r="D29"/>
  <c r="F28"/>
  <c r="H27"/>
  <c r="D27"/>
  <c r="F26"/>
  <c r="H25"/>
  <c r="D25"/>
  <c r="F24"/>
  <c r="H23"/>
  <c r="D23"/>
  <c r="F22"/>
  <c r="H21"/>
  <c r="D21"/>
  <c r="F20"/>
  <c r="F18"/>
  <c r="H17"/>
  <c r="D17"/>
  <c r="F16"/>
  <c r="H15"/>
  <c r="D15"/>
  <c r="F14"/>
  <c r="G38" i="36"/>
  <c r="V37"/>
  <c r="N37"/>
  <c r="F37"/>
  <c r="U36"/>
  <c r="M36"/>
  <c r="E36"/>
  <c r="T35"/>
  <c r="L35"/>
  <c r="D35"/>
  <c r="S34"/>
  <c r="K34"/>
  <c r="C34"/>
  <c r="R33"/>
  <c r="J33"/>
  <c r="Y32"/>
  <c r="Q32"/>
  <c r="I32"/>
  <c r="C32"/>
  <c r="V31"/>
  <c r="R31"/>
  <c r="N31"/>
  <c r="J31"/>
  <c r="F31"/>
  <c r="Y30"/>
  <c r="U30"/>
  <c r="Q30"/>
  <c r="M30"/>
  <c r="I30"/>
  <c r="E30"/>
  <c r="X29"/>
  <c r="T29"/>
  <c r="P29"/>
  <c r="L29"/>
  <c r="H29"/>
  <c r="D29"/>
  <c r="W28"/>
  <c r="S28"/>
  <c r="O28"/>
  <c r="K28"/>
  <c r="G28"/>
  <c r="C28"/>
  <c r="V27"/>
  <c r="R27"/>
  <c r="N27"/>
  <c r="J27"/>
  <c r="F27"/>
  <c r="Y26"/>
  <c r="U26"/>
  <c r="Q26"/>
  <c r="M26"/>
  <c r="I26"/>
  <c r="E26"/>
  <c r="X25"/>
  <c r="T25"/>
  <c r="P25"/>
  <c r="L25"/>
  <c r="H25"/>
  <c r="D25"/>
  <c r="W24"/>
  <c r="S24"/>
  <c r="O24"/>
  <c r="K24"/>
  <c r="G24"/>
  <c r="C24"/>
  <c r="V23"/>
  <c r="R23"/>
  <c r="N23"/>
  <c r="J23"/>
  <c r="F23"/>
  <c r="Y22"/>
  <c r="U22"/>
  <c r="Q22"/>
  <c r="M22"/>
  <c r="I22"/>
  <c r="E22"/>
  <c r="X21"/>
  <c r="T21"/>
  <c r="P21"/>
  <c r="L21"/>
  <c r="H21"/>
  <c r="D21"/>
  <c r="W20"/>
  <c r="S20"/>
  <c r="O20"/>
  <c r="K20"/>
  <c r="G20"/>
  <c r="C20"/>
  <c r="V19"/>
  <c r="R19"/>
  <c r="N19"/>
  <c r="J19"/>
  <c r="F19"/>
  <c r="Y18"/>
  <c r="U18"/>
  <c r="Q18"/>
  <c r="M18"/>
  <c r="I18"/>
  <c r="E18"/>
  <c r="X17"/>
  <c r="T17"/>
  <c r="P17"/>
  <c r="L17"/>
  <c r="H17"/>
  <c r="D17"/>
  <c r="W16"/>
  <c r="S16"/>
  <c r="O16"/>
  <c r="K16"/>
  <c r="G16"/>
  <c r="C16"/>
  <c r="V15"/>
  <c r="R15"/>
  <c r="N15"/>
  <c r="J15"/>
  <c r="F15"/>
  <c r="Y14"/>
  <c r="U14"/>
  <c r="Q14"/>
  <c r="M14"/>
  <c r="I14"/>
  <c r="E14"/>
  <c r="X13"/>
  <c r="T13"/>
  <c r="P13"/>
  <c r="L13"/>
  <c r="H13"/>
  <c r="D13"/>
  <c r="W12"/>
  <c r="S12"/>
  <c r="O12"/>
  <c r="K12"/>
  <c r="G12"/>
  <c r="C12"/>
  <c r="V11"/>
  <c r="R11"/>
  <c r="N11"/>
  <c r="J11"/>
  <c r="F11"/>
  <c r="Y10"/>
  <c r="U10"/>
  <c r="Q10"/>
  <c r="M10"/>
  <c r="I10"/>
  <c r="E10"/>
  <c r="X9"/>
  <c r="T9"/>
  <c r="P9"/>
  <c r="L9"/>
  <c r="H9"/>
  <c r="D9"/>
  <c r="W8"/>
  <c r="S8"/>
  <c r="O8"/>
  <c r="K8"/>
  <c r="G8"/>
  <c r="C8"/>
  <c r="V7"/>
  <c r="R7"/>
  <c r="N7"/>
  <c r="J7"/>
  <c r="F7"/>
  <c r="G31" i="34"/>
  <c r="C31"/>
  <c r="E30"/>
  <c r="G29"/>
  <c r="C29"/>
  <c r="E28"/>
  <c r="G27"/>
  <c r="C27"/>
  <c r="E26"/>
  <c r="G25"/>
  <c r="C25"/>
  <c r="E24"/>
  <c r="G23"/>
  <c r="C23"/>
  <c r="E22"/>
  <c r="G21"/>
  <c r="C21"/>
  <c r="E20"/>
  <c r="G19"/>
  <c r="C19"/>
  <c r="E18"/>
  <c r="G17"/>
  <c r="C17"/>
  <c r="E16"/>
  <c r="G15"/>
  <c r="C15"/>
  <c r="E14"/>
  <c r="G13"/>
  <c r="C13"/>
  <c r="E12"/>
  <c r="G11"/>
  <c r="C11"/>
  <c r="E10"/>
  <c r="G9"/>
  <c r="C9"/>
  <c r="F30" i="33"/>
  <c r="H29"/>
  <c r="D29"/>
  <c r="F28"/>
  <c r="H27"/>
  <c r="D27"/>
  <c r="F26"/>
  <c r="H25"/>
  <c r="D25"/>
  <c r="F24"/>
  <c r="H23"/>
  <c r="D23"/>
  <c r="F22"/>
  <c r="H21"/>
  <c r="D21"/>
  <c r="F20"/>
  <c r="H19"/>
  <c r="D19"/>
  <c r="F18"/>
  <c r="H17"/>
  <c r="D17"/>
  <c r="F16"/>
  <c r="H15"/>
  <c r="D15"/>
  <c r="F14"/>
  <c r="H13"/>
  <c r="D13"/>
  <c r="F12"/>
  <c r="H11"/>
  <c r="D11"/>
  <c r="F10"/>
  <c r="H9"/>
  <c r="D9"/>
  <c r="F8"/>
  <c r="E33" i="32"/>
  <c r="E31"/>
  <c r="G30"/>
  <c r="C30"/>
  <c r="E29"/>
  <c r="G28"/>
  <c r="C28"/>
  <c r="E27"/>
  <c r="G26"/>
  <c r="C26"/>
  <c r="E25"/>
  <c r="G24"/>
  <c r="C24"/>
  <c r="E23"/>
  <c r="G22"/>
  <c r="C22"/>
  <c r="E21"/>
  <c r="G20"/>
  <c r="C20"/>
  <c r="G18"/>
  <c r="C18"/>
  <c r="E17"/>
  <c r="G16"/>
  <c r="C16"/>
  <c r="E15"/>
  <c r="J38" i="36"/>
  <c r="Y37"/>
  <c r="Q37"/>
  <c r="I37"/>
  <c r="X36"/>
  <c r="P36"/>
  <c r="H36"/>
  <c r="W35"/>
  <c r="O35"/>
  <c r="G35"/>
  <c r="V34"/>
  <c r="N34"/>
  <c r="F34"/>
  <c r="U33"/>
  <c r="M33"/>
  <c r="E33"/>
  <c r="T32"/>
  <c r="L32"/>
  <c r="D32"/>
  <c r="W31"/>
  <c r="S31"/>
  <c r="O31"/>
  <c r="K31"/>
  <c r="G31"/>
  <c r="C31"/>
  <c r="V30"/>
  <c r="R30"/>
  <c r="N30"/>
  <c r="J30"/>
  <c r="F30"/>
  <c r="Y29"/>
  <c r="U29"/>
  <c r="Q29"/>
  <c r="M29"/>
  <c r="I29"/>
  <c r="E29"/>
  <c r="X28"/>
  <c r="T28"/>
  <c r="P28"/>
  <c r="L28"/>
  <c r="H28"/>
  <c r="D28"/>
  <c r="W27"/>
  <c r="S27"/>
  <c r="O27"/>
  <c r="K27"/>
  <c r="G27"/>
  <c r="C27"/>
  <c r="V26"/>
  <c r="R26"/>
  <c r="N26"/>
  <c r="J26"/>
  <c r="F26"/>
  <c r="Y25"/>
  <c r="U25"/>
  <c r="Q25"/>
  <c r="M25"/>
  <c r="I25"/>
  <c r="E25"/>
  <c r="X24"/>
  <c r="T24"/>
  <c r="P24"/>
  <c r="L24"/>
  <c r="H24"/>
  <c r="D24"/>
  <c r="W23"/>
  <c r="S23"/>
  <c r="O23"/>
  <c r="K23"/>
  <c r="G23"/>
  <c r="C23"/>
  <c r="V22"/>
  <c r="R22"/>
  <c r="N22"/>
  <c r="J22"/>
  <c r="F22"/>
  <c r="Y21"/>
  <c r="U21"/>
  <c r="Q21"/>
  <c r="M21"/>
  <c r="I21"/>
  <c r="E21"/>
  <c r="X20"/>
  <c r="T20"/>
  <c r="P20"/>
  <c r="L20"/>
  <c r="H20"/>
  <c r="D20"/>
  <c r="W19"/>
  <c r="S19"/>
  <c r="O19"/>
  <c r="K19"/>
  <c r="G19"/>
  <c r="C19"/>
  <c r="V18"/>
  <c r="R18"/>
  <c r="N18"/>
  <c r="J18"/>
  <c r="F18"/>
  <c r="Y17"/>
  <c r="U17"/>
  <c r="Q17"/>
  <c r="M17"/>
  <c r="I17"/>
  <c r="E17"/>
  <c r="X16"/>
  <c r="T16"/>
  <c r="P16"/>
  <c r="L16"/>
  <c r="H16"/>
  <c r="D16"/>
  <c r="W15"/>
  <c r="S15"/>
  <c r="O15"/>
  <c r="K15"/>
  <c r="G15"/>
  <c r="C15"/>
  <c r="V14"/>
  <c r="R14"/>
  <c r="N14"/>
  <c r="J14"/>
  <c r="F14"/>
  <c r="Y13"/>
  <c r="U13"/>
  <c r="Q13"/>
  <c r="M13"/>
  <c r="I13"/>
  <c r="E13"/>
  <c r="X12"/>
  <c r="T12"/>
  <c r="P12"/>
  <c r="L12"/>
  <c r="H12"/>
  <c r="D12"/>
  <c r="W11"/>
  <c r="S11"/>
  <c r="O11"/>
  <c r="K11"/>
  <c r="G11"/>
  <c r="C11"/>
  <c r="V10"/>
  <c r="R10"/>
  <c r="N10"/>
  <c r="J10"/>
  <c r="F10"/>
  <c r="Y9"/>
  <c r="U9"/>
  <c r="Q9"/>
  <c r="M9"/>
  <c r="I9"/>
  <c r="E9"/>
  <c r="X8"/>
  <c r="T8"/>
  <c r="P8"/>
  <c r="L8"/>
  <c r="H8"/>
  <c r="D8"/>
  <c r="W7"/>
  <c r="S7"/>
  <c r="O7"/>
  <c r="K7"/>
  <c r="G7"/>
  <c r="C7"/>
  <c r="H31" i="34"/>
  <c r="D31"/>
  <c r="F30"/>
  <c r="H29"/>
  <c r="D29"/>
  <c r="F28"/>
  <c r="H27"/>
  <c r="D27"/>
  <c r="F26"/>
  <c r="H25"/>
  <c r="D25"/>
  <c r="F24"/>
  <c r="H23"/>
  <c r="D23"/>
  <c r="F22"/>
  <c r="H21"/>
  <c r="D21"/>
  <c r="F20"/>
  <c r="H19"/>
  <c r="D19"/>
  <c r="F18"/>
  <c r="H17"/>
  <c r="D17"/>
  <c r="F16"/>
  <c r="H15"/>
  <c r="D15"/>
  <c r="F14"/>
  <c r="H13"/>
  <c r="D13"/>
  <c r="F12"/>
  <c r="H11"/>
  <c r="D11"/>
  <c r="F10"/>
  <c r="H9"/>
  <c r="D9"/>
  <c r="G30" i="33"/>
  <c r="C30"/>
  <c r="E29"/>
  <c r="G28"/>
  <c r="C28"/>
  <c r="E27"/>
  <c r="G26"/>
  <c r="C26"/>
  <c r="E25"/>
  <c r="G24"/>
  <c r="C24"/>
  <c r="E23"/>
  <c r="G22"/>
  <c r="C22"/>
  <c r="E21"/>
  <c r="G20"/>
  <c r="C20"/>
  <c r="E19"/>
  <c r="G18"/>
  <c r="C18"/>
  <c r="E17"/>
  <c r="G16"/>
  <c r="C16"/>
  <c r="E15"/>
  <c r="G14"/>
  <c r="C14"/>
  <c r="E13"/>
  <c r="G12"/>
  <c r="C12"/>
  <c r="E11"/>
  <c r="G10"/>
  <c r="C10"/>
  <c r="E9"/>
  <c r="G8"/>
  <c r="C8"/>
  <c r="F33" i="32"/>
  <c r="F31"/>
  <c r="H30"/>
  <c r="D30"/>
  <c r="F29"/>
  <c r="H28"/>
  <c r="D28"/>
  <c r="F27"/>
  <c r="H26"/>
  <c r="D26"/>
  <c r="F25"/>
  <c r="H24"/>
  <c r="D24"/>
  <c r="F23"/>
  <c r="H22"/>
  <c r="D22"/>
  <c r="F21"/>
  <c r="H20"/>
  <c r="D20"/>
  <c r="H18"/>
  <c r="D18"/>
  <c r="F17"/>
  <c r="H16"/>
  <c r="D16"/>
  <c r="F15"/>
  <c r="H14"/>
  <c r="D14"/>
  <c r="F13"/>
  <c r="H12"/>
  <c r="D12"/>
  <c r="F11"/>
  <c r="D28" i="28"/>
  <c r="D26"/>
  <c r="D25"/>
  <c r="D24"/>
  <c r="D23"/>
  <c r="D22"/>
  <c r="D21"/>
  <c r="D20"/>
  <c r="D19"/>
  <c r="D18"/>
  <c r="D17"/>
  <c r="D16"/>
  <c r="D15"/>
  <c r="D13"/>
  <c r="D12"/>
  <c r="D11"/>
  <c r="D10"/>
  <c r="D9"/>
  <c r="D8"/>
  <c r="D7"/>
  <c r="D6"/>
  <c r="AU71" i="27"/>
  <c r="AQ71"/>
  <c r="AM71"/>
  <c r="AI71"/>
  <c r="AE71"/>
  <c r="AA71"/>
  <c r="W71"/>
  <c r="O71"/>
  <c r="K71"/>
  <c r="G71"/>
  <c r="C71"/>
  <c r="AO70"/>
  <c r="K38" i="36"/>
  <c r="C38"/>
  <c r="R37"/>
  <c r="J37"/>
  <c r="Y36"/>
  <c r="Q36"/>
  <c r="I36"/>
  <c r="X35"/>
  <c r="P35"/>
  <c r="H35"/>
  <c r="W34"/>
  <c r="O34"/>
  <c r="G34"/>
  <c r="V33"/>
  <c r="N33"/>
  <c r="F33"/>
  <c r="U32"/>
  <c r="M32"/>
  <c r="E32"/>
  <c r="X31"/>
  <c r="T31"/>
  <c r="P31"/>
  <c r="L31"/>
  <c r="H31"/>
  <c r="D31"/>
  <c r="W30"/>
  <c r="S30"/>
  <c r="O30"/>
  <c r="K30"/>
  <c r="G30"/>
  <c r="C30"/>
  <c r="V29"/>
  <c r="R29"/>
  <c r="N29"/>
  <c r="J29"/>
  <c r="F29"/>
  <c r="Y28"/>
  <c r="U28"/>
  <c r="Q28"/>
  <c r="M28"/>
  <c r="I28"/>
  <c r="E28"/>
  <c r="X27"/>
  <c r="T27"/>
  <c r="P27"/>
  <c r="L27"/>
  <c r="H27"/>
  <c r="D27"/>
  <c r="W26"/>
  <c r="S26"/>
  <c r="O26"/>
  <c r="K26"/>
  <c r="G26"/>
  <c r="C26"/>
  <c r="V25"/>
  <c r="R25"/>
  <c r="N25"/>
  <c r="J25"/>
  <c r="F25"/>
  <c r="Y24"/>
  <c r="U24"/>
  <c r="Q24"/>
  <c r="M24"/>
  <c r="I24"/>
  <c r="E24"/>
  <c r="X23"/>
  <c r="T23"/>
  <c r="P23"/>
  <c r="L23"/>
  <c r="H23"/>
  <c r="D23"/>
  <c r="W22"/>
  <c r="S22"/>
  <c r="O22"/>
  <c r="K22"/>
  <c r="G22"/>
  <c r="C22"/>
  <c r="V21"/>
  <c r="R21"/>
  <c r="N21"/>
  <c r="J21"/>
  <c r="F21"/>
  <c r="Y20"/>
  <c r="U20"/>
  <c r="Q20"/>
  <c r="M20"/>
  <c r="I20"/>
  <c r="E20"/>
  <c r="X19"/>
  <c r="T19"/>
  <c r="P19"/>
  <c r="L19"/>
  <c r="H19"/>
  <c r="D19"/>
  <c r="W18"/>
  <c r="S18"/>
  <c r="O18"/>
  <c r="K18"/>
  <c r="G18"/>
  <c r="C18"/>
  <c r="V17"/>
  <c r="R17"/>
  <c r="N17"/>
  <c r="J17"/>
  <c r="F17"/>
  <c r="Y16"/>
  <c r="U16"/>
  <c r="Q16"/>
  <c r="M16"/>
  <c r="I16"/>
  <c r="E16"/>
  <c r="X15"/>
  <c r="T15"/>
  <c r="P15"/>
  <c r="L15"/>
  <c r="H15"/>
  <c r="D15"/>
  <c r="W14"/>
  <c r="S14"/>
  <c r="O14"/>
  <c r="K14"/>
  <c r="G14"/>
  <c r="C14"/>
  <c r="V13"/>
  <c r="R13"/>
  <c r="N13"/>
  <c r="J13"/>
  <c r="F13"/>
  <c r="Y12"/>
  <c r="U12"/>
  <c r="Q12"/>
  <c r="M12"/>
  <c r="I12"/>
  <c r="E12"/>
  <c r="X11"/>
  <c r="T11"/>
  <c r="P11"/>
  <c r="L11"/>
  <c r="H11"/>
  <c r="D11"/>
  <c r="W10"/>
  <c r="S10"/>
  <c r="O10"/>
  <c r="K10"/>
  <c r="G10"/>
  <c r="C10"/>
  <c r="V9"/>
  <c r="R9"/>
  <c r="N9"/>
  <c r="J9"/>
  <c r="F9"/>
  <c r="Y8"/>
  <c r="U8"/>
  <c r="Q8"/>
  <c r="M8"/>
  <c r="I8"/>
  <c r="E8"/>
  <c r="X7"/>
  <c r="T7"/>
  <c r="P7"/>
  <c r="L7"/>
  <c r="H7"/>
  <c r="D7"/>
  <c r="E31" i="34"/>
  <c r="G30"/>
  <c r="C30"/>
  <c r="E29"/>
  <c r="G28"/>
  <c r="C28"/>
  <c r="E27"/>
  <c r="G26"/>
  <c r="C26"/>
  <c r="E25"/>
  <c r="G24"/>
  <c r="C24"/>
  <c r="E23"/>
  <c r="G22"/>
  <c r="C22"/>
  <c r="E21"/>
  <c r="G20"/>
  <c r="C20"/>
  <c r="E19"/>
  <c r="G18"/>
  <c r="C18"/>
  <c r="E17"/>
  <c r="G16"/>
  <c r="C16"/>
  <c r="E15"/>
  <c r="G14"/>
  <c r="C14"/>
  <c r="E13"/>
  <c r="G12"/>
  <c r="C12"/>
  <c r="E11"/>
  <c r="G10"/>
  <c r="C10"/>
  <c r="E9"/>
  <c r="H30" i="33"/>
  <c r="D30"/>
  <c r="F29"/>
  <c r="H28"/>
  <c r="D28"/>
  <c r="F27"/>
  <c r="H26"/>
  <c r="D26"/>
  <c r="F25"/>
  <c r="H24"/>
  <c r="D24"/>
  <c r="F23"/>
  <c r="H22"/>
  <c r="D22"/>
  <c r="F21"/>
  <c r="H20"/>
  <c r="D20"/>
  <c r="F19"/>
  <c r="H18"/>
  <c r="D18"/>
  <c r="F17"/>
  <c r="H16"/>
  <c r="D16"/>
  <c r="F15"/>
  <c r="H14"/>
  <c r="D14"/>
  <c r="F13"/>
  <c r="H12"/>
  <c r="D12"/>
  <c r="F11"/>
  <c r="H10"/>
  <c r="D10"/>
  <c r="F9"/>
  <c r="H8"/>
  <c r="D8"/>
  <c r="G33" i="32"/>
  <c r="C33"/>
  <c r="G31"/>
  <c r="C31"/>
  <c r="E30"/>
  <c r="G29"/>
  <c r="C29"/>
  <c r="E28"/>
  <c r="G27"/>
  <c r="C27"/>
  <c r="E26"/>
  <c r="G25"/>
  <c r="C25"/>
  <c r="E24"/>
  <c r="G23"/>
  <c r="C23"/>
  <c r="E22"/>
  <c r="G21"/>
  <c r="C21"/>
  <c r="E20"/>
  <c r="E18"/>
  <c r="G17"/>
  <c r="C17"/>
  <c r="E16"/>
  <c r="G15"/>
  <c r="C15"/>
  <c r="E14"/>
  <c r="G13"/>
  <c r="C13"/>
  <c r="E12"/>
  <c r="G11"/>
  <c r="C11"/>
  <c r="E28" i="28"/>
  <c r="E26"/>
  <c r="E25"/>
  <c r="E24"/>
  <c r="E23"/>
  <c r="E22"/>
  <c r="E21"/>
  <c r="E20"/>
  <c r="E19"/>
  <c r="E18"/>
  <c r="E17"/>
  <c r="E16"/>
  <c r="E15"/>
  <c r="E13"/>
  <c r="E12"/>
  <c r="E11"/>
  <c r="E10"/>
  <c r="E9"/>
  <c r="E8"/>
  <c r="E7"/>
  <c r="E6"/>
  <c r="C14" i="32"/>
  <c r="G12"/>
  <c r="E11"/>
  <c r="AO71" i="27"/>
  <c r="AG71"/>
  <c r="Y71"/>
  <c r="Q71"/>
  <c r="I71"/>
  <c r="AU70"/>
  <c r="AM70"/>
  <c r="AI70"/>
  <c r="AE70"/>
  <c r="AA70"/>
  <c r="W70"/>
  <c r="O70"/>
  <c r="K70"/>
  <c r="G70"/>
  <c r="C70"/>
  <c r="AO69"/>
  <c r="AK69"/>
  <c r="AG69"/>
  <c r="AC69"/>
  <c r="Y69"/>
  <c r="U69"/>
  <c r="Q69"/>
  <c r="M69"/>
  <c r="I69"/>
  <c r="E69"/>
  <c r="AU68"/>
  <c r="AQ68"/>
  <c r="AM68"/>
  <c r="AI68"/>
  <c r="AE68"/>
  <c r="AA68"/>
  <c r="W68"/>
  <c r="O68"/>
  <c r="K68"/>
  <c r="G68"/>
  <c r="C68"/>
  <c r="AO67"/>
  <c r="AK67"/>
  <c r="AG67"/>
  <c r="AC67"/>
  <c r="Y67"/>
  <c r="U67"/>
  <c r="Q67"/>
  <c r="M67"/>
  <c r="I67"/>
  <c r="E67"/>
  <c r="AU66"/>
  <c r="AQ66"/>
  <c r="AM66"/>
  <c r="AI66"/>
  <c r="AE66"/>
  <c r="AA66"/>
  <c r="W66"/>
  <c r="O66"/>
  <c r="K66"/>
  <c r="G66"/>
  <c r="C66"/>
  <c r="AO65"/>
  <c r="AK65"/>
  <c r="AG65"/>
  <c r="AC65"/>
  <c r="Y65"/>
  <c r="U65"/>
  <c r="Q65"/>
  <c r="M65"/>
  <c r="I65"/>
  <c r="E65"/>
  <c r="AU64"/>
  <c r="AQ64"/>
  <c r="AM64"/>
  <c r="AI64"/>
  <c r="AE64"/>
  <c r="AA64"/>
  <c r="W64"/>
  <c r="O64"/>
  <c r="K64"/>
  <c r="G64"/>
  <c r="C64"/>
  <c r="AO63"/>
  <c r="AK63"/>
  <c r="AG63"/>
  <c r="AC63"/>
  <c r="Y63"/>
  <c r="U63"/>
  <c r="Q63"/>
  <c r="M63"/>
  <c r="I63"/>
  <c r="E63"/>
  <c r="AU62"/>
  <c r="AQ62"/>
  <c r="AM62"/>
  <c r="AI62"/>
  <c r="AE62"/>
  <c r="AA62"/>
  <c r="W62"/>
  <c r="O62"/>
  <c r="K62"/>
  <c r="G62"/>
  <c r="C62"/>
  <c r="AO61"/>
  <c r="AK61"/>
  <c r="AG61"/>
  <c r="AC61"/>
  <c r="Y61"/>
  <c r="U61"/>
  <c r="Q61"/>
  <c r="M61"/>
  <c r="I61"/>
  <c r="E61"/>
  <c r="AU60"/>
  <c r="AQ60"/>
  <c r="AM60"/>
  <c r="AI60"/>
  <c r="AE60"/>
  <c r="AA60"/>
  <c r="W60"/>
  <c r="O60"/>
  <c r="K60"/>
  <c r="G60"/>
  <c r="C60"/>
  <c r="AO59"/>
  <c r="AK59"/>
  <c r="AG59"/>
  <c r="AC59"/>
  <c r="Y59"/>
  <c r="U59"/>
  <c r="Q59"/>
  <c r="M59"/>
  <c r="I59"/>
  <c r="E59"/>
  <c r="AU58"/>
  <c r="AQ58"/>
  <c r="AM58"/>
  <c r="AI58"/>
  <c r="AE58"/>
  <c r="AA58"/>
  <c r="W58"/>
  <c r="O58"/>
  <c r="K58"/>
  <c r="G14" i="32"/>
  <c r="D13"/>
  <c r="H11"/>
  <c r="E13"/>
  <c r="C12"/>
  <c r="AK71" i="27"/>
  <c r="AC71"/>
  <c r="U71"/>
  <c r="M71"/>
  <c r="E71"/>
  <c r="AQ70"/>
  <c r="AK70"/>
  <c r="AG70"/>
  <c r="AC70"/>
  <c r="Y70"/>
  <c r="U70"/>
  <c r="Q70"/>
  <c r="M70"/>
  <c r="I70"/>
  <c r="E70"/>
  <c r="AU69"/>
  <c r="AQ69"/>
  <c r="AM69"/>
  <c r="AI69"/>
  <c r="AE69"/>
  <c r="AA69"/>
  <c r="W69"/>
  <c r="O69"/>
  <c r="K69"/>
  <c r="G69"/>
  <c r="C69"/>
  <c r="AO68"/>
  <c r="AK68"/>
  <c r="AG68"/>
  <c r="AC68"/>
  <c r="Y68"/>
  <c r="U68"/>
  <c r="Q68"/>
  <c r="M68"/>
  <c r="I68"/>
  <c r="E68"/>
  <c r="AU67"/>
  <c r="AQ67"/>
  <c r="AM67"/>
  <c r="AI67"/>
  <c r="AE67"/>
  <c r="AA67"/>
  <c r="W67"/>
  <c r="O67"/>
  <c r="K67"/>
  <c r="G67"/>
  <c r="C67"/>
  <c r="AO66"/>
  <c r="AK66"/>
  <c r="AG66"/>
  <c r="AC66"/>
  <c r="Y66"/>
  <c r="U66"/>
  <c r="Q66"/>
  <c r="M66"/>
  <c r="I66"/>
  <c r="E66"/>
  <c r="AU65"/>
  <c r="AQ65"/>
  <c r="AM65"/>
  <c r="AI65"/>
  <c r="AE65"/>
  <c r="AA65"/>
  <c r="W65"/>
  <c r="O65"/>
  <c r="K65"/>
  <c r="G65"/>
  <c r="C65"/>
  <c r="AO64"/>
  <c r="AK64"/>
  <c r="AG64"/>
  <c r="AC64"/>
  <c r="Y64"/>
  <c r="U64"/>
  <c r="Q64"/>
  <c r="M64"/>
  <c r="I64"/>
  <c r="E64"/>
  <c r="AU63"/>
  <c r="AQ63"/>
  <c r="AM63"/>
  <c r="AI63"/>
  <c r="AE63"/>
  <c r="AA63"/>
  <c r="W63"/>
  <c r="O63"/>
  <c r="K63"/>
  <c r="G63"/>
  <c r="C63"/>
  <c r="AO62"/>
  <c r="AK62"/>
  <c r="AG62"/>
  <c r="AC62"/>
  <c r="Y62"/>
  <c r="U62"/>
  <c r="Q62"/>
  <c r="M62"/>
  <c r="I62"/>
  <c r="E62"/>
  <c r="AU61"/>
  <c r="AQ61"/>
  <c r="AM61"/>
  <c r="AI61"/>
  <c r="AE61"/>
  <c r="AA61"/>
  <c r="W61"/>
  <c r="O61"/>
  <c r="K61"/>
  <c r="G61"/>
  <c r="C61"/>
  <c r="AO60"/>
  <c r="AK60"/>
  <c r="AG60"/>
  <c r="AC60"/>
  <c r="Y60"/>
  <c r="U60"/>
  <c r="Q60"/>
  <c r="M60"/>
  <c r="I60"/>
  <c r="E60"/>
  <c r="AU59"/>
  <c r="AQ59"/>
  <c r="AM59"/>
  <c r="AI59"/>
  <c r="AE59"/>
  <c r="AA59"/>
  <c r="W59"/>
  <c r="O59"/>
  <c r="K59"/>
  <c r="G59"/>
  <c r="C59"/>
  <c r="AO58"/>
  <c r="AK58"/>
  <c r="AG58"/>
  <c r="AC58"/>
  <c r="Y58"/>
  <c r="U58"/>
  <c r="Q58"/>
  <c r="M58"/>
  <c r="I58"/>
  <c r="E58"/>
  <c r="AU57"/>
  <c r="AQ57"/>
  <c r="AM57"/>
  <c r="AI57"/>
  <c r="AE57"/>
  <c r="AA57"/>
  <c r="W57"/>
  <c r="O57"/>
  <c r="K57"/>
  <c r="G57"/>
  <c r="C57"/>
  <c r="AO56"/>
  <c r="AK56"/>
  <c r="AG56"/>
  <c r="AC56"/>
  <c r="Y56"/>
  <c r="U56"/>
  <c r="Q56"/>
  <c r="M56"/>
  <c r="I56"/>
  <c r="E56"/>
  <c r="AU55"/>
  <c r="AQ55"/>
  <c r="AM55"/>
  <c r="AI55"/>
  <c r="AE55"/>
  <c r="AA55"/>
  <c r="W55"/>
  <c r="O55"/>
  <c r="K55"/>
  <c r="G55"/>
  <c r="C55"/>
  <c r="AO54"/>
  <c r="AK54"/>
  <c r="AG54"/>
  <c r="AC54"/>
  <c r="Y54"/>
  <c r="U54"/>
  <c r="Q54"/>
  <c r="M54"/>
  <c r="I54"/>
  <c r="E54"/>
  <c r="AU53"/>
  <c r="AQ53"/>
  <c r="AM53"/>
  <c r="AI53"/>
  <c r="AE53"/>
  <c r="AA53"/>
  <c r="W53"/>
  <c r="O53"/>
  <c r="K53"/>
  <c r="G53"/>
  <c r="C53"/>
  <c r="AO52"/>
  <c r="AK52"/>
  <c r="H13" i="32"/>
  <c r="F12"/>
  <c r="D11"/>
  <c r="G58" i="27"/>
  <c r="AK57"/>
  <c r="U57"/>
  <c r="E57"/>
  <c r="AI56"/>
  <c r="C56"/>
  <c r="AE52"/>
  <c r="Y52"/>
  <c r="O52"/>
  <c r="I52"/>
  <c r="AM51"/>
  <c r="AC51"/>
  <c r="W51"/>
  <c r="M51"/>
  <c r="G51"/>
  <c r="AQ50"/>
  <c r="AK50"/>
  <c r="AG50"/>
  <c r="AC50"/>
  <c r="Y50"/>
  <c r="U50"/>
  <c r="Q50"/>
  <c r="M50"/>
  <c r="I50"/>
  <c r="E50"/>
  <c r="AU49"/>
  <c r="AQ49"/>
  <c r="AM49"/>
  <c r="AI49"/>
  <c r="AE49"/>
  <c r="AA49"/>
  <c r="W49"/>
  <c r="O49"/>
  <c r="K49"/>
  <c r="G49"/>
  <c r="C49"/>
  <c r="AO48"/>
  <c r="AK48"/>
  <c r="AG48"/>
  <c r="AC48"/>
  <c r="Y48"/>
  <c r="U48"/>
  <c r="Q48"/>
  <c r="M48"/>
  <c r="I48"/>
  <c r="E48"/>
  <c r="AU47"/>
  <c r="AQ47"/>
  <c r="AM47"/>
  <c r="AI47"/>
  <c r="AE47"/>
  <c r="AA47"/>
  <c r="W47"/>
  <c r="O47"/>
  <c r="K47"/>
  <c r="G47"/>
  <c r="C47"/>
  <c r="AO46"/>
  <c r="AK46"/>
  <c r="AG46"/>
  <c r="AC46"/>
  <c r="Y46"/>
  <c r="U46"/>
  <c r="Q46"/>
  <c r="M46"/>
  <c r="I46"/>
  <c r="E46"/>
  <c r="AU45"/>
  <c r="AQ45"/>
  <c r="AM45"/>
  <c r="AI45"/>
  <c r="AE45"/>
  <c r="AA45"/>
  <c r="W45"/>
  <c r="O45"/>
  <c r="K45"/>
  <c r="G45"/>
  <c r="C45"/>
  <c r="AO44"/>
  <c r="AK44"/>
  <c r="AG44"/>
  <c r="AC44"/>
  <c r="Y44"/>
  <c r="U44"/>
  <c r="Q44"/>
  <c r="M44"/>
  <c r="I44"/>
  <c r="E44"/>
  <c r="AU43"/>
  <c r="AQ43"/>
  <c r="AM43"/>
  <c r="AI43"/>
  <c r="AE43"/>
  <c r="AA43"/>
  <c r="W43"/>
  <c r="O43"/>
  <c r="K43"/>
  <c r="G43"/>
  <c r="C43"/>
  <c r="AO42"/>
  <c r="AK42"/>
  <c r="AG42"/>
  <c r="AC42"/>
  <c r="Y42"/>
  <c r="U42"/>
  <c r="Q42"/>
  <c r="M42"/>
  <c r="I42"/>
  <c r="E42"/>
  <c r="AU41"/>
  <c r="AQ41"/>
  <c r="AM41"/>
  <c r="AI41"/>
  <c r="AE41"/>
  <c r="AA41"/>
  <c r="W41"/>
  <c r="O41"/>
  <c r="K41"/>
  <c r="G41"/>
  <c r="C41"/>
  <c r="AO40"/>
  <c r="AK40"/>
  <c r="AG40"/>
  <c r="AC40"/>
  <c r="Y40"/>
  <c r="U40"/>
  <c r="Q40"/>
  <c r="M40"/>
  <c r="I40"/>
  <c r="E40"/>
  <c r="AU39"/>
  <c r="AQ39"/>
  <c r="AM39"/>
  <c r="AI39"/>
  <c r="AE39"/>
  <c r="AA39"/>
  <c r="W39"/>
  <c r="O39"/>
  <c r="K39"/>
  <c r="G39"/>
  <c r="C39"/>
  <c r="AO38"/>
  <c r="AK38"/>
  <c r="AG38"/>
  <c r="AC38"/>
  <c r="Y38"/>
  <c r="U38"/>
  <c r="Q38"/>
  <c r="M38"/>
  <c r="I38"/>
  <c r="E38"/>
  <c r="AU37"/>
  <c r="AQ37"/>
  <c r="AM37"/>
  <c r="AI37"/>
  <c r="AE37"/>
  <c r="AA37"/>
  <c r="W37"/>
  <c r="O37"/>
  <c r="K37"/>
  <c r="G37"/>
  <c r="C37"/>
  <c r="AO36"/>
  <c r="AK36"/>
  <c r="AG36"/>
  <c r="AC36"/>
  <c r="Y36"/>
  <c r="U36"/>
  <c r="Q36"/>
  <c r="M36"/>
  <c r="I36"/>
  <c r="E36"/>
  <c r="AU35"/>
  <c r="AQ35"/>
  <c r="AM35"/>
  <c r="AI35"/>
  <c r="AE35"/>
  <c r="AA35"/>
  <c r="W35"/>
  <c r="O35"/>
  <c r="K35"/>
  <c r="G35"/>
  <c r="C35"/>
  <c r="AO34"/>
  <c r="AK34"/>
  <c r="AG34"/>
  <c r="AC34"/>
  <c r="Y34"/>
  <c r="U34"/>
  <c r="Q34"/>
  <c r="M34"/>
  <c r="I34"/>
  <c r="E34"/>
  <c r="AU33"/>
  <c r="AQ33"/>
  <c r="AM33"/>
  <c r="AI33"/>
  <c r="AE33"/>
  <c r="AA33"/>
  <c r="W33"/>
  <c r="O33"/>
  <c r="K33"/>
  <c r="G33"/>
  <c r="C33"/>
  <c r="AO32"/>
  <c r="AK32"/>
  <c r="AG32"/>
  <c r="AC32"/>
  <c r="Y32"/>
  <c r="U32"/>
  <c r="Q32"/>
  <c r="M32"/>
  <c r="I32"/>
  <c r="E32"/>
  <c r="AU31"/>
  <c r="AQ31"/>
  <c r="AM31"/>
  <c r="AI31"/>
  <c r="AE31"/>
  <c r="AA31"/>
  <c r="W31"/>
  <c r="O31"/>
  <c r="K31"/>
  <c r="G31"/>
  <c r="C31"/>
  <c r="AO30"/>
  <c r="AK30"/>
  <c r="AG30"/>
  <c r="AC30"/>
  <c r="Y30"/>
  <c r="U30"/>
  <c r="Q30"/>
  <c r="M30"/>
  <c r="I30"/>
  <c r="E30"/>
  <c r="AU29"/>
  <c r="AQ29"/>
  <c r="AM29"/>
  <c r="AI29"/>
  <c r="AE29"/>
  <c r="AA29"/>
  <c r="W29"/>
  <c r="O29"/>
  <c r="K29"/>
  <c r="G29"/>
  <c r="C29"/>
  <c r="AO28"/>
  <c r="AK28"/>
  <c r="AG28"/>
  <c r="AC28"/>
  <c r="Y28"/>
  <c r="U28"/>
  <c r="Q28"/>
  <c r="M28"/>
  <c r="I28"/>
  <c r="E28"/>
  <c r="AU27"/>
  <c r="AQ27"/>
  <c r="AM27"/>
  <c r="AI27"/>
  <c r="AE27"/>
  <c r="AA27"/>
  <c r="W27"/>
  <c r="O27"/>
  <c r="K27"/>
  <c r="G27"/>
  <c r="C27"/>
  <c r="AO26"/>
  <c r="AK26"/>
  <c r="AG26"/>
  <c r="AC26"/>
  <c r="Y26"/>
  <c r="U26"/>
  <c r="Q26"/>
  <c r="M26"/>
  <c r="I26"/>
  <c r="E26"/>
  <c r="AU25"/>
  <c r="AQ25"/>
  <c r="AM25"/>
  <c r="AI25"/>
  <c r="AE25"/>
  <c r="AA25"/>
  <c r="W25"/>
  <c r="O25"/>
  <c r="K25"/>
  <c r="G25"/>
  <c r="C25"/>
  <c r="AO24"/>
  <c r="AK24"/>
  <c r="AG24"/>
  <c r="AC24"/>
  <c r="Y24"/>
  <c r="U24"/>
  <c r="Q24"/>
  <c r="M24"/>
  <c r="I24"/>
  <c r="E24"/>
  <c r="AU23"/>
  <c r="AQ23"/>
  <c r="AM23"/>
  <c r="AI23"/>
  <c r="AE23"/>
  <c r="AA23"/>
  <c r="W23"/>
  <c r="O23"/>
  <c r="K23"/>
  <c r="G23"/>
  <c r="C23"/>
  <c r="AO22"/>
  <c r="AK22"/>
  <c r="AG22"/>
  <c r="AC22"/>
  <c r="Y22"/>
  <c r="U22"/>
  <c r="Q22"/>
  <c r="M22"/>
  <c r="I22"/>
  <c r="E22"/>
  <c r="AU21"/>
  <c r="AQ21"/>
  <c r="AM21"/>
  <c r="AI21"/>
  <c r="AE21"/>
  <c r="AA21"/>
  <c r="W21"/>
  <c r="O21"/>
  <c r="K21"/>
  <c r="G21"/>
  <c r="C21"/>
  <c r="AO20"/>
  <c r="AK20"/>
  <c r="AG20"/>
  <c r="AC20"/>
  <c r="Y20"/>
  <c r="U20"/>
  <c r="Q20"/>
  <c r="M20"/>
  <c r="I20"/>
  <c r="E20"/>
  <c r="AU19"/>
  <c r="AQ19"/>
  <c r="AM19"/>
  <c r="AI19"/>
  <c r="AE19"/>
  <c r="AA19"/>
  <c r="W19"/>
  <c r="O19"/>
  <c r="K19"/>
  <c r="G19"/>
  <c r="C19"/>
  <c r="AO18"/>
  <c r="AK18"/>
  <c r="AG18"/>
  <c r="AO57"/>
  <c r="Y57"/>
  <c r="I57"/>
  <c r="AM56"/>
  <c r="W56"/>
  <c r="G56"/>
  <c r="AK55"/>
  <c r="AC55"/>
  <c r="U55"/>
  <c r="M55"/>
  <c r="E55"/>
  <c r="AQ54"/>
  <c r="AI54"/>
  <c r="AA54"/>
  <c r="K54"/>
  <c r="C54"/>
  <c r="AO53"/>
  <c r="AG53"/>
  <c r="Y53"/>
  <c r="Q53"/>
  <c r="I53"/>
  <c r="AU52"/>
  <c r="AM52"/>
  <c r="AA52"/>
  <c r="U52"/>
  <c r="K52"/>
  <c r="E52"/>
  <c r="AO51"/>
  <c r="AI51"/>
  <c r="Y51"/>
  <c r="I51"/>
  <c r="C51"/>
  <c r="AM50"/>
  <c r="AC57"/>
  <c r="M57"/>
  <c r="AQ56"/>
  <c r="AA56"/>
  <c r="K56"/>
  <c r="AO55"/>
  <c r="AG52"/>
  <c r="W52"/>
  <c r="Q52"/>
  <c r="G52"/>
  <c r="AU51"/>
  <c r="AK51"/>
  <c r="AE51"/>
  <c r="U51"/>
  <c r="O51"/>
  <c r="E51"/>
  <c r="AI50"/>
  <c r="AE50"/>
  <c r="AA50"/>
  <c r="W50"/>
  <c r="O50"/>
  <c r="K50"/>
  <c r="G50"/>
  <c r="C50"/>
  <c r="AO49"/>
  <c r="AK49"/>
  <c r="AG49"/>
  <c r="AC49"/>
  <c r="Y49"/>
  <c r="U49"/>
  <c r="Q49"/>
  <c r="M49"/>
  <c r="I49"/>
  <c r="E49"/>
  <c r="AU48"/>
  <c r="AQ48"/>
  <c r="AM48"/>
  <c r="AI48"/>
  <c r="AE48"/>
  <c r="AA48"/>
  <c r="W48"/>
  <c r="O48"/>
  <c r="K48"/>
  <c r="G48"/>
  <c r="C48"/>
  <c r="AO47"/>
  <c r="AK47"/>
  <c r="AG47"/>
  <c r="AC47"/>
  <c r="Y47"/>
  <c r="U47"/>
  <c r="Q47"/>
  <c r="M47"/>
  <c r="I47"/>
  <c r="E47"/>
  <c r="AU46"/>
  <c r="AQ46"/>
  <c r="AM46"/>
  <c r="AI46"/>
  <c r="AE46"/>
  <c r="AA46"/>
  <c r="W46"/>
  <c r="O46"/>
  <c r="K46"/>
  <c r="G46"/>
  <c r="C46"/>
  <c r="AO45"/>
  <c r="AK45"/>
  <c r="AG45"/>
  <c r="AC45"/>
  <c r="Y45"/>
  <c r="U45"/>
  <c r="Q45"/>
  <c r="M45"/>
  <c r="I45"/>
  <c r="E45"/>
  <c r="AU44"/>
  <c r="AQ44"/>
  <c r="AM44"/>
  <c r="AI44"/>
  <c r="AE44"/>
  <c r="AA44"/>
  <c r="W44"/>
  <c r="O44"/>
  <c r="K44"/>
  <c r="G44"/>
  <c r="C44"/>
  <c r="AO43"/>
  <c r="AK43"/>
  <c r="AG43"/>
  <c r="AC43"/>
  <c r="Y43"/>
  <c r="U43"/>
  <c r="Q43"/>
  <c r="M43"/>
  <c r="I43"/>
  <c r="E43"/>
  <c r="AU42"/>
  <c r="AQ42"/>
  <c r="AM42"/>
  <c r="AI42"/>
  <c r="AE42"/>
  <c r="AA42"/>
  <c r="W42"/>
  <c r="O42"/>
  <c r="K42"/>
  <c r="G42"/>
  <c r="C42"/>
  <c r="AO41"/>
  <c r="AK41"/>
  <c r="AG41"/>
  <c r="AC41"/>
  <c r="Y41"/>
  <c r="U41"/>
  <c r="Q41"/>
  <c r="M41"/>
  <c r="I41"/>
  <c r="E41"/>
  <c r="AU40"/>
  <c r="AQ40"/>
  <c r="AM40"/>
  <c r="AI40"/>
  <c r="AE40"/>
  <c r="AA40"/>
  <c r="W40"/>
  <c r="O40"/>
  <c r="K40"/>
  <c r="G40"/>
  <c r="C40"/>
  <c r="AO39"/>
  <c r="AK39"/>
  <c r="AG39"/>
  <c r="AC39"/>
  <c r="Y39"/>
  <c r="U39"/>
  <c r="Q39"/>
  <c r="M39"/>
  <c r="I39"/>
  <c r="E39"/>
  <c r="AU38"/>
  <c r="AQ38"/>
  <c r="AM38"/>
  <c r="AI38"/>
  <c r="AE38"/>
  <c r="AA38"/>
  <c r="W38"/>
  <c r="O38"/>
  <c r="K38"/>
  <c r="G38"/>
  <c r="C38"/>
  <c r="AO37"/>
  <c r="AK37"/>
  <c r="AG37"/>
  <c r="AC37"/>
  <c r="Y37"/>
  <c r="U37"/>
  <c r="Q37"/>
  <c r="M37"/>
  <c r="I37"/>
  <c r="E37"/>
  <c r="AU36"/>
  <c r="AQ36"/>
  <c r="AM36"/>
  <c r="AI36"/>
  <c r="AE36"/>
  <c r="AA36"/>
  <c r="W36"/>
  <c r="O36"/>
  <c r="K36"/>
  <c r="G36"/>
  <c r="C36"/>
  <c r="AO35"/>
  <c r="AK35"/>
  <c r="AG35"/>
  <c r="AC35"/>
  <c r="Y35"/>
  <c r="U35"/>
  <c r="Q35"/>
  <c r="M35"/>
  <c r="I35"/>
  <c r="E35"/>
  <c r="AU34"/>
  <c r="AQ34"/>
  <c r="AM34"/>
  <c r="AI34"/>
  <c r="AE34"/>
  <c r="AA34"/>
  <c r="W34"/>
  <c r="O34"/>
  <c r="K34"/>
  <c r="G34"/>
  <c r="C34"/>
  <c r="AO33"/>
  <c r="AK33"/>
  <c r="AG33"/>
  <c r="AC33"/>
  <c r="Y33"/>
  <c r="U33"/>
  <c r="Q33"/>
  <c r="M33"/>
  <c r="I33"/>
  <c r="E33"/>
  <c r="AU32"/>
  <c r="AQ32"/>
  <c r="AM32"/>
  <c r="AI32"/>
  <c r="AE32"/>
  <c r="AA32"/>
  <c r="W32"/>
  <c r="O32"/>
  <c r="K32"/>
  <c r="G32"/>
  <c r="C32"/>
  <c r="AO31"/>
  <c r="AK31"/>
  <c r="AG31"/>
  <c r="AC31"/>
  <c r="Y31"/>
  <c r="U31"/>
  <c r="Q31"/>
  <c r="M31"/>
  <c r="I31"/>
  <c r="E31"/>
  <c r="AU30"/>
  <c r="AQ30"/>
  <c r="AM30"/>
  <c r="AI30"/>
  <c r="AE30"/>
  <c r="AA30"/>
  <c r="W30"/>
  <c r="O30"/>
  <c r="K30"/>
  <c r="G30"/>
  <c r="C30"/>
  <c r="AO29"/>
  <c r="AK29"/>
  <c r="AG29"/>
  <c r="AC29"/>
  <c r="Y29"/>
  <c r="U29"/>
  <c r="Q29"/>
  <c r="M29"/>
  <c r="I29"/>
  <c r="E29"/>
  <c r="AU28"/>
  <c r="AQ28"/>
  <c r="AM28"/>
  <c r="AI28"/>
  <c r="AE28"/>
  <c r="AA28"/>
  <c r="W28"/>
  <c r="O28"/>
  <c r="K28"/>
  <c r="G28"/>
  <c r="C28"/>
  <c r="AO27"/>
  <c r="AK27"/>
  <c r="AG27"/>
  <c r="AC27"/>
  <c r="Y27"/>
  <c r="U27"/>
  <c r="Q27"/>
  <c r="M27"/>
  <c r="I27"/>
  <c r="E27"/>
  <c r="AU26"/>
  <c r="AQ26"/>
  <c r="AM26"/>
  <c r="AI26"/>
  <c r="AE26"/>
  <c r="AA26"/>
  <c r="W26"/>
  <c r="O26"/>
  <c r="K26"/>
  <c r="G26"/>
  <c r="C26"/>
  <c r="AO25"/>
  <c r="AK25"/>
  <c r="AG25"/>
  <c r="AC25"/>
  <c r="Y25"/>
  <c r="U25"/>
  <c r="Q25"/>
  <c r="M25"/>
  <c r="I25"/>
  <c r="E25"/>
  <c r="AU24"/>
  <c r="AQ24"/>
  <c r="AM24"/>
  <c r="AI24"/>
  <c r="AE24"/>
  <c r="AA24"/>
  <c r="W24"/>
  <c r="O24"/>
  <c r="K24"/>
  <c r="G24"/>
  <c r="C24"/>
  <c r="AO23"/>
  <c r="AK23"/>
  <c r="AG23"/>
  <c r="AC23"/>
  <c r="Y23"/>
  <c r="U23"/>
  <c r="Q23"/>
  <c r="M23"/>
  <c r="I23"/>
  <c r="E23"/>
  <c r="AU22"/>
  <c r="AQ22"/>
  <c r="AM22"/>
  <c r="AI22"/>
  <c r="AE22"/>
  <c r="AA22"/>
  <c r="W22"/>
  <c r="O22"/>
  <c r="K22"/>
  <c r="G22"/>
  <c r="C22"/>
  <c r="AO21"/>
  <c r="AK21"/>
  <c r="AG21"/>
  <c r="AC21"/>
  <c r="Y21"/>
  <c r="U21"/>
  <c r="Q21"/>
  <c r="M21"/>
  <c r="I21"/>
  <c r="E21"/>
  <c r="AU20"/>
  <c r="AQ20"/>
  <c r="AM20"/>
  <c r="AI20"/>
  <c r="AE20"/>
  <c r="AA20"/>
  <c r="W20"/>
  <c r="O20"/>
  <c r="K20"/>
  <c r="G20"/>
  <c r="C20"/>
  <c r="AO19"/>
  <c r="AK19"/>
  <c r="AG19"/>
  <c r="AC19"/>
  <c r="Y19"/>
  <c r="U19"/>
  <c r="Q19"/>
  <c r="M19"/>
  <c r="I19"/>
  <c r="E19"/>
  <c r="AU18"/>
  <c r="AQ18"/>
  <c r="AM18"/>
  <c r="AI18"/>
  <c r="AE18"/>
  <c r="AA18"/>
  <c r="W18"/>
  <c r="O18"/>
  <c r="K18"/>
  <c r="G18"/>
  <c r="C18"/>
  <c r="AO17"/>
  <c r="AK17"/>
  <c r="AG17"/>
  <c r="AC17"/>
  <c r="Y17"/>
  <c r="U17"/>
  <c r="Q17"/>
  <c r="M17"/>
  <c r="I17"/>
  <c r="E17"/>
  <c r="AU16"/>
  <c r="AQ16"/>
  <c r="AM16"/>
  <c r="AI16"/>
  <c r="AE16"/>
  <c r="AA16"/>
  <c r="W16"/>
  <c r="O16"/>
  <c r="K16"/>
  <c r="G16"/>
  <c r="C16"/>
  <c r="AO15"/>
  <c r="AK15"/>
  <c r="AG15"/>
  <c r="AC15"/>
  <c r="Y15"/>
  <c r="U15"/>
  <c r="Q15"/>
  <c r="M15"/>
  <c r="I15"/>
  <c r="E15"/>
  <c r="AU14"/>
  <c r="AQ14"/>
  <c r="AM14"/>
  <c r="AI14"/>
  <c r="AE14"/>
  <c r="AA14"/>
  <c r="W14"/>
  <c r="O14"/>
  <c r="K14"/>
  <c r="G14"/>
  <c r="C14"/>
  <c r="AO13"/>
  <c r="AK13"/>
  <c r="AG13"/>
  <c r="AC13"/>
  <c r="Y13"/>
  <c r="U13"/>
  <c r="Q13"/>
  <c r="M13"/>
  <c r="I13"/>
  <c r="E13"/>
  <c r="AU12"/>
  <c r="AQ12"/>
  <c r="AM12"/>
  <c r="AI12"/>
  <c r="AE12"/>
  <c r="AA12"/>
  <c r="W12"/>
  <c r="O12"/>
  <c r="K12"/>
  <c r="G12"/>
  <c r="C58"/>
  <c r="AG57"/>
  <c r="Q57"/>
  <c r="AU56"/>
  <c r="AE56"/>
  <c r="O56"/>
  <c r="AG55"/>
  <c r="Y55"/>
  <c r="Q55"/>
  <c r="I55"/>
  <c r="AU54"/>
  <c r="AM54"/>
  <c r="AE54"/>
  <c r="W54"/>
  <c r="O54"/>
  <c r="G54"/>
  <c r="AK53"/>
  <c r="AC53"/>
  <c r="U53"/>
  <c r="M53"/>
  <c r="E53"/>
  <c r="AQ52"/>
  <c r="AI52"/>
  <c r="AC52"/>
  <c r="M52"/>
  <c r="C52"/>
  <c r="AQ51"/>
  <c r="AG51"/>
  <c r="AA51"/>
  <c r="Q51"/>
  <c r="K51"/>
  <c r="AU50"/>
  <c r="AO50"/>
  <c r="AC18"/>
  <c r="M18"/>
  <c r="AQ17"/>
  <c r="AA17"/>
  <c r="K17"/>
  <c r="AO16"/>
  <c r="Y16"/>
  <c r="I16"/>
  <c r="AM15"/>
  <c r="W15"/>
  <c r="G15"/>
  <c r="AK14"/>
  <c r="U14"/>
  <c r="E14"/>
  <c r="AI13"/>
  <c r="C13"/>
  <c r="AG12"/>
  <c r="Q12"/>
  <c r="C12"/>
  <c r="AO11"/>
  <c r="AG11"/>
  <c r="Y11"/>
  <c r="Q11"/>
  <c r="I11"/>
  <c r="AU10"/>
  <c r="AM10"/>
  <c r="AE10"/>
  <c r="W10"/>
  <c r="O10"/>
  <c r="G10"/>
  <c r="AK9"/>
  <c r="AC9"/>
  <c r="W9"/>
  <c r="M9"/>
  <c r="G9"/>
  <c r="AQ8"/>
  <c r="AK8"/>
  <c r="AA8"/>
  <c r="U8"/>
  <c r="K8"/>
  <c r="E8"/>
  <c r="AO7"/>
  <c r="AI7"/>
  <c r="Y7"/>
  <c r="I7"/>
  <c r="C7"/>
  <c r="C282" i="26"/>
  <c r="D281"/>
  <c r="E280"/>
  <c r="C278"/>
  <c r="D277"/>
  <c r="E276"/>
  <c r="E269"/>
  <c r="E268"/>
  <c r="E267"/>
  <c r="E266"/>
  <c r="E265"/>
  <c r="C263"/>
  <c r="D262"/>
  <c r="E261"/>
  <c r="C259"/>
  <c r="D258"/>
  <c r="D251"/>
  <c r="D250"/>
  <c r="D249"/>
  <c r="D248"/>
  <c r="D247"/>
  <c r="E246"/>
  <c r="C244"/>
  <c r="D243"/>
  <c r="E242"/>
  <c r="C240"/>
  <c r="C233"/>
  <c r="C232"/>
  <c r="C231"/>
  <c r="C230"/>
  <c r="C229"/>
  <c r="D228"/>
  <c r="E227"/>
  <c r="C225"/>
  <c r="D224"/>
  <c r="E223"/>
  <c r="C210"/>
  <c r="D209"/>
  <c r="E208"/>
  <c r="C206"/>
  <c r="D205"/>
  <c r="E204"/>
  <c r="E197"/>
  <c r="E196"/>
  <c r="E195"/>
  <c r="E194"/>
  <c r="E193"/>
  <c r="C191"/>
  <c r="D190"/>
  <c r="E189"/>
  <c r="C187"/>
  <c r="D186"/>
  <c r="D179"/>
  <c r="D178"/>
  <c r="D177"/>
  <c r="D176"/>
  <c r="D175"/>
  <c r="E174"/>
  <c r="C172"/>
  <c r="D171"/>
  <c r="E170"/>
  <c r="C168"/>
  <c r="C161"/>
  <c r="C160"/>
  <c r="C159"/>
  <c r="C158"/>
  <c r="C157"/>
  <c r="D156"/>
  <c r="E155"/>
  <c r="C153"/>
  <c r="D152"/>
  <c r="E151"/>
  <c r="C138"/>
  <c r="D137"/>
  <c r="E136"/>
  <c r="C134"/>
  <c r="D133"/>
  <c r="E132"/>
  <c r="E125"/>
  <c r="E124"/>
  <c r="E123"/>
  <c r="E122"/>
  <c r="E121"/>
  <c r="C119"/>
  <c r="D118"/>
  <c r="E117"/>
  <c r="C115"/>
  <c r="D114"/>
  <c r="D107"/>
  <c r="D106"/>
  <c r="D105"/>
  <c r="D104"/>
  <c r="D103"/>
  <c r="E102"/>
  <c r="C100"/>
  <c r="D99"/>
  <c r="E98"/>
  <c r="C96"/>
  <c r="C89"/>
  <c r="C88"/>
  <c r="C87"/>
  <c r="C86"/>
  <c r="C85"/>
  <c r="D84"/>
  <c r="E83"/>
  <c r="C81"/>
  <c r="D80"/>
  <c r="E79"/>
  <c r="C66"/>
  <c r="D65"/>
  <c r="E64"/>
  <c r="C62"/>
  <c r="D61"/>
  <c r="E60"/>
  <c r="E53"/>
  <c r="E52"/>
  <c r="E51"/>
  <c r="E50"/>
  <c r="E49"/>
  <c r="C47"/>
  <c r="D46"/>
  <c r="E45"/>
  <c r="C43"/>
  <c r="D42"/>
  <c r="D35"/>
  <c r="D34"/>
  <c r="D33"/>
  <c r="D32"/>
  <c r="D31"/>
  <c r="E30"/>
  <c r="C28"/>
  <c r="D27"/>
  <c r="E26"/>
  <c r="C24"/>
  <c r="C17"/>
  <c r="C16"/>
  <c r="C15"/>
  <c r="C14"/>
  <c r="C13"/>
  <c r="D12"/>
  <c r="E11"/>
  <c r="C9"/>
  <c r="D8"/>
  <c r="E7"/>
  <c r="G38" i="24"/>
  <c r="J37"/>
  <c r="F37"/>
  <c r="I36"/>
  <c r="E36"/>
  <c r="H35"/>
  <c r="D35"/>
  <c r="G34"/>
  <c r="J33"/>
  <c r="F33"/>
  <c r="I32"/>
  <c r="E32"/>
  <c r="H31"/>
  <c r="D31"/>
  <c r="G30"/>
  <c r="J29"/>
  <c r="F29"/>
  <c r="I28"/>
  <c r="E28"/>
  <c r="H27"/>
  <c r="D27"/>
  <c r="G26"/>
  <c r="J18"/>
  <c r="F18"/>
  <c r="I17"/>
  <c r="E17"/>
  <c r="H16"/>
  <c r="D16"/>
  <c r="G15"/>
  <c r="J14"/>
  <c r="F14"/>
  <c r="I13"/>
  <c r="E13"/>
  <c r="H12"/>
  <c r="D12"/>
  <c r="G11"/>
  <c r="J10"/>
  <c r="F10"/>
  <c r="I9"/>
  <c r="E9"/>
  <c r="H8"/>
  <c r="D8"/>
  <c r="G7"/>
  <c r="J6"/>
  <c r="F6"/>
  <c r="I69" i="19"/>
  <c r="E69"/>
  <c r="H68"/>
  <c r="D68"/>
  <c r="G67"/>
  <c r="J66"/>
  <c r="F66"/>
  <c r="I65"/>
  <c r="E65"/>
  <c r="H64"/>
  <c r="D64"/>
  <c r="G63"/>
  <c r="J62"/>
  <c r="F62"/>
  <c r="I61"/>
  <c r="E61"/>
  <c r="H60"/>
  <c r="D60"/>
  <c r="G59"/>
  <c r="J58"/>
  <c r="F58"/>
  <c r="I57"/>
  <c r="E57"/>
  <c r="H56"/>
  <c r="D56"/>
  <c r="G55"/>
  <c r="J54"/>
  <c r="F54"/>
  <c r="I53"/>
  <c r="E53"/>
  <c r="H52"/>
  <c r="D52"/>
  <c r="G51"/>
  <c r="J50"/>
  <c r="F50"/>
  <c r="I49"/>
  <c r="E49"/>
  <c r="H48"/>
  <c r="D48"/>
  <c r="G47"/>
  <c r="J46"/>
  <c r="F46"/>
  <c r="I45"/>
  <c r="E45"/>
  <c r="H44"/>
  <c r="D44"/>
  <c r="G43"/>
  <c r="J42"/>
  <c r="F42"/>
  <c r="I41"/>
  <c r="E41"/>
  <c r="H40"/>
  <c r="D40"/>
  <c r="G39"/>
  <c r="J38"/>
  <c r="F38"/>
  <c r="I37"/>
  <c r="E37"/>
  <c r="H36"/>
  <c r="D36"/>
  <c r="G35"/>
  <c r="J34"/>
  <c r="F34"/>
  <c r="I33"/>
  <c r="E33"/>
  <c r="H32"/>
  <c r="D32"/>
  <c r="G31"/>
  <c r="J30"/>
  <c r="F30"/>
  <c r="I29"/>
  <c r="E29"/>
  <c r="H28"/>
  <c r="D28"/>
  <c r="G27"/>
  <c r="J26"/>
  <c r="F26"/>
  <c r="I25"/>
  <c r="E25"/>
  <c r="H24"/>
  <c r="D24"/>
  <c r="G23"/>
  <c r="J22"/>
  <c r="F22"/>
  <c r="I21"/>
  <c r="E21"/>
  <c r="H20"/>
  <c r="D20"/>
  <c r="G19"/>
  <c r="J18"/>
  <c r="F18"/>
  <c r="I17"/>
  <c r="E17"/>
  <c r="I16"/>
  <c r="E16"/>
  <c r="H15"/>
  <c r="D15"/>
  <c r="G14"/>
  <c r="J13"/>
  <c r="F13"/>
  <c r="I12"/>
  <c r="E12"/>
  <c r="H11"/>
  <c r="D11"/>
  <c r="G10"/>
  <c r="J9"/>
  <c r="F9"/>
  <c r="I8"/>
  <c r="E8"/>
  <c r="H7"/>
  <c r="D7"/>
  <c r="G6"/>
  <c r="J5"/>
  <c r="F5"/>
  <c r="K37" i="17"/>
  <c r="G37"/>
  <c r="K36"/>
  <c r="G36"/>
  <c r="K35"/>
  <c r="G35"/>
  <c r="K34"/>
  <c r="G34"/>
  <c r="K33"/>
  <c r="G33"/>
  <c r="K32"/>
  <c r="G32"/>
  <c r="J31"/>
  <c r="F31"/>
  <c r="I30"/>
  <c r="E30"/>
  <c r="L29"/>
  <c r="H29"/>
  <c r="D29"/>
  <c r="K28"/>
  <c r="G28"/>
  <c r="J27"/>
  <c r="F27"/>
  <c r="I26"/>
  <c r="E26"/>
  <c r="L25"/>
  <c r="Q18" i="27"/>
  <c r="AU17"/>
  <c r="AE17"/>
  <c r="O17"/>
  <c r="AC16"/>
  <c r="M16"/>
  <c r="AQ15"/>
  <c r="AA15"/>
  <c r="K15"/>
  <c r="AO14"/>
  <c r="Y14"/>
  <c r="I14"/>
  <c r="AM13"/>
  <c r="W13"/>
  <c r="G13"/>
  <c r="AK12"/>
  <c r="U12"/>
  <c r="E12"/>
  <c r="AQ11"/>
  <c r="AI11"/>
  <c r="AA11"/>
  <c r="K11"/>
  <c r="C11"/>
  <c r="AO10"/>
  <c r="AG10"/>
  <c r="Y10"/>
  <c r="Q10"/>
  <c r="I10"/>
  <c r="AU9"/>
  <c r="AM9"/>
  <c r="AE9"/>
  <c r="Y9"/>
  <c r="I9"/>
  <c r="C9"/>
  <c r="AM8"/>
  <c r="AG8"/>
  <c r="W8"/>
  <c r="Q8"/>
  <c r="G8"/>
  <c r="AU7"/>
  <c r="AK7"/>
  <c r="AE7"/>
  <c r="U7"/>
  <c r="O7"/>
  <c r="E7"/>
  <c r="C287" i="26"/>
  <c r="C286"/>
  <c r="C285"/>
  <c r="C284"/>
  <c r="C283"/>
  <c r="D282"/>
  <c r="E281"/>
  <c r="C279"/>
  <c r="D278"/>
  <c r="E277"/>
  <c r="C264"/>
  <c r="D263"/>
  <c r="E262"/>
  <c r="C260"/>
  <c r="D259"/>
  <c r="E258"/>
  <c r="E251"/>
  <c r="E250"/>
  <c r="E249"/>
  <c r="E248"/>
  <c r="E247"/>
  <c r="C245"/>
  <c r="D244"/>
  <c r="E243"/>
  <c r="C241"/>
  <c r="D240"/>
  <c r="D233"/>
  <c r="D232"/>
  <c r="D231"/>
  <c r="D230"/>
  <c r="D229"/>
  <c r="E228"/>
  <c r="C226"/>
  <c r="D225"/>
  <c r="E224"/>
  <c r="C222"/>
  <c r="C215"/>
  <c r="C214"/>
  <c r="C213"/>
  <c r="C212"/>
  <c r="C211"/>
  <c r="D210"/>
  <c r="E209"/>
  <c r="C207"/>
  <c r="D206"/>
  <c r="E205"/>
  <c r="C192"/>
  <c r="D191"/>
  <c r="E190"/>
  <c r="C188"/>
  <c r="D187"/>
  <c r="E186"/>
  <c r="E179"/>
  <c r="E178"/>
  <c r="E177"/>
  <c r="E176"/>
  <c r="E175"/>
  <c r="C173"/>
  <c r="D172"/>
  <c r="E171"/>
  <c r="C169"/>
  <c r="D168"/>
  <c r="D161"/>
  <c r="D160"/>
  <c r="D159"/>
  <c r="D158"/>
  <c r="D157"/>
  <c r="E156"/>
  <c r="C154"/>
  <c r="D153"/>
  <c r="E152"/>
  <c r="C150"/>
  <c r="C143"/>
  <c r="C142"/>
  <c r="C141"/>
  <c r="C140"/>
  <c r="C139"/>
  <c r="D138"/>
  <c r="E137"/>
  <c r="C135"/>
  <c r="D134"/>
  <c r="E133"/>
  <c r="C120"/>
  <c r="D119"/>
  <c r="E118"/>
  <c r="C116"/>
  <c r="D115"/>
  <c r="E114"/>
  <c r="E107"/>
  <c r="E106"/>
  <c r="E105"/>
  <c r="E104"/>
  <c r="E103"/>
  <c r="C101"/>
  <c r="D100"/>
  <c r="E99"/>
  <c r="C97"/>
  <c r="D96"/>
  <c r="D89"/>
  <c r="D88"/>
  <c r="D87"/>
  <c r="D86"/>
  <c r="D85"/>
  <c r="E84"/>
  <c r="C82"/>
  <c r="D81"/>
  <c r="E80"/>
  <c r="C78"/>
  <c r="C71"/>
  <c r="C70"/>
  <c r="C69"/>
  <c r="C68"/>
  <c r="C67"/>
  <c r="D66"/>
  <c r="E65"/>
  <c r="C63"/>
  <c r="D62"/>
  <c r="E61"/>
  <c r="C48"/>
  <c r="D47"/>
  <c r="E46"/>
  <c r="C44"/>
  <c r="D43"/>
  <c r="E42"/>
  <c r="E35"/>
  <c r="E34"/>
  <c r="E33"/>
  <c r="E32"/>
  <c r="E31"/>
  <c r="C29"/>
  <c r="D28"/>
  <c r="E27"/>
  <c r="C25"/>
  <c r="D24"/>
  <c r="D17"/>
  <c r="D16"/>
  <c r="D15"/>
  <c r="D14"/>
  <c r="D13"/>
  <c r="E12"/>
  <c r="C10"/>
  <c r="D9"/>
  <c r="E8"/>
  <c r="C6"/>
  <c r="H38" i="24"/>
  <c r="D38"/>
  <c r="G37"/>
  <c r="J36"/>
  <c r="F36"/>
  <c r="I35"/>
  <c r="E35"/>
  <c r="H34"/>
  <c r="D34"/>
  <c r="G33"/>
  <c r="J32"/>
  <c r="F32"/>
  <c r="I31"/>
  <c r="E31"/>
  <c r="H30"/>
  <c r="D30"/>
  <c r="G29"/>
  <c r="J28"/>
  <c r="F28"/>
  <c r="I27"/>
  <c r="E27"/>
  <c r="H26"/>
  <c r="D26"/>
  <c r="G18"/>
  <c r="J17"/>
  <c r="F17"/>
  <c r="I16"/>
  <c r="E16"/>
  <c r="H15"/>
  <c r="D15"/>
  <c r="G14"/>
  <c r="J13"/>
  <c r="F13"/>
  <c r="I12"/>
  <c r="E12"/>
  <c r="H11"/>
  <c r="D11"/>
  <c r="G10"/>
  <c r="J9"/>
  <c r="F9"/>
  <c r="I8"/>
  <c r="E8"/>
  <c r="H7"/>
  <c r="D7"/>
  <c r="G6"/>
  <c r="J69" i="19"/>
  <c r="F69"/>
  <c r="I68"/>
  <c r="E68"/>
  <c r="H67"/>
  <c r="D67"/>
  <c r="G66"/>
  <c r="J65"/>
  <c r="F65"/>
  <c r="I64"/>
  <c r="E64"/>
  <c r="H63"/>
  <c r="D63"/>
  <c r="G62"/>
  <c r="J61"/>
  <c r="F61"/>
  <c r="I60"/>
  <c r="E60"/>
  <c r="H59"/>
  <c r="D59"/>
  <c r="G58"/>
  <c r="J57"/>
  <c r="F57"/>
  <c r="I56"/>
  <c r="E56"/>
  <c r="H55"/>
  <c r="D55"/>
  <c r="G54"/>
  <c r="J53"/>
  <c r="F53"/>
  <c r="I52"/>
  <c r="E52"/>
  <c r="H51"/>
  <c r="D51"/>
  <c r="G50"/>
  <c r="J49"/>
  <c r="F49"/>
  <c r="I48"/>
  <c r="E48"/>
  <c r="H47"/>
  <c r="D47"/>
  <c r="G46"/>
  <c r="J45"/>
  <c r="F45"/>
  <c r="I44"/>
  <c r="E44"/>
  <c r="H43"/>
  <c r="D43"/>
  <c r="G42"/>
  <c r="J41"/>
  <c r="F41"/>
  <c r="I40"/>
  <c r="E40"/>
  <c r="H39"/>
  <c r="D39"/>
  <c r="G38"/>
  <c r="J37"/>
  <c r="F37"/>
  <c r="I36"/>
  <c r="E36"/>
  <c r="H35"/>
  <c r="D35"/>
  <c r="G34"/>
  <c r="J33"/>
  <c r="F33"/>
  <c r="I32"/>
  <c r="E32"/>
  <c r="H31"/>
  <c r="D31"/>
  <c r="G30"/>
  <c r="J29"/>
  <c r="F29"/>
  <c r="I28"/>
  <c r="E28"/>
  <c r="H27"/>
  <c r="D27"/>
  <c r="G26"/>
  <c r="J25"/>
  <c r="F25"/>
  <c r="I24"/>
  <c r="E24"/>
  <c r="H23"/>
  <c r="D23"/>
  <c r="G22"/>
  <c r="J21"/>
  <c r="F21"/>
  <c r="I20"/>
  <c r="E20"/>
  <c r="H19"/>
  <c r="D19"/>
  <c r="G18"/>
  <c r="J17"/>
  <c r="F17"/>
  <c r="J16"/>
  <c r="F16"/>
  <c r="I15"/>
  <c r="E15"/>
  <c r="H14"/>
  <c r="D14"/>
  <c r="G13"/>
  <c r="J12"/>
  <c r="F12"/>
  <c r="I11"/>
  <c r="E11"/>
  <c r="H10"/>
  <c r="D10"/>
  <c r="G9"/>
  <c r="J8"/>
  <c r="F8"/>
  <c r="I7"/>
  <c r="E7"/>
  <c r="H6"/>
  <c r="D6"/>
  <c r="G5"/>
  <c r="L37" i="17"/>
  <c r="H37"/>
  <c r="D37"/>
  <c r="L36"/>
  <c r="H36"/>
  <c r="D36"/>
  <c r="L35"/>
  <c r="H35"/>
  <c r="D35"/>
  <c r="L34"/>
  <c r="H34"/>
  <c r="D34"/>
  <c r="L33"/>
  <c r="H33"/>
  <c r="D33"/>
  <c r="L32"/>
  <c r="H32"/>
  <c r="D32"/>
  <c r="K31"/>
  <c r="G31"/>
  <c r="J30"/>
  <c r="F30"/>
  <c r="I29"/>
  <c r="E29"/>
  <c r="L28"/>
  <c r="H28"/>
  <c r="D28"/>
  <c r="K27"/>
  <c r="G27"/>
  <c r="J26"/>
  <c r="F26"/>
  <c r="U18" i="27"/>
  <c r="E18"/>
  <c r="AI17"/>
  <c r="C17"/>
  <c r="AG16"/>
  <c r="Q16"/>
  <c r="AU15"/>
  <c r="AE15"/>
  <c r="O15"/>
  <c r="AC14"/>
  <c r="M14"/>
  <c r="AQ13"/>
  <c r="AA13"/>
  <c r="K13"/>
  <c r="AO12"/>
  <c r="Y12"/>
  <c r="I12"/>
  <c r="AK11"/>
  <c r="AC11"/>
  <c r="U11"/>
  <c r="M11"/>
  <c r="E11"/>
  <c r="AQ10"/>
  <c r="AI10"/>
  <c r="AA10"/>
  <c r="K10"/>
  <c r="C10"/>
  <c r="AO9"/>
  <c r="AG9"/>
  <c r="U9"/>
  <c r="O9"/>
  <c r="E9"/>
  <c r="AI8"/>
  <c r="AC8"/>
  <c r="M8"/>
  <c r="C8"/>
  <c r="AQ7"/>
  <c r="AG7"/>
  <c r="AA7"/>
  <c r="Q7"/>
  <c r="K7"/>
  <c r="D287" i="26"/>
  <c r="D286"/>
  <c r="D285"/>
  <c r="D284"/>
  <c r="D283"/>
  <c r="E282"/>
  <c r="C280"/>
  <c r="D279"/>
  <c r="E278"/>
  <c r="C276"/>
  <c r="C269"/>
  <c r="C268"/>
  <c r="C267"/>
  <c r="C266"/>
  <c r="C265"/>
  <c r="D264"/>
  <c r="E263"/>
  <c r="C261"/>
  <c r="D260"/>
  <c r="E259"/>
  <c r="C246"/>
  <c r="D245"/>
  <c r="E244"/>
  <c r="C242"/>
  <c r="D241"/>
  <c r="E240"/>
  <c r="E233"/>
  <c r="E232"/>
  <c r="E231"/>
  <c r="E230"/>
  <c r="E229"/>
  <c r="C227"/>
  <c r="D226"/>
  <c r="E225"/>
  <c r="C223"/>
  <c r="D222"/>
  <c r="D215"/>
  <c r="D214"/>
  <c r="D213"/>
  <c r="D212"/>
  <c r="D211"/>
  <c r="E210"/>
  <c r="C208"/>
  <c r="D207"/>
  <c r="E206"/>
  <c r="C204"/>
  <c r="C197"/>
  <c r="C196"/>
  <c r="C195"/>
  <c r="C194"/>
  <c r="C193"/>
  <c r="D192"/>
  <c r="E191"/>
  <c r="C189"/>
  <c r="D188"/>
  <c r="E187"/>
  <c r="C174"/>
  <c r="D173"/>
  <c r="E172"/>
  <c r="C170"/>
  <c r="D169"/>
  <c r="E168"/>
  <c r="E161"/>
  <c r="E160"/>
  <c r="E159"/>
  <c r="E158"/>
  <c r="E157"/>
  <c r="C155"/>
  <c r="D154"/>
  <c r="E153"/>
  <c r="C151"/>
  <c r="D150"/>
  <c r="D143"/>
  <c r="D142"/>
  <c r="D141"/>
  <c r="D140"/>
  <c r="D139"/>
  <c r="E138"/>
  <c r="C136"/>
  <c r="D135"/>
  <c r="E134"/>
  <c r="C132"/>
  <c r="C125"/>
  <c r="C124"/>
  <c r="C123"/>
  <c r="C122"/>
  <c r="C121"/>
  <c r="D120"/>
  <c r="E119"/>
  <c r="C117"/>
  <c r="D116"/>
  <c r="E115"/>
  <c r="C102"/>
  <c r="D101"/>
  <c r="E100"/>
  <c r="C98"/>
  <c r="D97"/>
  <c r="E96"/>
  <c r="E89"/>
  <c r="E88"/>
  <c r="E87"/>
  <c r="E86"/>
  <c r="E85"/>
  <c r="C83"/>
  <c r="D82"/>
  <c r="E81"/>
  <c r="C79"/>
  <c r="D78"/>
  <c r="D71"/>
  <c r="D70"/>
  <c r="D69"/>
  <c r="D68"/>
  <c r="D67"/>
  <c r="E66"/>
  <c r="C64"/>
  <c r="D63"/>
  <c r="E62"/>
  <c r="C60"/>
  <c r="C53"/>
  <c r="C52"/>
  <c r="C51"/>
  <c r="C50"/>
  <c r="C49"/>
  <c r="D48"/>
  <c r="E47"/>
  <c r="C45"/>
  <c r="D44"/>
  <c r="E43"/>
  <c r="C30"/>
  <c r="D29"/>
  <c r="E28"/>
  <c r="C26"/>
  <c r="D25"/>
  <c r="E24"/>
  <c r="E17"/>
  <c r="E16"/>
  <c r="E15"/>
  <c r="E14"/>
  <c r="E13"/>
  <c r="C11"/>
  <c r="D10"/>
  <c r="E9"/>
  <c r="C7"/>
  <c r="D6"/>
  <c r="I38" i="24"/>
  <c r="E38"/>
  <c r="H37"/>
  <c r="D37"/>
  <c r="G36"/>
  <c r="J35"/>
  <c r="F35"/>
  <c r="I34"/>
  <c r="E34"/>
  <c r="H33"/>
  <c r="D33"/>
  <c r="G32"/>
  <c r="J31"/>
  <c r="F31"/>
  <c r="I30"/>
  <c r="E30"/>
  <c r="H29"/>
  <c r="D29"/>
  <c r="G28"/>
  <c r="J27"/>
  <c r="F27"/>
  <c r="I26"/>
  <c r="E26"/>
  <c r="H18"/>
  <c r="D18"/>
  <c r="G17"/>
  <c r="J16"/>
  <c r="F16"/>
  <c r="I15"/>
  <c r="E15"/>
  <c r="H14"/>
  <c r="D14"/>
  <c r="G13"/>
  <c r="J12"/>
  <c r="F12"/>
  <c r="I11"/>
  <c r="E11"/>
  <c r="H10"/>
  <c r="D10"/>
  <c r="G9"/>
  <c r="J8"/>
  <c r="F8"/>
  <c r="I7"/>
  <c r="E7"/>
  <c r="H6"/>
  <c r="D6"/>
  <c r="G69" i="19"/>
  <c r="J68"/>
  <c r="F68"/>
  <c r="I67"/>
  <c r="E67"/>
  <c r="H66"/>
  <c r="D66"/>
  <c r="G65"/>
  <c r="J64"/>
  <c r="F64"/>
  <c r="I63"/>
  <c r="E63"/>
  <c r="H62"/>
  <c r="D62"/>
  <c r="G61"/>
  <c r="J60"/>
  <c r="F60"/>
  <c r="I59"/>
  <c r="E59"/>
  <c r="H58"/>
  <c r="D58"/>
  <c r="G57"/>
  <c r="J56"/>
  <c r="F56"/>
  <c r="I55"/>
  <c r="E55"/>
  <c r="H54"/>
  <c r="D54"/>
  <c r="G53"/>
  <c r="J52"/>
  <c r="F52"/>
  <c r="I51"/>
  <c r="E51"/>
  <c r="H50"/>
  <c r="D50"/>
  <c r="G49"/>
  <c r="J48"/>
  <c r="F48"/>
  <c r="I47"/>
  <c r="E47"/>
  <c r="H46"/>
  <c r="D46"/>
  <c r="G45"/>
  <c r="J44"/>
  <c r="F44"/>
  <c r="I43"/>
  <c r="E43"/>
  <c r="H42"/>
  <c r="D42"/>
  <c r="G41"/>
  <c r="J40"/>
  <c r="F40"/>
  <c r="I39"/>
  <c r="E39"/>
  <c r="H38"/>
  <c r="D38"/>
  <c r="G37"/>
  <c r="J36"/>
  <c r="F36"/>
  <c r="I35"/>
  <c r="E35"/>
  <c r="H34"/>
  <c r="D34"/>
  <c r="G33"/>
  <c r="J32"/>
  <c r="F32"/>
  <c r="I31"/>
  <c r="E31"/>
  <c r="H30"/>
  <c r="D30"/>
  <c r="G29"/>
  <c r="J28"/>
  <c r="F28"/>
  <c r="I27"/>
  <c r="E27"/>
  <c r="H26"/>
  <c r="D26"/>
  <c r="G25"/>
  <c r="J24"/>
  <c r="F24"/>
  <c r="I23"/>
  <c r="E23"/>
  <c r="H22"/>
  <c r="D22"/>
  <c r="G21"/>
  <c r="J20"/>
  <c r="F20"/>
  <c r="I19"/>
  <c r="E19"/>
  <c r="H18"/>
  <c r="D18"/>
  <c r="G17"/>
  <c r="G16"/>
  <c r="J15"/>
  <c r="F15"/>
  <c r="I14"/>
  <c r="E14"/>
  <c r="H13"/>
  <c r="D13"/>
  <c r="G12"/>
  <c r="J11"/>
  <c r="F11"/>
  <c r="I10"/>
  <c r="E10"/>
  <c r="H9"/>
  <c r="D9"/>
  <c r="G8"/>
  <c r="J7"/>
  <c r="F7"/>
  <c r="I6"/>
  <c r="E6"/>
  <c r="H5"/>
  <c r="D5"/>
  <c r="I37" i="17"/>
  <c r="E37"/>
  <c r="I36"/>
  <c r="E36"/>
  <c r="I35"/>
  <c r="E35"/>
  <c r="I34"/>
  <c r="E34"/>
  <c r="I33"/>
  <c r="E33"/>
  <c r="I32"/>
  <c r="E32"/>
  <c r="L31"/>
  <c r="H31"/>
  <c r="D31"/>
  <c r="K30"/>
  <c r="G30"/>
  <c r="J29"/>
  <c r="F29"/>
  <c r="I28"/>
  <c r="E28"/>
  <c r="L27"/>
  <c r="H27"/>
  <c r="D27"/>
  <c r="K26"/>
  <c r="G26"/>
  <c r="J25"/>
  <c r="F25"/>
  <c r="I18"/>
  <c r="E18"/>
  <c r="L17"/>
  <c r="H17"/>
  <c r="D17"/>
  <c r="K16"/>
  <c r="G16"/>
  <c r="J15"/>
  <c r="F15"/>
  <c r="I14"/>
  <c r="E14"/>
  <c r="L13"/>
  <c r="H13"/>
  <c r="D13"/>
  <c r="I12"/>
  <c r="E12"/>
  <c r="J11"/>
  <c r="F11"/>
  <c r="K10"/>
  <c r="G10"/>
  <c r="L9"/>
  <c r="H9"/>
  <c r="D9"/>
  <c r="I8"/>
  <c r="E8"/>
  <c r="J7"/>
  <c r="F7"/>
  <c r="K6"/>
  <c r="G6"/>
  <c r="F34" i="15"/>
  <c r="D33"/>
  <c r="F32"/>
  <c r="D31"/>
  <c r="F30"/>
  <c r="E29"/>
  <c r="D28"/>
  <c r="G27"/>
  <c r="F26"/>
  <c r="E25"/>
  <c r="D24"/>
  <c r="G23"/>
  <c r="E17"/>
  <c r="G16"/>
  <c r="E15"/>
  <c r="G14"/>
  <c r="E13"/>
  <c r="G12"/>
  <c r="F11"/>
  <c r="E10"/>
  <c r="D9"/>
  <c r="G8"/>
  <c r="F7"/>
  <c r="E6"/>
  <c r="D5"/>
  <c r="Y18" i="27"/>
  <c r="I18"/>
  <c r="AM17"/>
  <c r="W17"/>
  <c r="G17"/>
  <c r="AK16"/>
  <c r="U16"/>
  <c r="E16"/>
  <c r="AI15"/>
  <c r="C15"/>
  <c r="AG14"/>
  <c r="Q14"/>
  <c r="AU13"/>
  <c r="AE13"/>
  <c r="O13"/>
  <c r="AC12"/>
  <c r="M12"/>
  <c r="AU11"/>
  <c r="AM11"/>
  <c r="AE11"/>
  <c r="W11"/>
  <c r="O11"/>
  <c r="G11"/>
  <c r="AK10"/>
  <c r="AC10"/>
  <c r="U10"/>
  <c r="M10"/>
  <c r="E10"/>
  <c r="AQ9"/>
  <c r="AI9"/>
  <c r="AA9"/>
  <c r="Q9"/>
  <c r="K9"/>
  <c r="AU8"/>
  <c r="AO8"/>
  <c r="AE8"/>
  <c r="Y8"/>
  <c r="O8"/>
  <c r="I8"/>
  <c r="AM7"/>
  <c r="AC7"/>
  <c r="W7"/>
  <c r="M7"/>
  <c r="G7"/>
  <c r="E287" i="26"/>
  <c r="E286"/>
  <c r="E285"/>
  <c r="E284"/>
  <c r="E283"/>
  <c r="C281"/>
  <c r="D280"/>
  <c r="E279"/>
  <c r="C277"/>
  <c r="D276"/>
  <c r="D269"/>
  <c r="D268"/>
  <c r="D267"/>
  <c r="D266"/>
  <c r="D265"/>
  <c r="E264"/>
  <c r="C262"/>
  <c r="D261"/>
  <c r="E260"/>
  <c r="C258"/>
  <c r="C251"/>
  <c r="C250"/>
  <c r="C249"/>
  <c r="C248"/>
  <c r="C247"/>
  <c r="D246"/>
  <c r="E245"/>
  <c r="C243"/>
  <c r="D242"/>
  <c r="E241"/>
  <c r="C228"/>
  <c r="D227"/>
  <c r="E226"/>
  <c r="C224"/>
  <c r="D223"/>
  <c r="E222"/>
  <c r="E215"/>
  <c r="E214"/>
  <c r="E213"/>
  <c r="E212"/>
  <c r="E211"/>
  <c r="C209"/>
  <c r="D208"/>
  <c r="E207"/>
  <c r="C205"/>
  <c r="D204"/>
  <c r="D197"/>
  <c r="D196"/>
  <c r="D195"/>
  <c r="D194"/>
  <c r="D193"/>
  <c r="E192"/>
  <c r="C190"/>
  <c r="D189"/>
  <c r="E188"/>
  <c r="C186"/>
  <c r="C179"/>
  <c r="C178"/>
  <c r="C177"/>
  <c r="C176"/>
  <c r="C175"/>
  <c r="D174"/>
  <c r="E173"/>
  <c r="C171"/>
  <c r="D170"/>
  <c r="E169"/>
  <c r="C156"/>
  <c r="D155"/>
  <c r="E154"/>
  <c r="C152"/>
  <c r="D151"/>
  <c r="E150"/>
  <c r="E143"/>
  <c r="E142"/>
  <c r="E141"/>
  <c r="E140"/>
  <c r="E139"/>
  <c r="C137"/>
  <c r="D136"/>
  <c r="E135"/>
  <c r="C133"/>
  <c r="D132"/>
  <c r="D125"/>
  <c r="D124"/>
  <c r="D123"/>
  <c r="D122"/>
  <c r="D121"/>
  <c r="E120"/>
  <c r="C118"/>
  <c r="D117"/>
  <c r="E116"/>
  <c r="C114"/>
  <c r="C107"/>
  <c r="C106"/>
  <c r="C105"/>
  <c r="C104"/>
  <c r="C103"/>
  <c r="D102"/>
  <c r="E101"/>
  <c r="C99"/>
  <c r="D98"/>
  <c r="E97"/>
  <c r="C84"/>
  <c r="D83"/>
  <c r="E82"/>
  <c r="C80"/>
  <c r="D79"/>
  <c r="E78"/>
  <c r="E71"/>
  <c r="E70"/>
  <c r="E69"/>
  <c r="E68"/>
  <c r="E67"/>
  <c r="C65"/>
  <c r="D64"/>
  <c r="E63"/>
  <c r="C61"/>
  <c r="D60"/>
  <c r="D53"/>
  <c r="D52"/>
  <c r="D51"/>
  <c r="D50"/>
  <c r="D49"/>
  <c r="E48"/>
  <c r="C46"/>
  <c r="D45"/>
  <c r="E44"/>
  <c r="C42"/>
  <c r="C35"/>
  <c r="C34"/>
  <c r="C33"/>
  <c r="C32"/>
  <c r="C31"/>
  <c r="D30"/>
  <c r="E29"/>
  <c r="C27"/>
  <c r="D26"/>
  <c r="E25"/>
  <c r="C12"/>
  <c r="D11"/>
  <c r="E10"/>
  <c r="C8"/>
  <c r="D7"/>
  <c r="E6"/>
  <c r="J38" i="24"/>
  <c r="F38"/>
  <c r="I37"/>
  <c r="E37"/>
  <c r="H36"/>
  <c r="D36"/>
  <c r="G35"/>
  <c r="J34"/>
  <c r="F34"/>
  <c r="I33"/>
  <c r="E33"/>
  <c r="H32"/>
  <c r="D32"/>
  <c r="G31"/>
  <c r="J30"/>
  <c r="F30"/>
  <c r="I29"/>
  <c r="E29"/>
  <c r="H28"/>
  <c r="D28"/>
  <c r="G27"/>
  <c r="J26"/>
  <c r="F26"/>
  <c r="I18"/>
  <c r="E18"/>
  <c r="H17"/>
  <c r="D17"/>
  <c r="G16"/>
  <c r="J15"/>
  <c r="F15"/>
  <c r="I14"/>
  <c r="E14"/>
  <c r="H13"/>
  <c r="D13"/>
  <c r="G12"/>
  <c r="J11"/>
  <c r="F11"/>
  <c r="I10"/>
  <c r="E10"/>
  <c r="H9"/>
  <c r="D9"/>
  <c r="G8"/>
  <c r="J7"/>
  <c r="F7"/>
  <c r="I6"/>
  <c r="E6"/>
  <c r="H69" i="19"/>
  <c r="D69"/>
  <c r="G68"/>
  <c r="J67"/>
  <c r="F67"/>
  <c r="I66"/>
  <c r="E66"/>
  <c r="H65"/>
  <c r="D65"/>
  <c r="G64"/>
  <c r="J63"/>
  <c r="F63"/>
  <c r="I62"/>
  <c r="E62"/>
  <c r="H61"/>
  <c r="D61"/>
  <c r="G60"/>
  <c r="J59"/>
  <c r="F59"/>
  <c r="I58"/>
  <c r="E58"/>
  <c r="H57"/>
  <c r="D57"/>
  <c r="G56"/>
  <c r="J55"/>
  <c r="F55"/>
  <c r="I54"/>
  <c r="E54"/>
  <c r="H53"/>
  <c r="D53"/>
  <c r="G52"/>
  <c r="J51"/>
  <c r="F51"/>
  <c r="I50"/>
  <c r="E50"/>
  <c r="H49"/>
  <c r="D49"/>
  <c r="G48"/>
  <c r="J47"/>
  <c r="F47"/>
  <c r="I46"/>
  <c r="E46"/>
  <c r="H45"/>
  <c r="D45"/>
  <c r="G44"/>
  <c r="J43"/>
  <c r="F43"/>
  <c r="I42"/>
  <c r="E42"/>
  <c r="H41"/>
  <c r="D41"/>
  <c r="G40"/>
  <c r="J39"/>
  <c r="F39"/>
  <c r="I38"/>
  <c r="E38"/>
  <c r="H37"/>
  <c r="D37"/>
  <c r="G36"/>
  <c r="J35"/>
  <c r="F35"/>
  <c r="I34"/>
  <c r="E34"/>
  <c r="H33"/>
  <c r="D33"/>
  <c r="G32"/>
  <c r="J31"/>
  <c r="F31"/>
  <c r="I30"/>
  <c r="E30"/>
  <c r="H29"/>
  <c r="D29"/>
  <c r="G28"/>
  <c r="J27"/>
  <c r="F27"/>
  <c r="I26"/>
  <c r="E26"/>
  <c r="H25"/>
  <c r="D25"/>
  <c r="G24"/>
  <c r="J23"/>
  <c r="F23"/>
  <c r="I22"/>
  <c r="E22"/>
  <c r="H21"/>
  <c r="D21"/>
  <c r="G20"/>
  <c r="J19"/>
  <c r="F19"/>
  <c r="I18"/>
  <c r="E18"/>
  <c r="H17"/>
  <c r="D17"/>
  <c r="H16"/>
  <c r="D16"/>
  <c r="G15"/>
  <c r="J14"/>
  <c r="F14"/>
  <c r="I13"/>
  <c r="E13"/>
  <c r="H12"/>
  <c r="D12"/>
  <c r="G11"/>
  <c r="J10"/>
  <c r="F10"/>
  <c r="I9"/>
  <c r="E9"/>
  <c r="H8"/>
  <c r="D8"/>
  <c r="G7"/>
  <c r="J6"/>
  <c r="F6"/>
  <c r="I5"/>
  <c r="E5"/>
  <c r="J37" i="17"/>
  <c r="F37"/>
  <c r="J36"/>
  <c r="F36"/>
  <c r="J35"/>
  <c r="F35"/>
  <c r="J34"/>
  <c r="F34"/>
  <c r="J33"/>
  <c r="F33"/>
  <c r="J32"/>
  <c r="F32"/>
  <c r="I31"/>
  <c r="E31"/>
  <c r="L30"/>
  <c r="H30"/>
  <c r="D30"/>
  <c r="K29"/>
  <c r="G29"/>
  <c r="J28"/>
  <c r="F28"/>
  <c r="I27"/>
  <c r="E27"/>
  <c r="L26"/>
  <c r="H26"/>
  <c r="D26"/>
  <c r="K25"/>
  <c r="G25"/>
  <c r="J18"/>
  <c r="F18"/>
  <c r="I17"/>
  <c r="E17"/>
  <c r="L16"/>
  <c r="H16"/>
  <c r="D16"/>
  <c r="K15"/>
  <c r="G15"/>
  <c r="J14"/>
  <c r="F14"/>
  <c r="I13"/>
  <c r="E13"/>
  <c r="J12"/>
  <c r="F12"/>
  <c r="K11"/>
  <c r="G11"/>
  <c r="L10"/>
  <c r="H10"/>
  <c r="D10"/>
  <c r="I9"/>
  <c r="E9"/>
  <c r="J8"/>
  <c r="F8"/>
  <c r="K7"/>
  <c r="G7"/>
  <c r="L6"/>
  <c r="H6"/>
  <c r="D6"/>
  <c r="G34" i="15"/>
  <c r="E33"/>
  <c r="G32"/>
  <c r="E31"/>
  <c r="G30"/>
  <c r="F29"/>
  <c r="E28"/>
  <c r="D27"/>
  <c r="G26"/>
  <c r="F25"/>
  <c r="E24"/>
  <c r="D23"/>
  <c r="F17"/>
  <c r="D16"/>
  <c r="F15"/>
  <c r="D14"/>
  <c r="F13"/>
  <c r="D12"/>
  <c r="G11"/>
  <c r="F10"/>
  <c r="E9"/>
  <c r="D8"/>
  <c r="G7"/>
  <c r="F6"/>
  <c r="E5"/>
  <c r="H25" i="17"/>
  <c r="K18"/>
  <c r="F17"/>
  <c r="I16"/>
  <c r="L15"/>
  <c r="D15"/>
  <c r="G14"/>
  <c r="J13"/>
  <c r="G12"/>
  <c r="L11"/>
  <c r="D11"/>
  <c r="I10"/>
  <c r="F9"/>
  <c r="K8"/>
  <c r="H7"/>
  <c r="E6"/>
  <c r="F33" i="15"/>
  <c r="D32"/>
  <c r="G29"/>
  <c r="F28"/>
  <c r="E27"/>
  <c r="D26"/>
  <c r="G17"/>
  <c r="E16"/>
  <c r="G13"/>
  <c r="E12"/>
  <c r="D11"/>
  <c r="G6"/>
  <c r="F5"/>
  <c r="G71" i="13"/>
  <c r="I70"/>
  <c r="E70"/>
  <c r="G69"/>
  <c r="I68"/>
  <c r="E68"/>
  <c r="G67"/>
  <c r="I66"/>
  <c r="E66"/>
  <c r="G65"/>
  <c r="I64"/>
  <c r="E64"/>
  <c r="G63"/>
  <c r="I62"/>
  <c r="E62"/>
  <c r="G61"/>
  <c r="I60"/>
  <c r="E60"/>
  <c r="G59"/>
  <c r="I58"/>
  <c r="E58"/>
  <c r="G57"/>
  <c r="I56"/>
  <c r="E56"/>
  <c r="G55"/>
  <c r="I54"/>
  <c r="E54"/>
  <c r="G53"/>
  <c r="I52"/>
  <c r="E52"/>
  <c r="G51"/>
  <c r="I50"/>
  <c r="E50"/>
  <c r="G49"/>
  <c r="I48"/>
  <c r="E48"/>
  <c r="G47"/>
  <c r="I46"/>
  <c r="E46"/>
  <c r="G45"/>
  <c r="I44"/>
  <c r="E44"/>
  <c r="G43"/>
  <c r="I42"/>
  <c r="E42"/>
  <c r="G41"/>
  <c r="I40"/>
  <c r="E40"/>
  <c r="G39"/>
  <c r="I38"/>
  <c r="E38"/>
  <c r="G37"/>
  <c r="I36"/>
  <c r="E36"/>
  <c r="G35"/>
  <c r="I34"/>
  <c r="E34"/>
  <c r="G33"/>
  <c r="I32"/>
  <c r="E32"/>
  <c r="G31"/>
  <c r="I30"/>
  <c r="E30"/>
  <c r="G29"/>
  <c r="I28"/>
  <c r="E28"/>
  <c r="G27"/>
  <c r="I26"/>
  <c r="E26"/>
  <c r="G25"/>
  <c r="I24"/>
  <c r="E24"/>
  <c r="G23"/>
  <c r="I22"/>
  <c r="E22"/>
  <c r="G21"/>
  <c r="I20"/>
  <c r="E20"/>
  <c r="G19"/>
  <c r="I18"/>
  <c r="E18"/>
  <c r="H17"/>
  <c r="D17"/>
  <c r="F16"/>
  <c r="H15"/>
  <c r="D15"/>
  <c r="F14"/>
  <c r="H13"/>
  <c r="D13"/>
  <c r="F12"/>
  <c r="H11"/>
  <c r="D11"/>
  <c r="F10"/>
  <c r="H9"/>
  <c r="D9"/>
  <c r="F8"/>
  <c r="H7"/>
  <c r="D7"/>
  <c r="F6"/>
  <c r="D11" i="11"/>
  <c r="F8"/>
  <c r="D6"/>
  <c r="E23" i="9"/>
  <c r="E22"/>
  <c r="E21"/>
  <c r="E20"/>
  <c r="E19"/>
  <c r="D11"/>
  <c r="D10"/>
  <c r="D9"/>
  <c r="D8"/>
  <c r="D7"/>
  <c r="D6"/>
  <c r="D5"/>
  <c r="F36" i="8"/>
  <c r="E35"/>
  <c r="D34"/>
  <c r="F32"/>
  <c r="E31"/>
  <c r="D30"/>
  <c r="F28"/>
  <c r="E27"/>
  <c r="D26"/>
  <c r="F18"/>
  <c r="E17"/>
  <c r="D16"/>
  <c r="F14"/>
  <c r="E13"/>
  <c r="D12"/>
  <c r="F10"/>
  <c r="E9"/>
  <c r="D8"/>
  <c r="F6"/>
  <c r="E69" i="5"/>
  <c r="D68"/>
  <c r="F66"/>
  <c r="E65"/>
  <c r="D64"/>
  <c r="F62"/>
  <c r="E61"/>
  <c r="D60"/>
  <c r="F58"/>
  <c r="E57"/>
  <c r="D56"/>
  <c r="F54"/>
  <c r="E53"/>
  <c r="D52"/>
  <c r="D48"/>
  <c r="F46"/>
  <c r="E45"/>
  <c r="E41"/>
  <c r="D32"/>
  <c r="D20"/>
  <c r="I25" i="17"/>
  <c r="L18"/>
  <c r="D18"/>
  <c r="G17"/>
  <c r="J16"/>
  <c r="E15"/>
  <c r="H14"/>
  <c r="K13"/>
  <c r="H12"/>
  <c r="E11"/>
  <c r="J10"/>
  <c r="G9"/>
  <c r="L8"/>
  <c r="D8"/>
  <c r="I7"/>
  <c r="F6"/>
  <c r="G33" i="15"/>
  <c r="E32"/>
  <c r="G28"/>
  <c r="F27"/>
  <c r="E26"/>
  <c r="D25"/>
  <c r="F16"/>
  <c r="D15"/>
  <c r="F12"/>
  <c r="E11"/>
  <c r="D10"/>
  <c r="G5"/>
  <c r="H71" i="13"/>
  <c r="D71"/>
  <c r="F70"/>
  <c r="H69"/>
  <c r="D69"/>
  <c r="F68"/>
  <c r="H67"/>
  <c r="D67"/>
  <c r="F66"/>
  <c r="H65"/>
  <c r="D65"/>
  <c r="F64"/>
  <c r="H63"/>
  <c r="D63"/>
  <c r="F62"/>
  <c r="H61"/>
  <c r="D61"/>
  <c r="F60"/>
  <c r="H59"/>
  <c r="D59"/>
  <c r="F58"/>
  <c r="H57"/>
  <c r="D57"/>
  <c r="F56"/>
  <c r="H55"/>
  <c r="D55"/>
  <c r="F54"/>
  <c r="H53"/>
  <c r="D53"/>
  <c r="F52"/>
  <c r="H51"/>
  <c r="D51"/>
  <c r="F50"/>
  <c r="H49"/>
  <c r="D49"/>
  <c r="F48"/>
  <c r="H47"/>
  <c r="D47"/>
  <c r="F46"/>
  <c r="H45"/>
  <c r="D45"/>
  <c r="F44"/>
  <c r="H43"/>
  <c r="D43"/>
  <c r="F42"/>
  <c r="H41"/>
  <c r="D41"/>
  <c r="F40"/>
  <c r="H39"/>
  <c r="D39"/>
  <c r="F38"/>
  <c r="H37"/>
  <c r="D37"/>
  <c r="F36"/>
  <c r="H35"/>
  <c r="D35"/>
  <c r="F34"/>
  <c r="H33"/>
  <c r="D33"/>
  <c r="F32"/>
  <c r="H31"/>
  <c r="D31"/>
  <c r="F30"/>
  <c r="H29"/>
  <c r="D29"/>
  <c r="F28"/>
  <c r="H27"/>
  <c r="D27"/>
  <c r="F26"/>
  <c r="H25"/>
  <c r="D25"/>
  <c r="F24"/>
  <c r="H23"/>
  <c r="D23"/>
  <c r="F22"/>
  <c r="H21"/>
  <c r="D21"/>
  <c r="F20"/>
  <c r="H19"/>
  <c r="D19"/>
  <c r="F18"/>
  <c r="I17"/>
  <c r="E17"/>
  <c r="G16"/>
  <c r="I15"/>
  <c r="E15"/>
  <c r="G14"/>
  <c r="I13"/>
  <c r="E13"/>
  <c r="G12"/>
  <c r="I11"/>
  <c r="E11"/>
  <c r="G10"/>
  <c r="I9"/>
  <c r="E9"/>
  <c r="G8"/>
  <c r="I7"/>
  <c r="E7"/>
  <c r="G6"/>
  <c r="D12" i="11"/>
  <c r="F10"/>
  <c r="D7"/>
  <c r="F23" i="9"/>
  <c r="F22"/>
  <c r="F21"/>
  <c r="F20"/>
  <c r="F19"/>
  <c r="E11"/>
  <c r="E10"/>
  <c r="E9"/>
  <c r="E8"/>
  <c r="E7"/>
  <c r="E6"/>
  <c r="E5"/>
  <c r="D37" i="8"/>
  <c r="F35"/>
  <c r="E34"/>
  <c r="D33"/>
  <c r="F31"/>
  <c r="E30"/>
  <c r="D29"/>
  <c r="F27"/>
  <c r="E26"/>
  <c r="D25"/>
  <c r="F17"/>
  <c r="E16"/>
  <c r="D15"/>
  <c r="F13"/>
  <c r="E12"/>
  <c r="D11"/>
  <c r="F9"/>
  <c r="E8"/>
  <c r="D7"/>
  <c r="F69" i="5"/>
  <c r="E68"/>
  <c r="D67"/>
  <c r="F65"/>
  <c r="E64"/>
  <c r="D63"/>
  <c r="F61"/>
  <c r="E60"/>
  <c r="D59"/>
  <c r="F57"/>
  <c r="E56"/>
  <c r="D55"/>
  <c r="F53"/>
  <c r="E52"/>
  <c r="D51"/>
  <c r="F49"/>
  <c r="E48"/>
  <c r="D47"/>
  <c r="F45"/>
  <c r="E44"/>
  <c r="D43"/>
  <c r="F41"/>
  <c r="E40"/>
  <c r="D39"/>
  <c r="F37"/>
  <c r="E36"/>
  <c r="D35"/>
  <c r="F33"/>
  <c r="E32"/>
  <c r="D31"/>
  <c r="F29"/>
  <c r="E28"/>
  <c r="D27"/>
  <c r="F25"/>
  <c r="E24"/>
  <c r="D23"/>
  <c r="F21"/>
  <c r="E20"/>
  <c r="D19"/>
  <c r="F16"/>
  <c r="E15"/>
  <c r="F12"/>
  <c r="D10"/>
  <c r="E7"/>
  <c r="D13" i="4"/>
  <c r="D25" i="17"/>
  <c r="G18"/>
  <c r="J17"/>
  <c r="E16"/>
  <c r="H15"/>
  <c r="K14"/>
  <c r="F13"/>
  <c r="K12"/>
  <c r="H11"/>
  <c r="E10"/>
  <c r="J9"/>
  <c r="G8"/>
  <c r="L7"/>
  <c r="D7"/>
  <c r="I6"/>
  <c r="D34" i="15"/>
  <c r="F31"/>
  <c r="D30"/>
  <c r="G25"/>
  <c r="F24"/>
  <c r="E23"/>
  <c r="G15"/>
  <c r="E14"/>
  <c r="G10"/>
  <c r="F9"/>
  <c r="E8"/>
  <c r="D7"/>
  <c r="I71" i="13"/>
  <c r="E71"/>
  <c r="G70"/>
  <c r="I69"/>
  <c r="E69"/>
  <c r="G68"/>
  <c r="I67"/>
  <c r="E67"/>
  <c r="G66"/>
  <c r="I65"/>
  <c r="E65"/>
  <c r="G64"/>
  <c r="I63"/>
  <c r="E63"/>
  <c r="G62"/>
  <c r="I61"/>
  <c r="E61"/>
  <c r="G60"/>
  <c r="I59"/>
  <c r="E59"/>
  <c r="G58"/>
  <c r="I57"/>
  <c r="E57"/>
  <c r="G56"/>
  <c r="I55"/>
  <c r="E55"/>
  <c r="G54"/>
  <c r="I53"/>
  <c r="E53"/>
  <c r="G52"/>
  <c r="I51"/>
  <c r="E51"/>
  <c r="G50"/>
  <c r="I49"/>
  <c r="E49"/>
  <c r="G48"/>
  <c r="I47"/>
  <c r="E47"/>
  <c r="G46"/>
  <c r="I45"/>
  <c r="E45"/>
  <c r="G44"/>
  <c r="I43"/>
  <c r="E43"/>
  <c r="G42"/>
  <c r="I41"/>
  <c r="E41"/>
  <c r="G40"/>
  <c r="I39"/>
  <c r="E39"/>
  <c r="G38"/>
  <c r="I37"/>
  <c r="E37"/>
  <c r="G36"/>
  <c r="I35"/>
  <c r="E35"/>
  <c r="G34"/>
  <c r="I33"/>
  <c r="E33"/>
  <c r="G32"/>
  <c r="I31"/>
  <c r="E31"/>
  <c r="G30"/>
  <c r="I29"/>
  <c r="E29"/>
  <c r="G28"/>
  <c r="I27"/>
  <c r="E27"/>
  <c r="G26"/>
  <c r="I25"/>
  <c r="E25"/>
  <c r="G24"/>
  <c r="I23"/>
  <c r="E23"/>
  <c r="G22"/>
  <c r="I21"/>
  <c r="E21"/>
  <c r="G20"/>
  <c r="I19"/>
  <c r="E19"/>
  <c r="G18"/>
  <c r="F17"/>
  <c r="H16"/>
  <c r="D16"/>
  <c r="F15"/>
  <c r="H14"/>
  <c r="D14"/>
  <c r="F13"/>
  <c r="H12"/>
  <c r="D12"/>
  <c r="F11"/>
  <c r="H10"/>
  <c r="D10"/>
  <c r="F9"/>
  <c r="H8"/>
  <c r="D8"/>
  <c r="F7"/>
  <c r="H6"/>
  <c r="D6"/>
  <c r="F11" i="11"/>
  <c r="D8"/>
  <c r="F6"/>
  <c r="G23" i="9"/>
  <c r="G22"/>
  <c r="G21"/>
  <c r="G20"/>
  <c r="G19"/>
  <c r="F11"/>
  <c r="F10"/>
  <c r="F9"/>
  <c r="F8"/>
  <c r="F7"/>
  <c r="F6"/>
  <c r="F5"/>
  <c r="E37" i="8"/>
  <c r="D36"/>
  <c r="F34"/>
  <c r="E33"/>
  <c r="D32"/>
  <c r="F30"/>
  <c r="E29"/>
  <c r="D28"/>
  <c r="F26"/>
  <c r="E25"/>
  <c r="D18"/>
  <c r="F16"/>
  <c r="E15"/>
  <c r="D14"/>
  <c r="F12"/>
  <c r="E11"/>
  <c r="D10"/>
  <c r="F8"/>
  <c r="E7"/>
  <c r="D6"/>
  <c r="F68" i="5"/>
  <c r="E67"/>
  <c r="D66"/>
  <c r="F64"/>
  <c r="E63"/>
  <c r="D62"/>
  <c r="F60"/>
  <c r="E59"/>
  <c r="D58"/>
  <c r="F56"/>
  <c r="E55"/>
  <c r="D54"/>
  <c r="F52"/>
  <c r="E51"/>
  <c r="D50"/>
  <c r="F48"/>
  <c r="E47"/>
  <c r="D46"/>
  <c r="F44"/>
  <c r="E43"/>
  <c r="D42"/>
  <c r="F40"/>
  <c r="E39"/>
  <c r="D38"/>
  <c r="F36"/>
  <c r="E35"/>
  <c r="D34"/>
  <c r="F32"/>
  <c r="E31"/>
  <c r="D30"/>
  <c r="F28"/>
  <c r="E27"/>
  <c r="D26"/>
  <c r="F24"/>
  <c r="E23"/>
  <c r="D22"/>
  <c r="F20"/>
  <c r="E19"/>
  <c r="D18"/>
  <c r="F15"/>
  <c r="E14"/>
  <c r="D13"/>
  <c r="F11"/>
  <c r="E10"/>
  <c r="D9"/>
  <c r="F7"/>
  <c r="E6"/>
  <c r="D5"/>
  <c r="F12" i="4"/>
  <c r="E49" i="5"/>
  <c r="D44"/>
  <c r="F38"/>
  <c r="D36"/>
  <c r="E33"/>
  <c r="E29"/>
  <c r="F26"/>
  <c r="D24"/>
  <c r="E21"/>
  <c r="E17"/>
  <c r="D15"/>
  <c r="E12"/>
  <c r="F9"/>
  <c r="D7"/>
  <c r="E25" i="17"/>
  <c r="H18"/>
  <c r="K17"/>
  <c r="F16"/>
  <c r="I15"/>
  <c r="L14"/>
  <c r="D14"/>
  <c r="G13"/>
  <c r="L12"/>
  <c r="D12"/>
  <c r="I11"/>
  <c r="F10"/>
  <c r="K9"/>
  <c r="H8"/>
  <c r="E7"/>
  <c r="J6"/>
  <c r="E34" i="15"/>
  <c r="G31"/>
  <c r="E30"/>
  <c r="D29"/>
  <c r="G24"/>
  <c r="F23"/>
  <c r="D17"/>
  <c r="F14"/>
  <c r="D13"/>
  <c r="G9"/>
  <c r="F8"/>
  <c r="E7"/>
  <c r="D6"/>
  <c r="F71" i="13"/>
  <c r="H70"/>
  <c r="D70"/>
  <c r="F69"/>
  <c r="H68"/>
  <c r="D68"/>
  <c r="F67"/>
  <c r="H66"/>
  <c r="D66"/>
  <c r="F65"/>
  <c r="H64"/>
  <c r="D64"/>
  <c r="F63"/>
  <c r="H62"/>
  <c r="D62"/>
  <c r="F61"/>
  <c r="H60"/>
  <c r="D60"/>
  <c r="F59"/>
  <c r="H58"/>
  <c r="D58"/>
  <c r="F57"/>
  <c r="H56"/>
  <c r="D56"/>
  <c r="F55"/>
  <c r="H54"/>
  <c r="D54"/>
  <c r="F53"/>
  <c r="H52"/>
  <c r="D52"/>
  <c r="F51"/>
  <c r="H50"/>
  <c r="D50"/>
  <c r="F49"/>
  <c r="H48"/>
  <c r="D48"/>
  <c r="F47"/>
  <c r="H46"/>
  <c r="D46"/>
  <c r="F45"/>
  <c r="H44"/>
  <c r="D44"/>
  <c r="F43"/>
  <c r="H42"/>
  <c r="D42"/>
  <c r="F41"/>
  <c r="H40"/>
  <c r="D40"/>
  <c r="F39"/>
  <c r="H38"/>
  <c r="D38"/>
  <c r="F37"/>
  <c r="H36"/>
  <c r="D36"/>
  <c r="F35"/>
  <c r="H34"/>
  <c r="D34"/>
  <c r="F33"/>
  <c r="H32"/>
  <c r="D32"/>
  <c r="F31"/>
  <c r="H30"/>
  <c r="D30"/>
  <c r="F29"/>
  <c r="H28"/>
  <c r="D28"/>
  <c r="F27"/>
  <c r="H26"/>
  <c r="D26"/>
  <c r="F25"/>
  <c r="H24"/>
  <c r="D24"/>
  <c r="F23"/>
  <c r="H22"/>
  <c r="D22"/>
  <c r="F21"/>
  <c r="H20"/>
  <c r="D20"/>
  <c r="F19"/>
  <c r="H18"/>
  <c r="D18"/>
  <c r="G17"/>
  <c r="I16"/>
  <c r="E16"/>
  <c r="G15"/>
  <c r="I14"/>
  <c r="E14"/>
  <c r="G13"/>
  <c r="I12"/>
  <c r="E12"/>
  <c r="G11"/>
  <c r="I10"/>
  <c r="E10"/>
  <c r="G9"/>
  <c r="I8"/>
  <c r="E8"/>
  <c r="G7"/>
  <c r="I6"/>
  <c r="E6"/>
  <c r="F12" i="11"/>
  <c r="D10"/>
  <c r="F7"/>
  <c r="D23" i="9"/>
  <c r="D22"/>
  <c r="D21"/>
  <c r="D20"/>
  <c r="D19"/>
  <c r="G11"/>
  <c r="G10"/>
  <c r="G9"/>
  <c r="G8"/>
  <c r="G7"/>
  <c r="G6"/>
  <c r="G5"/>
  <c r="F37" i="8"/>
  <c r="E36"/>
  <c r="D35"/>
  <c r="F33"/>
  <c r="E32"/>
  <c r="D31"/>
  <c r="F29"/>
  <c r="E28"/>
  <c r="D27"/>
  <c r="F25"/>
  <c r="E18"/>
  <c r="D17"/>
  <c r="F15"/>
  <c r="E14"/>
  <c r="D13"/>
  <c r="F11"/>
  <c r="E10"/>
  <c r="D9"/>
  <c r="F7"/>
  <c r="E6"/>
  <c r="D69" i="5"/>
  <c r="F67"/>
  <c r="E66"/>
  <c r="D65"/>
  <c r="F63"/>
  <c r="E62"/>
  <c r="D61"/>
  <c r="F59"/>
  <c r="E58"/>
  <c r="D57"/>
  <c r="F55"/>
  <c r="E54"/>
  <c r="D53"/>
  <c r="F51"/>
  <c r="E50"/>
  <c r="D49"/>
  <c r="F47"/>
  <c r="E46"/>
  <c r="D45"/>
  <c r="F43"/>
  <c r="E42"/>
  <c r="D41"/>
  <c r="F39"/>
  <c r="E38"/>
  <c r="D37"/>
  <c r="F35"/>
  <c r="E34"/>
  <c r="D33"/>
  <c r="F31"/>
  <c r="E30"/>
  <c r="D29"/>
  <c r="F27"/>
  <c r="E26"/>
  <c r="D25"/>
  <c r="F23"/>
  <c r="E22"/>
  <c r="D21"/>
  <c r="F19"/>
  <c r="E18"/>
  <c r="D17"/>
  <c r="D16"/>
  <c r="F14"/>
  <c r="E13"/>
  <c r="D12"/>
  <c r="F10"/>
  <c r="E9"/>
  <c r="D8"/>
  <c r="F6"/>
  <c r="E5"/>
  <c r="F13" i="4"/>
  <c r="F50" i="5"/>
  <c r="F42"/>
  <c r="D40"/>
  <c r="E37"/>
  <c r="F34"/>
  <c r="F30"/>
  <c r="D28"/>
  <c r="E25"/>
  <c r="F22"/>
  <c r="F18"/>
  <c r="E16"/>
  <c r="F13"/>
  <c r="D11"/>
  <c r="E8"/>
  <c r="F5"/>
  <c r="D12" i="4"/>
  <c r="F17" i="5"/>
  <c r="D14"/>
  <c r="E11"/>
  <c r="F8"/>
  <c r="D6"/>
  <c r="D7" i="7" l="1"/>
  <c r="F9"/>
  <c r="E12"/>
  <c r="D15"/>
  <c r="D18"/>
  <c r="E12" i="4"/>
  <c r="F6" i="7"/>
  <c r="E9"/>
  <c r="D12"/>
  <c r="F14"/>
  <c r="E17"/>
  <c r="F19"/>
  <c r="F23"/>
  <c r="E26"/>
  <c r="D29"/>
  <c r="F31"/>
  <c r="F35"/>
  <c r="E38"/>
  <c r="D41"/>
  <c r="F43"/>
  <c r="F51"/>
  <c r="G13" i="4"/>
  <c r="H13"/>
  <c r="E6" i="7"/>
  <c r="F7"/>
  <c r="D9"/>
  <c r="E10"/>
  <c r="F11"/>
  <c r="D13"/>
  <c r="E14"/>
  <c r="F18"/>
  <c r="F15"/>
  <c r="D17"/>
  <c r="E19"/>
  <c r="F20"/>
  <c r="D22"/>
  <c r="E23"/>
  <c r="F24"/>
  <c r="D26"/>
  <c r="E27"/>
  <c r="F28"/>
  <c r="D30"/>
  <c r="E31"/>
  <c r="F32"/>
  <c r="D34"/>
  <c r="E35"/>
  <c r="F36"/>
  <c r="D38"/>
  <c r="E39"/>
  <c r="F40"/>
  <c r="D42"/>
  <c r="E43"/>
  <c r="F44"/>
  <c r="D46"/>
  <c r="E47"/>
  <c r="F48"/>
  <c r="D50"/>
  <c r="E51"/>
  <c r="F52"/>
  <c r="D54"/>
  <c r="E55"/>
  <c r="F56"/>
  <c r="G12" i="9"/>
  <c r="D24"/>
  <c r="G7" i="11"/>
  <c r="H7"/>
  <c r="E10"/>
  <c r="G12"/>
  <c r="H12"/>
  <c r="D6" i="14"/>
  <c r="H6"/>
  <c r="F7"/>
  <c r="D8"/>
  <c r="H8"/>
  <c r="F9"/>
  <c r="D10"/>
  <c r="H10"/>
  <c r="F11"/>
  <c r="D12"/>
  <c r="H12"/>
  <c r="F13"/>
  <c r="D14"/>
  <c r="H14"/>
  <c r="F15"/>
  <c r="F18"/>
  <c r="D16"/>
  <c r="H16"/>
  <c r="F17"/>
  <c r="E19"/>
  <c r="C20"/>
  <c r="G20"/>
  <c r="E21"/>
  <c r="C22"/>
  <c r="G22"/>
  <c r="E23"/>
  <c r="C24"/>
  <c r="G24"/>
  <c r="E25"/>
  <c r="C26"/>
  <c r="G26"/>
  <c r="E27"/>
  <c r="C28"/>
  <c r="G28"/>
  <c r="E29"/>
  <c r="C30"/>
  <c r="G30"/>
  <c r="E31"/>
  <c r="C32"/>
  <c r="G32"/>
  <c r="E33"/>
  <c r="C34"/>
  <c r="G34"/>
  <c r="E35"/>
  <c r="C36"/>
  <c r="G36"/>
  <c r="E37"/>
  <c r="C38"/>
  <c r="G38"/>
  <c r="E39"/>
  <c r="C40"/>
  <c r="G40"/>
  <c r="E41"/>
  <c r="C42"/>
  <c r="G42"/>
  <c r="E43"/>
  <c r="C44"/>
  <c r="G44"/>
  <c r="E45"/>
  <c r="C46"/>
  <c r="G46"/>
  <c r="E47"/>
  <c r="C48"/>
  <c r="G48"/>
  <c r="E49"/>
  <c r="C50"/>
  <c r="G50"/>
  <c r="E51"/>
  <c r="C52"/>
  <c r="G52"/>
  <c r="E53"/>
  <c r="C54"/>
  <c r="G54"/>
  <c r="E55"/>
  <c r="C56"/>
  <c r="G56"/>
  <c r="E57"/>
  <c r="H7" i="15"/>
  <c r="I8"/>
  <c r="J9"/>
  <c r="I14"/>
  <c r="I23"/>
  <c r="F35"/>
  <c r="J24"/>
  <c r="H30"/>
  <c r="H34"/>
  <c r="P6" i="17"/>
  <c r="O11"/>
  <c r="R12"/>
  <c r="M13"/>
  <c r="O15"/>
  <c r="D8" i="7"/>
  <c r="F10"/>
  <c r="E13"/>
  <c r="D16"/>
  <c r="E22"/>
  <c r="D25"/>
  <c r="F27"/>
  <c r="E30"/>
  <c r="E34"/>
  <c r="D37"/>
  <c r="F39"/>
  <c r="D45"/>
  <c r="E50"/>
  <c r="H12" i="4"/>
  <c r="G12"/>
  <c r="D6" i="7"/>
  <c r="E7"/>
  <c r="F8"/>
  <c r="D10"/>
  <c r="E11"/>
  <c r="F12"/>
  <c r="D14"/>
  <c r="E15"/>
  <c r="E18"/>
  <c r="F16"/>
  <c r="D19"/>
  <c r="E20"/>
  <c r="F21"/>
  <c r="D23"/>
  <c r="E24"/>
  <c r="F25"/>
  <c r="D27"/>
  <c r="E28"/>
  <c r="F29"/>
  <c r="D31"/>
  <c r="E32"/>
  <c r="F33"/>
  <c r="D35"/>
  <c r="E36"/>
  <c r="F37"/>
  <c r="D39"/>
  <c r="E40"/>
  <c r="F41"/>
  <c r="D43"/>
  <c r="E44"/>
  <c r="F45"/>
  <c r="D47"/>
  <c r="E48"/>
  <c r="F49"/>
  <c r="D51"/>
  <c r="E52"/>
  <c r="F53"/>
  <c r="D55"/>
  <c r="E56"/>
  <c r="F57"/>
  <c r="F12" i="9"/>
  <c r="F13" s="1"/>
  <c r="G24"/>
  <c r="H6" i="11"/>
  <c r="G6"/>
  <c r="E8"/>
  <c r="H11"/>
  <c r="G11"/>
  <c r="C6" i="14"/>
  <c r="G6"/>
  <c r="E7"/>
  <c r="C8"/>
  <c r="G8"/>
  <c r="E9"/>
  <c r="C10"/>
  <c r="G10"/>
  <c r="E11"/>
  <c r="C12"/>
  <c r="G12"/>
  <c r="E13"/>
  <c r="C14"/>
  <c r="G14"/>
  <c r="E18"/>
  <c r="E15"/>
  <c r="C16"/>
  <c r="G16"/>
  <c r="E17"/>
  <c r="D19"/>
  <c r="H19"/>
  <c r="F20"/>
  <c r="D21"/>
  <c r="H21"/>
  <c r="F22"/>
  <c r="D23"/>
  <c r="H23"/>
  <c r="F24"/>
  <c r="D25"/>
  <c r="H25"/>
  <c r="F26"/>
  <c r="D27"/>
  <c r="H27"/>
  <c r="F28"/>
  <c r="D29"/>
  <c r="H29"/>
  <c r="F30"/>
  <c r="D31"/>
  <c r="H31"/>
  <c r="F32"/>
  <c r="D33"/>
  <c r="H33"/>
  <c r="F34"/>
  <c r="D35"/>
  <c r="H35"/>
  <c r="F36"/>
  <c r="D37"/>
  <c r="H37"/>
  <c r="F38"/>
  <c r="D39"/>
  <c r="H39"/>
  <c r="F40"/>
  <c r="D41"/>
  <c r="H41"/>
  <c r="F42"/>
  <c r="D43"/>
  <c r="H43"/>
  <c r="F44"/>
  <c r="D45"/>
  <c r="H45"/>
  <c r="F46"/>
  <c r="D47"/>
  <c r="H47"/>
  <c r="F48"/>
  <c r="D49"/>
  <c r="H49"/>
  <c r="F50"/>
  <c r="D51"/>
  <c r="H51"/>
  <c r="F52"/>
  <c r="D53"/>
  <c r="H53"/>
  <c r="F54"/>
  <c r="D55"/>
  <c r="H55"/>
  <c r="F56"/>
  <c r="D57"/>
  <c r="H57"/>
  <c r="H8" i="15"/>
  <c r="I9"/>
  <c r="J10"/>
  <c r="H14"/>
  <c r="E35"/>
  <c r="H23"/>
  <c r="I24"/>
  <c r="J25"/>
  <c r="I31"/>
  <c r="O6" i="17"/>
  <c r="R7"/>
  <c r="M8"/>
  <c r="P9"/>
  <c r="M18"/>
  <c r="E13" i="4"/>
  <c r="E8" i="7"/>
  <c r="D11"/>
  <c r="F13"/>
  <c r="E16"/>
  <c r="F17"/>
  <c r="D20"/>
  <c r="E21"/>
  <c r="F22"/>
  <c r="D24"/>
  <c r="E25"/>
  <c r="F26"/>
  <c r="D28"/>
  <c r="E29"/>
  <c r="F30"/>
  <c r="D32"/>
  <c r="E33"/>
  <c r="F34"/>
  <c r="D36"/>
  <c r="E37"/>
  <c r="F38"/>
  <c r="D40"/>
  <c r="E41"/>
  <c r="F42"/>
  <c r="D44"/>
  <c r="E45"/>
  <c r="F46"/>
  <c r="D48"/>
  <c r="E49"/>
  <c r="F50"/>
  <c r="D52"/>
  <c r="E53"/>
  <c r="F54"/>
  <c r="D56"/>
  <c r="E57"/>
  <c r="E12" i="9"/>
  <c r="F24"/>
  <c r="E7" i="11"/>
  <c r="G10"/>
  <c r="H10"/>
  <c r="E12"/>
  <c r="F6" i="14"/>
  <c r="D7"/>
  <c r="H7"/>
  <c r="F8"/>
  <c r="D9"/>
  <c r="H9"/>
  <c r="F10"/>
  <c r="D11"/>
  <c r="H11"/>
  <c r="F12"/>
  <c r="D13"/>
  <c r="H13"/>
  <c r="F14"/>
  <c r="D18"/>
  <c r="D15"/>
  <c r="H18"/>
  <c r="H15"/>
  <c r="F16"/>
  <c r="D17"/>
  <c r="H17"/>
  <c r="C19"/>
  <c r="G19"/>
  <c r="E20"/>
  <c r="C21"/>
  <c r="G21"/>
  <c r="E22"/>
  <c r="C23"/>
  <c r="G23"/>
  <c r="E24"/>
  <c r="C25"/>
  <c r="G25"/>
  <c r="E26"/>
  <c r="C27"/>
  <c r="G27"/>
  <c r="E28"/>
  <c r="C29"/>
  <c r="G29"/>
  <c r="E30"/>
  <c r="C31"/>
  <c r="G31"/>
  <c r="E32"/>
  <c r="C33"/>
  <c r="G33"/>
  <c r="E34"/>
  <c r="C35"/>
  <c r="G35"/>
  <c r="E36"/>
  <c r="C37"/>
  <c r="G37"/>
  <c r="E38"/>
  <c r="C39"/>
  <c r="G39"/>
  <c r="E40"/>
  <c r="C41"/>
  <c r="G41"/>
  <c r="E42"/>
  <c r="C43"/>
  <c r="G43"/>
  <c r="E44"/>
  <c r="C45"/>
  <c r="G45"/>
  <c r="E46"/>
  <c r="C47"/>
  <c r="G47"/>
  <c r="E48"/>
  <c r="C49"/>
  <c r="G49"/>
  <c r="E50"/>
  <c r="C51"/>
  <c r="G51"/>
  <c r="E52"/>
  <c r="C53"/>
  <c r="G53"/>
  <c r="E54"/>
  <c r="C55"/>
  <c r="G55"/>
  <c r="E56"/>
  <c r="C57"/>
  <c r="G57"/>
  <c r="J5" i="15"/>
  <c r="H11"/>
  <c r="I12"/>
  <c r="I16"/>
  <c r="H26"/>
  <c r="I27"/>
  <c r="J28"/>
  <c r="H32"/>
  <c r="O7" i="17"/>
  <c r="R8"/>
  <c r="M9"/>
  <c r="P10"/>
  <c r="M17"/>
  <c r="O25"/>
  <c r="D21" i="7"/>
  <c r="D33"/>
  <c r="E42"/>
  <c r="E46"/>
  <c r="F47"/>
  <c r="D49"/>
  <c r="D53"/>
  <c r="E54"/>
  <c r="F55"/>
  <c r="D57"/>
  <c r="D12" i="9"/>
  <c r="E24"/>
  <c r="E25" s="1"/>
  <c r="E6" i="11"/>
  <c r="G8"/>
  <c r="H8"/>
  <c r="E11"/>
  <c r="E6" i="14"/>
  <c r="C7"/>
  <c r="G7"/>
  <c r="E8"/>
  <c r="C9"/>
  <c r="G9"/>
  <c r="E10"/>
  <c r="C11"/>
  <c r="G11"/>
  <c r="E12"/>
  <c r="C13"/>
  <c r="G13"/>
  <c r="E14"/>
  <c r="C15"/>
  <c r="C18"/>
  <c r="G15"/>
  <c r="G18"/>
  <c r="E16"/>
  <c r="C17"/>
  <c r="G17"/>
  <c r="F19"/>
  <c r="D20"/>
  <c r="H20"/>
  <c r="F21"/>
  <c r="D22"/>
  <c r="H22"/>
  <c r="F23"/>
  <c r="D24"/>
  <c r="H24"/>
  <c r="F25"/>
  <c r="D26"/>
  <c r="H26"/>
  <c r="F27"/>
  <c r="D28"/>
  <c r="H28"/>
  <c r="F29"/>
  <c r="D30"/>
  <c r="H30"/>
  <c r="F31"/>
  <c r="D32"/>
  <c r="H32"/>
  <c r="F33"/>
  <c r="D34"/>
  <c r="H34"/>
  <c r="F35"/>
  <c r="D36"/>
  <c r="H36"/>
  <c r="F37"/>
  <c r="D38"/>
  <c r="H38"/>
  <c r="F39"/>
  <c r="D40"/>
  <c r="H40"/>
  <c r="F41"/>
  <c r="D42"/>
  <c r="H42"/>
  <c r="F43"/>
  <c r="D44"/>
  <c r="H44"/>
  <c r="F45"/>
  <c r="D46"/>
  <c r="H46"/>
  <c r="F47"/>
  <c r="D48"/>
  <c r="H48"/>
  <c r="F49"/>
  <c r="D50"/>
  <c r="H50"/>
  <c r="F51"/>
  <c r="D52"/>
  <c r="H52"/>
  <c r="F53"/>
  <c r="D54"/>
  <c r="H54"/>
  <c r="F55"/>
  <c r="D56"/>
  <c r="H56"/>
  <c r="F57"/>
  <c r="I5" i="15"/>
  <c r="J6"/>
  <c r="H12"/>
  <c r="H16"/>
  <c r="H27"/>
  <c r="I28"/>
  <c r="J29"/>
  <c r="I33"/>
  <c r="O10" i="17"/>
  <c r="R11"/>
  <c r="M12"/>
  <c r="M14"/>
  <c r="O16"/>
  <c r="N25"/>
  <c r="H5" i="15"/>
  <c r="I6"/>
  <c r="J7"/>
  <c r="H9"/>
  <c r="I10"/>
  <c r="J11"/>
  <c r="I13"/>
  <c r="I15"/>
  <c r="I17"/>
  <c r="D35"/>
  <c r="H24"/>
  <c r="I25"/>
  <c r="J26"/>
  <c r="H28"/>
  <c r="I29"/>
  <c r="H31"/>
  <c r="H33"/>
  <c r="R6" i="17"/>
  <c r="M7"/>
  <c r="P8"/>
  <c r="O9"/>
  <c r="R10"/>
  <c r="M11"/>
  <c r="P12"/>
  <c r="O13"/>
  <c r="M15"/>
  <c r="O17"/>
  <c r="M25"/>
  <c r="Q25"/>
  <c r="N26"/>
  <c r="R26"/>
  <c r="O27"/>
  <c r="P28"/>
  <c r="M29"/>
  <c r="Q29"/>
  <c r="N30"/>
  <c r="R30"/>
  <c r="O31"/>
  <c r="D5" i="23"/>
  <c r="H5"/>
  <c r="E6"/>
  <c r="I6"/>
  <c r="F7"/>
  <c r="C8"/>
  <c r="G8"/>
  <c r="D9"/>
  <c r="H9"/>
  <c r="E10"/>
  <c r="I10"/>
  <c r="F11"/>
  <c r="C12"/>
  <c r="G12"/>
  <c r="D13"/>
  <c r="H13"/>
  <c r="E17"/>
  <c r="E14"/>
  <c r="I17"/>
  <c r="I14"/>
  <c r="F15"/>
  <c r="C16"/>
  <c r="G16"/>
  <c r="D18"/>
  <c r="H18"/>
  <c r="E19"/>
  <c r="I19"/>
  <c r="F20"/>
  <c r="C21"/>
  <c r="G21"/>
  <c r="D22"/>
  <c r="H22"/>
  <c r="E23"/>
  <c r="I23"/>
  <c r="F24"/>
  <c r="C25"/>
  <c r="G25"/>
  <c r="D26"/>
  <c r="H26"/>
  <c r="E27"/>
  <c r="I27"/>
  <c r="F28"/>
  <c r="C29"/>
  <c r="G29"/>
  <c r="D30"/>
  <c r="H30"/>
  <c r="E31"/>
  <c r="I31"/>
  <c r="F32"/>
  <c r="C33"/>
  <c r="G33"/>
  <c r="D34"/>
  <c r="H34"/>
  <c r="E35"/>
  <c r="I35"/>
  <c r="F36"/>
  <c r="C37"/>
  <c r="G37"/>
  <c r="D38"/>
  <c r="H38"/>
  <c r="E39"/>
  <c r="I39"/>
  <c r="F40"/>
  <c r="C41"/>
  <c r="G41"/>
  <c r="D42"/>
  <c r="H42"/>
  <c r="E43"/>
  <c r="I43"/>
  <c r="F44"/>
  <c r="C45"/>
  <c r="G45"/>
  <c r="D46"/>
  <c r="H46"/>
  <c r="E47"/>
  <c r="I47"/>
  <c r="F48"/>
  <c r="C49"/>
  <c r="G49"/>
  <c r="D50"/>
  <c r="H50"/>
  <c r="E51"/>
  <c r="I51"/>
  <c r="F52"/>
  <c r="C53"/>
  <c r="G53"/>
  <c r="D54"/>
  <c r="H54"/>
  <c r="E55"/>
  <c r="I55"/>
  <c r="F56"/>
  <c r="G6" i="26"/>
  <c r="E18"/>
  <c r="F7"/>
  <c r="G10"/>
  <c r="F11"/>
  <c r="G25"/>
  <c r="F26"/>
  <c r="G29"/>
  <c r="F30"/>
  <c r="C54"/>
  <c r="G44"/>
  <c r="F45"/>
  <c r="G48"/>
  <c r="F49"/>
  <c r="F50"/>
  <c r="F51"/>
  <c r="F52"/>
  <c r="F53"/>
  <c r="F60"/>
  <c r="D72"/>
  <c r="G63"/>
  <c r="F64"/>
  <c r="G78"/>
  <c r="E90"/>
  <c r="F79"/>
  <c r="G82"/>
  <c r="F83"/>
  <c r="G97"/>
  <c r="F98"/>
  <c r="G101"/>
  <c r="F102"/>
  <c r="C126"/>
  <c r="G116"/>
  <c r="F117"/>
  <c r="G120"/>
  <c r="F121"/>
  <c r="F122"/>
  <c r="F123"/>
  <c r="F124"/>
  <c r="F125"/>
  <c r="F132"/>
  <c r="D144"/>
  <c r="G135"/>
  <c r="F136"/>
  <c r="G150"/>
  <c r="E162"/>
  <c r="F151"/>
  <c r="G154"/>
  <c r="F155"/>
  <c r="G169"/>
  <c r="F170"/>
  <c r="G173"/>
  <c r="F174"/>
  <c r="C198"/>
  <c r="G188"/>
  <c r="F189"/>
  <c r="G192"/>
  <c r="F193"/>
  <c r="F194"/>
  <c r="F195"/>
  <c r="F196"/>
  <c r="F197"/>
  <c r="F204"/>
  <c r="D216"/>
  <c r="G207"/>
  <c r="F208"/>
  <c r="G222"/>
  <c r="E234"/>
  <c r="F223"/>
  <c r="G226"/>
  <c r="F227"/>
  <c r="G241"/>
  <c r="F242"/>
  <c r="G245"/>
  <c r="F246"/>
  <c r="C270"/>
  <c r="G260"/>
  <c r="F261"/>
  <c r="G264"/>
  <c r="F265"/>
  <c r="F266"/>
  <c r="F267"/>
  <c r="F268"/>
  <c r="F269"/>
  <c r="D288"/>
  <c r="F276"/>
  <c r="G279"/>
  <c r="F280"/>
  <c r="H7" i="27"/>
  <c r="N7"/>
  <c r="X7"/>
  <c r="AD7"/>
  <c r="AN7"/>
  <c r="J8"/>
  <c r="P8"/>
  <c r="Z8"/>
  <c r="AF8"/>
  <c r="AP8"/>
  <c r="AV8"/>
  <c r="AS8"/>
  <c r="L9"/>
  <c r="R9"/>
  <c r="AB9"/>
  <c r="AJ9"/>
  <c r="AR9"/>
  <c r="F10"/>
  <c r="N10"/>
  <c r="V10"/>
  <c r="S10"/>
  <c r="AD10"/>
  <c r="AL10"/>
  <c r="H11"/>
  <c r="P11"/>
  <c r="X11"/>
  <c r="AF11"/>
  <c r="AN11"/>
  <c r="AV11"/>
  <c r="AS11"/>
  <c r="N12"/>
  <c r="AD12"/>
  <c r="P13"/>
  <c r="AF13"/>
  <c r="AV13"/>
  <c r="AS13"/>
  <c r="R14"/>
  <c r="AH14"/>
  <c r="D15"/>
  <c r="AJ15"/>
  <c r="F16"/>
  <c r="V16"/>
  <c r="S16"/>
  <c r="AL16"/>
  <c r="H17"/>
  <c r="X17"/>
  <c r="AN17"/>
  <c r="J18"/>
  <c r="J19"/>
  <c r="Z18"/>
  <c r="Z19"/>
  <c r="H6" i="15"/>
  <c r="I7"/>
  <c r="J8"/>
  <c r="H10"/>
  <c r="I11"/>
  <c r="H13"/>
  <c r="H15"/>
  <c r="H17"/>
  <c r="J23"/>
  <c r="G35"/>
  <c r="H25"/>
  <c r="I26"/>
  <c r="J27"/>
  <c r="H29"/>
  <c r="I30"/>
  <c r="I32"/>
  <c r="I34"/>
  <c r="M6" i="17"/>
  <c r="P7"/>
  <c r="O8"/>
  <c r="R9"/>
  <c r="M10"/>
  <c r="P11"/>
  <c r="O12"/>
  <c r="O14"/>
  <c r="M16"/>
  <c r="O18"/>
  <c r="P25"/>
  <c r="M26"/>
  <c r="Q26"/>
  <c r="N27"/>
  <c r="R27"/>
  <c r="O28"/>
  <c r="P29"/>
  <c r="M30"/>
  <c r="Q30"/>
  <c r="N31"/>
  <c r="R31"/>
  <c r="O32"/>
  <c r="O33"/>
  <c r="O34"/>
  <c r="O35"/>
  <c r="O36"/>
  <c r="O37"/>
  <c r="C5" i="23"/>
  <c r="G5"/>
  <c r="D6"/>
  <c r="H6"/>
  <c r="E7"/>
  <c r="I7"/>
  <c r="F8"/>
  <c r="C9"/>
  <c r="G9"/>
  <c r="D10"/>
  <c r="H10"/>
  <c r="E11"/>
  <c r="I11"/>
  <c r="F12"/>
  <c r="C13"/>
  <c r="G13"/>
  <c r="D14"/>
  <c r="D17"/>
  <c r="H14"/>
  <c r="H17"/>
  <c r="E15"/>
  <c r="I15"/>
  <c r="F16"/>
  <c r="C18"/>
  <c r="G18"/>
  <c r="D19"/>
  <c r="H19"/>
  <c r="E20"/>
  <c r="I20"/>
  <c r="F21"/>
  <c r="C22"/>
  <c r="G22"/>
  <c r="D23"/>
  <c r="H23"/>
  <c r="E24"/>
  <c r="I24"/>
  <c r="F25"/>
  <c r="C26"/>
  <c r="G26"/>
  <c r="D27"/>
  <c r="H27"/>
  <c r="E28"/>
  <c r="I28"/>
  <c r="F29"/>
  <c r="C30"/>
  <c r="G30"/>
  <c r="D31"/>
  <c r="H31"/>
  <c r="E32"/>
  <c r="I32"/>
  <c r="F33"/>
  <c r="C34"/>
  <c r="G34"/>
  <c r="D35"/>
  <c r="H35"/>
  <c r="E36"/>
  <c r="I36"/>
  <c r="F37"/>
  <c r="C38"/>
  <c r="G38"/>
  <c r="D39"/>
  <c r="H39"/>
  <c r="E40"/>
  <c r="I40"/>
  <c r="F41"/>
  <c r="C42"/>
  <c r="G42"/>
  <c r="D43"/>
  <c r="H43"/>
  <c r="E44"/>
  <c r="I44"/>
  <c r="F45"/>
  <c r="C46"/>
  <c r="G46"/>
  <c r="D47"/>
  <c r="H47"/>
  <c r="E48"/>
  <c r="I48"/>
  <c r="F49"/>
  <c r="C50"/>
  <c r="G50"/>
  <c r="D51"/>
  <c r="H51"/>
  <c r="E52"/>
  <c r="I52"/>
  <c r="F53"/>
  <c r="C54"/>
  <c r="G54"/>
  <c r="D55"/>
  <c r="H55"/>
  <c r="E56"/>
  <c r="I56"/>
  <c r="F6" i="26"/>
  <c r="D18"/>
  <c r="G9"/>
  <c r="F10"/>
  <c r="G24"/>
  <c r="E36"/>
  <c r="F25"/>
  <c r="G28"/>
  <c r="F29"/>
  <c r="G43"/>
  <c r="F44"/>
  <c r="G47"/>
  <c r="F48"/>
  <c r="C72"/>
  <c r="G62"/>
  <c r="F63"/>
  <c r="G66"/>
  <c r="F67"/>
  <c r="F68"/>
  <c r="F69"/>
  <c r="F70"/>
  <c r="F71"/>
  <c r="F78"/>
  <c r="D90"/>
  <c r="G81"/>
  <c r="F82"/>
  <c r="G96"/>
  <c r="E108"/>
  <c r="F97"/>
  <c r="G100"/>
  <c r="F101"/>
  <c r="G115"/>
  <c r="F116"/>
  <c r="G119"/>
  <c r="F120"/>
  <c r="C144"/>
  <c r="G134"/>
  <c r="F135"/>
  <c r="G138"/>
  <c r="F139"/>
  <c r="F140"/>
  <c r="F141"/>
  <c r="F142"/>
  <c r="F143"/>
  <c r="F150"/>
  <c r="D162"/>
  <c r="G153"/>
  <c r="F154"/>
  <c r="G168"/>
  <c r="E180"/>
  <c r="F169"/>
  <c r="G172"/>
  <c r="F173"/>
  <c r="G187"/>
  <c r="F188"/>
  <c r="G191"/>
  <c r="F192"/>
  <c r="C216"/>
  <c r="G206"/>
  <c r="F207"/>
  <c r="G210"/>
  <c r="F211"/>
  <c r="F212"/>
  <c r="F213"/>
  <c r="F214"/>
  <c r="F215"/>
  <c r="F222"/>
  <c r="D234"/>
  <c r="G225"/>
  <c r="F226"/>
  <c r="G240"/>
  <c r="E252"/>
  <c r="F241"/>
  <c r="G244"/>
  <c r="F245"/>
  <c r="G259"/>
  <c r="F260"/>
  <c r="G263"/>
  <c r="F264"/>
  <c r="C288"/>
  <c r="G278"/>
  <c r="F279"/>
  <c r="G282"/>
  <c r="F283"/>
  <c r="F284"/>
  <c r="F285"/>
  <c r="F286"/>
  <c r="F287"/>
  <c r="L7" i="27"/>
  <c r="R7"/>
  <c r="AB7"/>
  <c r="AH7"/>
  <c r="AR7"/>
  <c r="D8"/>
  <c r="N8"/>
  <c r="AD8"/>
  <c r="AJ8"/>
  <c r="F9"/>
  <c r="P9"/>
  <c r="S9"/>
  <c r="V9"/>
  <c r="AH9"/>
  <c r="AP9"/>
  <c r="D10"/>
  <c r="L10"/>
  <c r="AB10"/>
  <c r="AJ10"/>
  <c r="AR10"/>
  <c r="F11"/>
  <c r="N11"/>
  <c r="V11"/>
  <c r="S11"/>
  <c r="AD11"/>
  <c r="AL11"/>
  <c r="J12"/>
  <c r="Z12"/>
  <c r="AP12"/>
  <c r="L13"/>
  <c r="AB13"/>
  <c r="AR13"/>
  <c r="N14"/>
  <c r="AD14"/>
  <c r="P15"/>
  <c r="AF15"/>
  <c r="AV15"/>
  <c r="AS15"/>
  <c r="R16"/>
  <c r="AH16"/>
  <c r="D17"/>
  <c r="AJ17"/>
  <c r="F18"/>
  <c r="F19"/>
  <c r="V18"/>
  <c r="S18"/>
  <c r="V19"/>
  <c r="P26" i="17"/>
  <c r="M27"/>
  <c r="Q27"/>
  <c r="N28"/>
  <c r="R28"/>
  <c r="O29"/>
  <c r="P30"/>
  <c r="M31"/>
  <c r="Q31"/>
  <c r="N32"/>
  <c r="N33"/>
  <c r="N34"/>
  <c r="N35"/>
  <c r="N36"/>
  <c r="N37"/>
  <c r="F5" i="23"/>
  <c r="C6"/>
  <c r="G6"/>
  <c r="D7"/>
  <c r="H7"/>
  <c r="E8"/>
  <c r="I8"/>
  <c r="F9"/>
  <c r="C10"/>
  <c r="G10"/>
  <c r="D11"/>
  <c r="H11"/>
  <c r="E12"/>
  <c r="I12"/>
  <c r="F13"/>
  <c r="C14"/>
  <c r="C17"/>
  <c r="G14"/>
  <c r="G17"/>
  <c r="D15"/>
  <c r="H15"/>
  <c r="E16"/>
  <c r="I16"/>
  <c r="F18"/>
  <c r="C19"/>
  <c r="G19"/>
  <c r="D20"/>
  <c r="H20"/>
  <c r="E21"/>
  <c r="I21"/>
  <c r="F22"/>
  <c r="C23"/>
  <c r="G23"/>
  <c r="D24"/>
  <c r="H24"/>
  <c r="E25"/>
  <c r="I25"/>
  <c r="F26"/>
  <c r="C27"/>
  <c r="G27"/>
  <c r="D28"/>
  <c r="H28"/>
  <c r="E29"/>
  <c r="I29"/>
  <c r="F30"/>
  <c r="C31"/>
  <c r="G31"/>
  <c r="D32"/>
  <c r="H32"/>
  <c r="E33"/>
  <c r="I33"/>
  <c r="F34"/>
  <c r="C35"/>
  <c r="G35"/>
  <c r="D36"/>
  <c r="H36"/>
  <c r="E37"/>
  <c r="I37"/>
  <c r="F38"/>
  <c r="C39"/>
  <c r="G39"/>
  <c r="D40"/>
  <c r="H40"/>
  <c r="E41"/>
  <c r="I41"/>
  <c r="F42"/>
  <c r="C43"/>
  <c r="G43"/>
  <c r="D44"/>
  <c r="H44"/>
  <c r="E45"/>
  <c r="I45"/>
  <c r="F46"/>
  <c r="C47"/>
  <c r="G47"/>
  <c r="D48"/>
  <c r="H48"/>
  <c r="E49"/>
  <c r="I49"/>
  <c r="F50"/>
  <c r="C51"/>
  <c r="G51"/>
  <c r="D52"/>
  <c r="H52"/>
  <c r="E53"/>
  <c r="I53"/>
  <c r="F54"/>
  <c r="C55"/>
  <c r="G55"/>
  <c r="D56"/>
  <c r="H56"/>
  <c r="C18" i="26"/>
  <c r="G8"/>
  <c r="F9"/>
  <c r="G12"/>
  <c r="F13"/>
  <c r="F14"/>
  <c r="F15"/>
  <c r="F16"/>
  <c r="F17"/>
  <c r="D36"/>
  <c r="F36" s="1"/>
  <c r="F24"/>
  <c r="G27"/>
  <c r="F28"/>
  <c r="E54"/>
  <c r="G42"/>
  <c r="F43"/>
  <c r="G46"/>
  <c r="F47"/>
  <c r="G61"/>
  <c r="F62"/>
  <c r="G65"/>
  <c r="F66"/>
  <c r="C90"/>
  <c r="G80"/>
  <c r="F81"/>
  <c r="G84"/>
  <c r="F85"/>
  <c r="F86"/>
  <c r="F87"/>
  <c r="F88"/>
  <c r="F89"/>
  <c r="D108"/>
  <c r="F96"/>
  <c r="G99"/>
  <c r="F100"/>
  <c r="E126"/>
  <c r="G114"/>
  <c r="F115"/>
  <c r="G118"/>
  <c r="F119"/>
  <c r="G133"/>
  <c r="F134"/>
  <c r="G137"/>
  <c r="F138"/>
  <c r="C162"/>
  <c r="G152"/>
  <c r="F153"/>
  <c r="G156"/>
  <c r="F157"/>
  <c r="F158"/>
  <c r="F159"/>
  <c r="F160"/>
  <c r="F161"/>
  <c r="D180"/>
  <c r="F180" s="1"/>
  <c r="F168"/>
  <c r="G171"/>
  <c r="F172"/>
  <c r="E198"/>
  <c r="G186"/>
  <c r="F187"/>
  <c r="G190"/>
  <c r="F191"/>
  <c r="G205"/>
  <c r="F206"/>
  <c r="G209"/>
  <c r="F210"/>
  <c r="C234"/>
  <c r="G224"/>
  <c r="F225"/>
  <c r="G228"/>
  <c r="F229"/>
  <c r="F230"/>
  <c r="F231"/>
  <c r="F232"/>
  <c r="F233"/>
  <c r="D252"/>
  <c r="F240"/>
  <c r="G243"/>
  <c r="F244"/>
  <c r="E270"/>
  <c r="G258"/>
  <c r="F259"/>
  <c r="G262"/>
  <c r="F263"/>
  <c r="G277"/>
  <c r="F278"/>
  <c r="G281"/>
  <c r="F282"/>
  <c r="F7" i="27"/>
  <c r="P7"/>
  <c r="S7"/>
  <c r="T7" s="1"/>
  <c r="V7"/>
  <c r="AF7"/>
  <c r="AL7"/>
  <c r="AV7"/>
  <c r="AS7"/>
  <c r="H8"/>
  <c r="R8"/>
  <c r="X8"/>
  <c r="AH8"/>
  <c r="AN8"/>
  <c r="D9"/>
  <c r="J9"/>
  <c r="Z9"/>
  <c r="AF9"/>
  <c r="AN9"/>
  <c r="AV9"/>
  <c r="AS9"/>
  <c r="J10"/>
  <c r="R10"/>
  <c r="Z10"/>
  <c r="AH10"/>
  <c r="AP10"/>
  <c r="D11"/>
  <c r="L11"/>
  <c r="AB11"/>
  <c r="AJ11"/>
  <c r="AR11"/>
  <c r="F12"/>
  <c r="V12"/>
  <c r="S12"/>
  <c r="AL12"/>
  <c r="H13"/>
  <c r="X13"/>
  <c r="AN13"/>
  <c r="J14"/>
  <c r="Z14"/>
  <c r="AP14"/>
  <c r="L15"/>
  <c r="AB15"/>
  <c r="AR15"/>
  <c r="N16"/>
  <c r="AD16"/>
  <c r="P17"/>
  <c r="AF17"/>
  <c r="AV17"/>
  <c r="AS17"/>
  <c r="R18"/>
  <c r="R19"/>
  <c r="R25" i="17"/>
  <c r="O26"/>
  <c r="P27"/>
  <c r="M28"/>
  <c r="Q28"/>
  <c r="N29"/>
  <c r="R29"/>
  <c r="O30"/>
  <c r="P31"/>
  <c r="M32"/>
  <c r="M33"/>
  <c r="M34"/>
  <c r="M35"/>
  <c r="M36"/>
  <c r="M37"/>
  <c r="E5" i="23"/>
  <c r="I5"/>
  <c r="F6"/>
  <c r="C7"/>
  <c r="G7"/>
  <c r="D8"/>
  <c r="H8"/>
  <c r="E9"/>
  <c r="I9"/>
  <c r="F10"/>
  <c r="C11"/>
  <c r="G11"/>
  <c r="D12"/>
  <c r="H12"/>
  <c r="E13"/>
  <c r="I13"/>
  <c r="F14"/>
  <c r="F17"/>
  <c r="C15"/>
  <c r="G15"/>
  <c r="D16"/>
  <c r="H16"/>
  <c r="E18"/>
  <c r="I18"/>
  <c r="F19"/>
  <c r="C20"/>
  <c r="G20"/>
  <c r="D21"/>
  <c r="H21"/>
  <c r="E22"/>
  <c r="I22"/>
  <c r="F23"/>
  <c r="C24"/>
  <c r="G24"/>
  <c r="D25"/>
  <c r="H25"/>
  <c r="E26"/>
  <c r="I26"/>
  <c r="F27"/>
  <c r="C28"/>
  <c r="G28"/>
  <c r="D29"/>
  <c r="H29"/>
  <c r="E30"/>
  <c r="I30"/>
  <c r="F31"/>
  <c r="C32"/>
  <c r="G32"/>
  <c r="D33"/>
  <c r="H33"/>
  <c r="E34"/>
  <c r="I34"/>
  <c r="F35"/>
  <c r="C36"/>
  <c r="G36"/>
  <c r="D37"/>
  <c r="H37"/>
  <c r="E38"/>
  <c r="I38"/>
  <c r="F39"/>
  <c r="C40"/>
  <c r="G40"/>
  <c r="D41"/>
  <c r="H41"/>
  <c r="E42"/>
  <c r="I42"/>
  <c r="F43"/>
  <c r="C44"/>
  <c r="G44"/>
  <c r="D45"/>
  <c r="H45"/>
  <c r="E46"/>
  <c r="I46"/>
  <c r="F47"/>
  <c r="C48"/>
  <c r="G48"/>
  <c r="D49"/>
  <c r="H49"/>
  <c r="E50"/>
  <c r="I50"/>
  <c r="F51"/>
  <c r="C52"/>
  <c r="G52"/>
  <c r="D53"/>
  <c r="H53"/>
  <c r="E54"/>
  <c r="I54"/>
  <c r="F55"/>
  <c r="C56"/>
  <c r="G56"/>
  <c r="G7" i="26"/>
  <c r="F8"/>
  <c r="G11"/>
  <c r="F12"/>
  <c r="C36"/>
  <c r="G26"/>
  <c r="F27"/>
  <c r="G30"/>
  <c r="F31"/>
  <c r="F32"/>
  <c r="F33"/>
  <c r="F34"/>
  <c r="F35"/>
  <c r="F42"/>
  <c r="D54"/>
  <c r="F54" s="1"/>
  <c r="G45"/>
  <c r="F46"/>
  <c r="G60"/>
  <c r="E72"/>
  <c r="F61"/>
  <c r="G64"/>
  <c r="F65"/>
  <c r="G79"/>
  <c r="F80"/>
  <c r="G83"/>
  <c r="F84"/>
  <c r="C108"/>
  <c r="G98"/>
  <c r="F99"/>
  <c r="G102"/>
  <c r="F103"/>
  <c r="F104"/>
  <c r="F105"/>
  <c r="F106"/>
  <c r="F107"/>
  <c r="F114"/>
  <c r="D126"/>
  <c r="F126" s="1"/>
  <c r="G117"/>
  <c r="F118"/>
  <c r="G132"/>
  <c r="E144"/>
  <c r="F133"/>
  <c r="G136"/>
  <c r="F137"/>
  <c r="G151"/>
  <c r="F152"/>
  <c r="G155"/>
  <c r="F156"/>
  <c r="C180"/>
  <c r="G170"/>
  <c r="F171"/>
  <c r="G174"/>
  <c r="F175"/>
  <c r="F176"/>
  <c r="F177"/>
  <c r="F178"/>
  <c r="F179"/>
  <c r="F186"/>
  <c r="D198"/>
  <c r="F198" s="1"/>
  <c r="G189"/>
  <c r="F190"/>
  <c r="G204"/>
  <c r="E216"/>
  <c r="F205"/>
  <c r="G208"/>
  <c r="F209"/>
  <c r="G223"/>
  <c r="F224"/>
  <c r="G227"/>
  <c r="F228"/>
  <c r="C252"/>
  <c r="G242"/>
  <c r="F243"/>
  <c r="G246"/>
  <c r="F247"/>
  <c r="F248"/>
  <c r="F249"/>
  <c r="F250"/>
  <c r="F251"/>
  <c r="F258"/>
  <c r="D270"/>
  <c r="F270" s="1"/>
  <c r="G261"/>
  <c r="F262"/>
  <c r="E288"/>
  <c r="G276"/>
  <c r="F277"/>
  <c r="G280"/>
  <c r="F281"/>
  <c r="D7" i="27"/>
  <c r="J7"/>
  <c r="Z7"/>
  <c r="AJ7"/>
  <c r="AP7"/>
  <c r="F8"/>
  <c r="L8"/>
  <c r="V8"/>
  <c r="S8"/>
  <c r="AB8"/>
  <c r="AL8"/>
  <c r="AR8"/>
  <c r="H9"/>
  <c r="N9"/>
  <c r="X9"/>
  <c r="AD9"/>
  <c r="AL9"/>
  <c r="H10"/>
  <c r="P10"/>
  <c r="X10"/>
  <c r="AF10"/>
  <c r="AN10"/>
  <c r="AV10"/>
  <c r="AS10"/>
  <c r="J11"/>
  <c r="R11"/>
  <c r="Z11"/>
  <c r="AH11"/>
  <c r="AP11"/>
  <c r="D12"/>
  <c r="R12"/>
  <c r="AH12"/>
  <c r="D13"/>
  <c r="AJ13"/>
  <c r="F14"/>
  <c r="V14"/>
  <c r="S14"/>
  <c r="AL14"/>
  <c r="H15"/>
  <c r="X15"/>
  <c r="AN15"/>
  <c r="J16"/>
  <c r="Z16"/>
  <c r="AP16"/>
  <c r="L17"/>
  <c r="AB17"/>
  <c r="AR17"/>
  <c r="N18"/>
  <c r="N19"/>
  <c r="AD18"/>
  <c r="AD19"/>
  <c r="AP50"/>
  <c r="AV50"/>
  <c r="AS50"/>
  <c r="AT50" s="1"/>
  <c r="L51"/>
  <c r="R51"/>
  <c r="AB51"/>
  <c r="AH51"/>
  <c r="AR51"/>
  <c r="D52"/>
  <c r="N52"/>
  <c r="AD52"/>
  <c r="AJ52"/>
  <c r="AR52"/>
  <c r="F53"/>
  <c r="N53"/>
  <c r="S53"/>
  <c r="V53"/>
  <c r="AD53"/>
  <c r="AL53"/>
  <c r="H54"/>
  <c r="P54"/>
  <c r="X54"/>
  <c r="AF54"/>
  <c r="AN54"/>
  <c r="AS54"/>
  <c r="AV54"/>
  <c r="J55"/>
  <c r="R55"/>
  <c r="Z55"/>
  <c r="AH55"/>
  <c r="P56"/>
  <c r="AF56"/>
  <c r="AV56"/>
  <c r="AS56"/>
  <c r="R57"/>
  <c r="AH57"/>
  <c r="D58"/>
  <c r="H12"/>
  <c r="L12"/>
  <c r="P12"/>
  <c r="X12"/>
  <c r="AB12"/>
  <c r="AF12"/>
  <c r="AJ12"/>
  <c r="AN12"/>
  <c r="AR12"/>
  <c r="AV12"/>
  <c r="AS12"/>
  <c r="F13"/>
  <c r="J13"/>
  <c r="N13"/>
  <c r="R13"/>
  <c r="V13"/>
  <c r="S13"/>
  <c r="Z13"/>
  <c r="AD13"/>
  <c r="AH13"/>
  <c r="AL13"/>
  <c r="AP13"/>
  <c r="D14"/>
  <c r="H14"/>
  <c r="L14"/>
  <c r="P14"/>
  <c r="X14"/>
  <c r="AB14"/>
  <c r="AF14"/>
  <c r="AJ14"/>
  <c r="AN14"/>
  <c r="AR14"/>
  <c r="AV14"/>
  <c r="AS14"/>
  <c r="F15"/>
  <c r="J15"/>
  <c r="N15"/>
  <c r="R15"/>
  <c r="V15"/>
  <c r="S15"/>
  <c r="Z15"/>
  <c r="AD15"/>
  <c r="AH15"/>
  <c r="AL15"/>
  <c r="AP15"/>
  <c r="D16"/>
  <c r="H16"/>
  <c r="L16"/>
  <c r="P16"/>
  <c r="X16"/>
  <c r="AB16"/>
  <c r="AF16"/>
  <c r="AJ16"/>
  <c r="AN16"/>
  <c r="AR16"/>
  <c r="AV16"/>
  <c r="AS16"/>
  <c r="F17"/>
  <c r="J17"/>
  <c r="N17"/>
  <c r="R17"/>
  <c r="V17"/>
  <c r="S17"/>
  <c r="Z17"/>
  <c r="AD17"/>
  <c r="AH17"/>
  <c r="AL17"/>
  <c r="AP17"/>
  <c r="D19"/>
  <c r="D18"/>
  <c r="H19"/>
  <c r="H18"/>
  <c r="L19"/>
  <c r="L18"/>
  <c r="P19"/>
  <c r="P18"/>
  <c r="X19"/>
  <c r="X18"/>
  <c r="AB19"/>
  <c r="AB18"/>
  <c r="AF19"/>
  <c r="AF18"/>
  <c r="AJ19"/>
  <c r="AJ18"/>
  <c r="AN19"/>
  <c r="AN18"/>
  <c r="AR19"/>
  <c r="AR18"/>
  <c r="AS18"/>
  <c r="AV19"/>
  <c r="AV18"/>
  <c r="S19"/>
  <c r="D20"/>
  <c r="H20"/>
  <c r="L20"/>
  <c r="P20"/>
  <c r="X20"/>
  <c r="AB20"/>
  <c r="AF20"/>
  <c r="AJ20"/>
  <c r="AN20"/>
  <c r="AR20"/>
  <c r="AS20"/>
  <c r="AV20"/>
  <c r="F21"/>
  <c r="J21"/>
  <c r="N21"/>
  <c r="R21"/>
  <c r="S21"/>
  <c r="V21"/>
  <c r="Z21"/>
  <c r="AD21"/>
  <c r="AH21"/>
  <c r="AL21"/>
  <c r="AP21"/>
  <c r="D22"/>
  <c r="H22"/>
  <c r="L22"/>
  <c r="P22"/>
  <c r="X22"/>
  <c r="AB22"/>
  <c r="AF22"/>
  <c r="AJ22"/>
  <c r="AN22"/>
  <c r="AR22"/>
  <c r="AS22"/>
  <c r="AV22"/>
  <c r="F23"/>
  <c r="J23"/>
  <c r="N23"/>
  <c r="R23"/>
  <c r="S23"/>
  <c r="V23"/>
  <c r="Z23"/>
  <c r="AD23"/>
  <c r="AH23"/>
  <c r="AL23"/>
  <c r="AP23"/>
  <c r="D24"/>
  <c r="H24"/>
  <c r="L24"/>
  <c r="P24"/>
  <c r="X24"/>
  <c r="AB24"/>
  <c r="AF24"/>
  <c r="AJ24"/>
  <c r="AN24"/>
  <c r="AR24"/>
  <c r="AS24"/>
  <c r="AV24"/>
  <c r="F25"/>
  <c r="J25"/>
  <c r="N25"/>
  <c r="R25"/>
  <c r="S25"/>
  <c r="V25"/>
  <c r="Z25"/>
  <c r="AD25"/>
  <c r="AH25"/>
  <c r="AL25"/>
  <c r="AP25"/>
  <c r="D26"/>
  <c r="H26"/>
  <c r="L26"/>
  <c r="P26"/>
  <c r="X26"/>
  <c r="AB26"/>
  <c r="AF26"/>
  <c r="AJ26"/>
  <c r="AN26"/>
  <c r="AR26"/>
  <c r="AS26"/>
  <c r="AV26"/>
  <c r="F27"/>
  <c r="J27"/>
  <c r="N27"/>
  <c r="R27"/>
  <c r="S27"/>
  <c r="V27"/>
  <c r="Z27"/>
  <c r="AD27"/>
  <c r="AH27"/>
  <c r="AL27"/>
  <c r="AP27"/>
  <c r="D28"/>
  <c r="H28"/>
  <c r="L28"/>
  <c r="P28"/>
  <c r="X28"/>
  <c r="AB28"/>
  <c r="AF28"/>
  <c r="AJ28"/>
  <c r="AN28"/>
  <c r="AR28"/>
  <c r="AS28"/>
  <c r="AV28"/>
  <c r="F29"/>
  <c r="J29"/>
  <c r="N29"/>
  <c r="R29"/>
  <c r="S29"/>
  <c r="V29"/>
  <c r="Z29"/>
  <c r="AD29"/>
  <c r="AH29"/>
  <c r="AL29"/>
  <c r="AP29"/>
  <c r="D30"/>
  <c r="H30"/>
  <c r="L30"/>
  <c r="P30"/>
  <c r="X30"/>
  <c r="AB30"/>
  <c r="AF30"/>
  <c r="AJ30"/>
  <c r="AN30"/>
  <c r="AR30"/>
  <c r="AS30"/>
  <c r="AV30"/>
  <c r="F31"/>
  <c r="J31"/>
  <c r="N31"/>
  <c r="R31"/>
  <c r="S31"/>
  <c r="V31"/>
  <c r="Z31"/>
  <c r="AD31"/>
  <c r="AH31"/>
  <c r="AL31"/>
  <c r="AP31"/>
  <c r="D32"/>
  <c r="H32"/>
  <c r="L32"/>
  <c r="P32"/>
  <c r="X32"/>
  <c r="AB32"/>
  <c r="AF32"/>
  <c r="AJ32"/>
  <c r="AN32"/>
  <c r="AR32"/>
  <c r="AS32"/>
  <c r="AV32"/>
  <c r="F33"/>
  <c r="J33"/>
  <c r="N33"/>
  <c r="R33"/>
  <c r="S33"/>
  <c r="V33"/>
  <c r="Z33"/>
  <c r="AD33"/>
  <c r="AH33"/>
  <c r="AL33"/>
  <c r="AP33"/>
  <c r="D34"/>
  <c r="H34"/>
  <c r="L34"/>
  <c r="P34"/>
  <c r="X34"/>
  <c r="AB34"/>
  <c r="AF34"/>
  <c r="AJ34"/>
  <c r="AN34"/>
  <c r="AR34"/>
  <c r="AS34"/>
  <c r="AV34"/>
  <c r="F35"/>
  <c r="J35"/>
  <c r="N35"/>
  <c r="R35"/>
  <c r="S35"/>
  <c r="V35"/>
  <c r="Z35"/>
  <c r="AD35"/>
  <c r="AH35"/>
  <c r="AL35"/>
  <c r="AP35"/>
  <c r="D36"/>
  <c r="H36"/>
  <c r="L36"/>
  <c r="P36"/>
  <c r="X36"/>
  <c r="AB36"/>
  <c r="AF36"/>
  <c r="AJ36"/>
  <c r="AN36"/>
  <c r="AR36"/>
  <c r="AS36"/>
  <c r="AV36"/>
  <c r="F37"/>
  <c r="J37"/>
  <c r="N37"/>
  <c r="R37"/>
  <c r="S37"/>
  <c r="V37"/>
  <c r="Z37"/>
  <c r="AD37"/>
  <c r="AH37"/>
  <c r="AL37"/>
  <c r="AP37"/>
  <c r="D38"/>
  <c r="H38"/>
  <c r="L38"/>
  <c r="P38"/>
  <c r="X38"/>
  <c r="AB38"/>
  <c r="AF38"/>
  <c r="AJ38"/>
  <c r="AN38"/>
  <c r="AR38"/>
  <c r="AS38"/>
  <c r="AT38" s="1"/>
  <c r="AV38"/>
  <c r="F39"/>
  <c r="J39"/>
  <c r="N39"/>
  <c r="R39"/>
  <c r="S39"/>
  <c r="V39"/>
  <c r="Z39"/>
  <c r="AD39"/>
  <c r="AH39"/>
  <c r="AL39"/>
  <c r="AP39"/>
  <c r="D40"/>
  <c r="H40"/>
  <c r="L40"/>
  <c r="P40"/>
  <c r="X40"/>
  <c r="AB40"/>
  <c r="AF40"/>
  <c r="AJ40"/>
  <c r="AN40"/>
  <c r="AR40"/>
  <c r="AS40"/>
  <c r="AV40"/>
  <c r="F41"/>
  <c r="J41"/>
  <c r="N41"/>
  <c r="R41"/>
  <c r="S41"/>
  <c r="T41" s="1"/>
  <c r="V41"/>
  <c r="Z41"/>
  <c r="AD41"/>
  <c r="AH41"/>
  <c r="AL41"/>
  <c r="AP41"/>
  <c r="D42"/>
  <c r="H42"/>
  <c r="L42"/>
  <c r="P42"/>
  <c r="X42"/>
  <c r="AB42"/>
  <c r="AF42"/>
  <c r="AJ42"/>
  <c r="AN42"/>
  <c r="AR42"/>
  <c r="AS42"/>
  <c r="AV42"/>
  <c r="F43"/>
  <c r="J43"/>
  <c r="N43"/>
  <c r="R43"/>
  <c r="S43"/>
  <c r="T43" s="1"/>
  <c r="V43"/>
  <c r="Z43"/>
  <c r="AD43"/>
  <c r="AH43"/>
  <c r="AL43"/>
  <c r="AP43"/>
  <c r="D44"/>
  <c r="H44"/>
  <c r="L44"/>
  <c r="P44"/>
  <c r="X44"/>
  <c r="AB44"/>
  <c r="AF44"/>
  <c r="AJ44"/>
  <c r="AN44"/>
  <c r="AR44"/>
  <c r="AS44"/>
  <c r="AT44" s="1"/>
  <c r="AV44"/>
  <c r="F45"/>
  <c r="J45"/>
  <c r="N45"/>
  <c r="R45"/>
  <c r="S45"/>
  <c r="V45"/>
  <c r="Z45"/>
  <c r="AD45"/>
  <c r="AH45"/>
  <c r="AL45"/>
  <c r="AP45"/>
  <c r="D46"/>
  <c r="H46"/>
  <c r="L46"/>
  <c r="P46"/>
  <c r="X46"/>
  <c r="AB46"/>
  <c r="AF46"/>
  <c r="AJ46"/>
  <c r="AN46"/>
  <c r="AR46"/>
  <c r="AS46"/>
  <c r="AV46"/>
  <c r="F47"/>
  <c r="J47"/>
  <c r="N47"/>
  <c r="R47"/>
  <c r="S47"/>
  <c r="V47"/>
  <c r="Z47"/>
  <c r="AD47"/>
  <c r="AH47"/>
  <c r="AL47"/>
  <c r="AP47"/>
  <c r="D48"/>
  <c r="H48"/>
  <c r="L48"/>
  <c r="P48"/>
  <c r="X48"/>
  <c r="AB48"/>
  <c r="AF48"/>
  <c r="AJ48"/>
  <c r="AN48"/>
  <c r="AR48"/>
  <c r="AS48"/>
  <c r="AV48"/>
  <c r="F49"/>
  <c r="J49"/>
  <c r="N49"/>
  <c r="R49"/>
  <c r="S49"/>
  <c r="T49" s="1"/>
  <c r="V49"/>
  <c r="Z49"/>
  <c r="AD49"/>
  <c r="AH49"/>
  <c r="AL49"/>
  <c r="AP49"/>
  <c r="D50"/>
  <c r="H50"/>
  <c r="L50"/>
  <c r="P50"/>
  <c r="X50"/>
  <c r="AB50"/>
  <c r="AF50"/>
  <c r="AJ50"/>
  <c r="F51"/>
  <c r="P51"/>
  <c r="S51"/>
  <c r="V51"/>
  <c r="AF51"/>
  <c r="AL51"/>
  <c r="AV51"/>
  <c r="AS51"/>
  <c r="H52"/>
  <c r="R52"/>
  <c r="X52"/>
  <c r="AH52"/>
  <c r="AP55"/>
  <c r="L56"/>
  <c r="AB56"/>
  <c r="AR56"/>
  <c r="N57"/>
  <c r="AD57"/>
  <c r="AN50"/>
  <c r="D51"/>
  <c r="J51"/>
  <c r="Z51"/>
  <c r="AJ51"/>
  <c r="AP51"/>
  <c r="F52"/>
  <c r="L52"/>
  <c r="V52"/>
  <c r="S52"/>
  <c r="AB52"/>
  <c r="AN52"/>
  <c r="AS52"/>
  <c r="AV52"/>
  <c r="J53"/>
  <c r="R53"/>
  <c r="Z53"/>
  <c r="AH53"/>
  <c r="AP53"/>
  <c r="D54"/>
  <c r="L54"/>
  <c r="AB54"/>
  <c r="AJ54"/>
  <c r="AR54"/>
  <c r="F55"/>
  <c r="N55"/>
  <c r="S55"/>
  <c r="T55" s="1"/>
  <c r="V55"/>
  <c r="AD55"/>
  <c r="AL55"/>
  <c r="H56"/>
  <c r="X56"/>
  <c r="AN56"/>
  <c r="J57"/>
  <c r="Z57"/>
  <c r="AP57"/>
  <c r="AH18"/>
  <c r="AH19"/>
  <c r="AL18"/>
  <c r="AL19"/>
  <c r="AP18"/>
  <c r="AP19"/>
  <c r="AS19"/>
  <c r="F20"/>
  <c r="J20"/>
  <c r="N20"/>
  <c r="R20"/>
  <c r="V20"/>
  <c r="S20"/>
  <c r="Z20"/>
  <c r="AD20"/>
  <c r="AH20"/>
  <c r="AL20"/>
  <c r="AP20"/>
  <c r="D21"/>
  <c r="H21"/>
  <c r="L21"/>
  <c r="P21"/>
  <c r="X21"/>
  <c r="AB21"/>
  <c r="AF21"/>
  <c r="AJ21"/>
  <c r="AN21"/>
  <c r="AR21"/>
  <c r="AV21"/>
  <c r="AS21"/>
  <c r="AT21" s="1"/>
  <c r="F22"/>
  <c r="J22"/>
  <c r="N22"/>
  <c r="R22"/>
  <c r="V22"/>
  <c r="S22"/>
  <c r="T22" s="1"/>
  <c r="Z22"/>
  <c r="AD22"/>
  <c r="AH22"/>
  <c r="AL22"/>
  <c r="AP22"/>
  <c r="D23"/>
  <c r="H23"/>
  <c r="L23"/>
  <c r="P23"/>
  <c r="X23"/>
  <c r="AB23"/>
  <c r="AF23"/>
  <c r="AJ23"/>
  <c r="AN23"/>
  <c r="AR23"/>
  <c r="AV23"/>
  <c r="AS23"/>
  <c r="F24"/>
  <c r="J24"/>
  <c r="N24"/>
  <c r="R24"/>
  <c r="V24"/>
  <c r="S24"/>
  <c r="T24" s="1"/>
  <c r="Z24"/>
  <c r="AD24"/>
  <c r="AH24"/>
  <c r="AL24"/>
  <c r="AP24"/>
  <c r="D25"/>
  <c r="H25"/>
  <c r="L25"/>
  <c r="P25"/>
  <c r="X25"/>
  <c r="AB25"/>
  <c r="AF25"/>
  <c r="AJ25"/>
  <c r="AN25"/>
  <c r="AR25"/>
  <c r="AV25"/>
  <c r="AS25"/>
  <c r="AT25" s="1"/>
  <c r="F26"/>
  <c r="J26"/>
  <c r="N26"/>
  <c r="R26"/>
  <c r="V26"/>
  <c r="S26"/>
  <c r="T26" s="1"/>
  <c r="Z26"/>
  <c r="AD26"/>
  <c r="AH26"/>
  <c r="AL26"/>
  <c r="AP26"/>
  <c r="D27"/>
  <c r="H27"/>
  <c r="L27"/>
  <c r="P27"/>
  <c r="X27"/>
  <c r="AB27"/>
  <c r="AF27"/>
  <c r="AJ27"/>
  <c r="AN27"/>
  <c r="AR27"/>
  <c r="AV27"/>
  <c r="AS27"/>
  <c r="AT27" s="1"/>
  <c r="F28"/>
  <c r="J28"/>
  <c r="N28"/>
  <c r="R28"/>
  <c r="V28"/>
  <c r="S28"/>
  <c r="Z28"/>
  <c r="AD28"/>
  <c r="AH28"/>
  <c r="AL28"/>
  <c r="AP28"/>
  <c r="D29"/>
  <c r="H29"/>
  <c r="L29"/>
  <c r="P29"/>
  <c r="X29"/>
  <c r="AB29"/>
  <c r="AF29"/>
  <c r="AJ29"/>
  <c r="AN29"/>
  <c r="AR29"/>
  <c r="AV29"/>
  <c r="AS29"/>
  <c r="AT29" s="1"/>
  <c r="F30"/>
  <c r="J30"/>
  <c r="N30"/>
  <c r="R30"/>
  <c r="V30"/>
  <c r="S30"/>
  <c r="T30" s="1"/>
  <c r="Z30"/>
  <c r="AD30"/>
  <c r="AH30"/>
  <c r="AL30"/>
  <c r="AP30"/>
  <c r="D31"/>
  <c r="H31"/>
  <c r="L31"/>
  <c r="P31"/>
  <c r="X31"/>
  <c r="AB31"/>
  <c r="AF31"/>
  <c r="AJ31"/>
  <c r="AN31"/>
  <c r="AR31"/>
  <c r="AV31"/>
  <c r="AS31"/>
  <c r="F32"/>
  <c r="J32"/>
  <c r="N32"/>
  <c r="R32"/>
  <c r="V32"/>
  <c r="S32"/>
  <c r="T32" s="1"/>
  <c r="Z32"/>
  <c r="AD32"/>
  <c r="AH32"/>
  <c r="AL32"/>
  <c r="AP32"/>
  <c r="D33"/>
  <c r="H33"/>
  <c r="L33"/>
  <c r="P33"/>
  <c r="X33"/>
  <c r="AB33"/>
  <c r="AF33"/>
  <c r="AJ33"/>
  <c r="AN33"/>
  <c r="AR33"/>
  <c r="AV33"/>
  <c r="AS33"/>
  <c r="AT33" s="1"/>
  <c r="F34"/>
  <c r="J34"/>
  <c r="N34"/>
  <c r="R34"/>
  <c r="V34"/>
  <c r="S34"/>
  <c r="T34" s="1"/>
  <c r="Z34"/>
  <c r="AD34"/>
  <c r="AH34"/>
  <c r="AL34"/>
  <c r="AP34"/>
  <c r="D35"/>
  <c r="H35"/>
  <c r="L35"/>
  <c r="P35"/>
  <c r="X35"/>
  <c r="AB35"/>
  <c r="AF35"/>
  <c r="AJ35"/>
  <c r="AN35"/>
  <c r="AR35"/>
  <c r="AV35"/>
  <c r="AS35"/>
  <c r="AT35" s="1"/>
  <c r="F36"/>
  <c r="J36"/>
  <c r="N36"/>
  <c r="R36"/>
  <c r="V36"/>
  <c r="S36"/>
  <c r="Z36"/>
  <c r="AD36"/>
  <c r="AH36"/>
  <c r="AL36"/>
  <c r="AP36"/>
  <c r="D37"/>
  <c r="H37"/>
  <c r="L37"/>
  <c r="P37"/>
  <c r="X37"/>
  <c r="AB37"/>
  <c r="AF37"/>
  <c r="AJ37"/>
  <c r="AN37"/>
  <c r="AR37"/>
  <c r="AV37"/>
  <c r="AS37"/>
  <c r="F38"/>
  <c r="J38"/>
  <c r="N38"/>
  <c r="R38"/>
  <c r="V38"/>
  <c r="S38"/>
  <c r="T38" s="1"/>
  <c r="Z38"/>
  <c r="AD38"/>
  <c r="AH38"/>
  <c r="AL38"/>
  <c r="AP38"/>
  <c r="D39"/>
  <c r="H39"/>
  <c r="L39"/>
  <c r="P39"/>
  <c r="X39"/>
  <c r="AB39"/>
  <c r="AF39"/>
  <c r="AJ39"/>
  <c r="AN39"/>
  <c r="AR39"/>
  <c r="AV39"/>
  <c r="AS39"/>
  <c r="AT39" s="1"/>
  <c r="F40"/>
  <c r="J40"/>
  <c r="N40"/>
  <c r="R40"/>
  <c r="V40"/>
  <c r="S40"/>
  <c r="T40" s="1"/>
  <c r="Z40"/>
  <c r="AD40"/>
  <c r="AH40"/>
  <c r="AL40"/>
  <c r="AP40"/>
  <c r="D41"/>
  <c r="H41"/>
  <c r="L41"/>
  <c r="P41"/>
  <c r="X41"/>
  <c r="AB41"/>
  <c r="AF41"/>
  <c r="AJ41"/>
  <c r="AN41"/>
  <c r="AR41"/>
  <c r="AV41"/>
  <c r="AS41"/>
  <c r="AT41" s="1"/>
  <c r="F42"/>
  <c r="J42"/>
  <c r="N42"/>
  <c r="R42"/>
  <c r="V42"/>
  <c r="S42"/>
  <c r="Z42"/>
  <c r="AD42"/>
  <c r="AH42"/>
  <c r="AL42"/>
  <c r="AP42"/>
  <c r="D43"/>
  <c r="H43"/>
  <c r="L43"/>
  <c r="P43"/>
  <c r="X43"/>
  <c r="AB43"/>
  <c r="AF43"/>
  <c r="AJ43"/>
  <c r="AN43"/>
  <c r="AR43"/>
  <c r="AV43"/>
  <c r="AS43"/>
  <c r="AT43" s="1"/>
  <c r="F44"/>
  <c r="J44"/>
  <c r="N44"/>
  <c r="R44"/>
  <c r="V44"/>
  <c r="S44"/>
  <c r="Z44"/>
  <c r="AD44"/>
  <c r="AH44"/>
  <c r="AL44"/>
  <c r="AP44"/>
  <c r="D45"/>
  <c r="H45"/>
  <c r="L45"/>
  <c r="P45"/>
  <c r="X45"/>
  <c r="AB45"/>
  <c r="AF45"/>
  <c r="AJ45"/>
  <c r="AN45"/>
  <c r="AR45"/>
  <c r="AV45"/>
  <c r="AS45"/>
  <c r="F46"/>
  <c r="J46"/>
  <c r="N46"/>
  <c r="R46"/>
  <c r="V46"/>
  <c r="S46"/>
  <c r="T46" s="1"/>
  <c r="Z46"/>
  <c r="AD46"/>
  <c r="AH46"/>
  <c r="AL46"/>
  <c r="AP46"/>
  <c r="D47"/>
  <c r="H47"/>
  <c r="L47"/>
  <c r="P47"/>
  <c r="X47"/>
  <c r="AB47"/>
  <c r="AF47"/>
  <c r="AJ47"/>
  <c r="AN47"/>
  <c r="AR47"/>
  <c r="AV47"/>
  <c r="AS47"/>
  <c r="F48"/>
  <c r="J48"/>
  <c r="N48"/>
  <c r="R48"/>
  <c r="V48"/>
  <c r="S48"/>
  <c r="T48" s="1"/>
  <c r="Z48"/>
  <c r="AD48"/>
  <c r="AH48"/>
  <c r="AL48"/>
  <c r="AP48"/>
  <c r="D49"/>
  <c r="H49"/>
  <c r="L49"/>
  <c r="P49"/>
  <c r="X49"/>
  <c r="AB49"/>
  <c r="AF49"/>
  <c r="AJ49"/>
  <c r="AN49"/>
  <c r="AR49"/>
  <c r="AV49"/>
  <c r="AS49"/>
  <c r="AT49" s="1"/>
  <c r="F50"/>
  <c r="J50"/>
  <c r="N50"/>
  <c r="R50"/>
  <c r="V50"/>
  <c r="S50"/>
  <c r="Z50"/>
  <c r="AD50"/>
  <c r="AH50"/>
  <c r="AL50"/>
  <c r="AR50"/>
  <c r="H51"/>
  <c r="N51"/>
  <c r="X51"/>
  <c r="AD51"/>
  <c r="AN51"/>
  <c r="J52"/>
  <c r="P52"/>
  <c r="Z52"/>
  <c r="AF52"/>
  <c r="D56"/>
  <c r="AJ56"/>
  <c r="F57"/>
  <c r="V57"/>
  <c r="S57"/>
  <c r="AL57"/>
  <c r="H58"/>
  <c r="D11" i="35"/>
  <c r="F12"/>
  <c r="H13"/>
  <c r="AL52" i="27"/>
  <c r="AP52"/>
  <c r="D53"/>
  <c r="H53"/>
  <c r="L53"/>
  <c r="P53"/>
  <c r="X53"/>
  <c r="AB53"/>
  <c r="AF53"/>
  <c r="AJ53"/>
  <c r="AN53"/>
  <c r="AR53"/>
  <c r="AV53"/>
  <c r="AS53"/>
  <c r="F54"/>
  <c r="J54"/>
  <c r="N54"/>
  <c r="R54"/>
  <c r="V54"/>
  <c r="S54"/>
  <c r="Z54"/>
  <c r="AD54"/>
  <c r="AH54"/>
  <c r="AL54"/>
  <c r="AP54"/>
  <c r="D55"/>
  <c r="H55"/>
  <c r="L55"/>
  <c r="P55"/>
  <c r="X55"/>
  <c r="AB55"/>
  <c r="AF55"/>
  <c r="AJ55"/>
  <c r="AN55"/>
  <c r="AR55"/>
  <c r="AV55"/>
  <c r="AS55"/>
  <c r="F56"/>
  <c r="J56"/>
  <c r="N56"/>
  <c r="R56"/>
  <c r="V56"/>
  <c r="S56"/>
  <c r="Z56"/>
  <c r="AD56"/>
  <c r="AH56"/>
  <c r="AL56"/>
  <c r="AP56"/>
  <c r="D57"/>
  <c r="H57"/>
  <c r="L57"/>
  <c r="P57"/>
  <c r="X57"/>
  <c r="AB57"/>
  <c r="AF57"/>
  <c r="AJ57"/>
  <c r="AN57"/>
  <c r="AR57"/>
  <c r="AV57"/>
  <c r="AS57"/>
  <c r="F58"/>
  <c r="J58"/>
  <c r="N58"/>
  <c r="R58"/>
  <c r="S58"/>
  <c r="T58" s="1"/>
  <c r="V58"/>
  <c r="Z58"/>
  <c r="AD58"/>
  <c r="AH58"/>
  <c r="AL58"/>
  <c r="AP58"/>
  <c r="D59"/>
  <c r="H59"/>
  <c r="L59"/>
  <c r="P59"/>
  <c r="X59"/>
  <c r="AB59"/>
  <c r="AF59"/>
  <c r="AJ59"/>
  <c r="AN59"/>
  <c r="AR59"/>
  <c r="AS59"/>
  <c r="AT59" s="1"/>
  <c r="AV59"/>
  <c r="F60"/>
  <c r="J60"/>
  <c r="N60"/>
  <c r="R60"/>
  <c r="S60"/>
  <c r="T60" s="1"/>
  <c r="V60"/>
  <c r="Z60"/>
  <c r="AD60"/>
  <c r="AH60"/>
  <c r="AL60"/>
  <c r="AP60"/>
  <c r="D61"/>
  <c r="H61"/>
  <c r="L61"/>
  <c r="P61"/>
  <c r="X61"/>
  <c r="AB61"/>
  <c r="AF61"/>
  <c r="AJ61"/>
  <c r="AN61"/>
  <c r="AR61"/>
  <c r="AS61"/>
  <c r="AT61" s="1"/>
  <c r="AV61"/>
  <c r="F62"/>
  <c r="J62"/>
  <c r="N62"/>
  <c r="R62"/>
  <c r="S62"/>
  <c r="T62" s="1"/>
  <c r="V62"/>
  <c r="Z62"/>
  <c r="AD62"/>
  <c r="AH62"/>
  <c r="AL62"/>
  <c r="AP62"/>
  <c r="D63"/>
  <c r="H63"/>
  <c r="L63"/>
  <c r="P63"/>
  <c r="X63"/>
  <c r="AB63"/>
  <c r="AF63"/>
  <c r="AJ63"/>
  <c r="AN63"/>
  <c r="AR63"/>
  <c r="AS63"/>
  <c r="AT63" s="1"/>
  <c r="AV63"/>
  <c r="F64"/>
  <c r="J64"/>
  <c r="N64"/>
  <c r="R64"/>
  <c r="S64"/>
  <c r="T64" s="1"/>
  <c r="V64"/>
  <c r="Z64"/>
  <c r="AD64"/>
  <c r="AH64"/>
  <c r="AL64"/>
  <c r="AP64"/>
  <c r="D65"/>
  <c r="H65"/>
  <c r="L65"/>
  <c r="P65"/>
  <c r="X65"/>
  <c r="AB65"/>
  <c r="AF65"/>
  <c r="AJ65"/>
  <c r="AN65"/>
  <c r="AR65"/>
  <c r="AS65"/>
  <c r="AT65" s="1"/>
  <c r="AV65"/>
  <c r="F66"/>
  <c r="J66"/>
  <c r="N66"/>
  <c r="R66"/>
  <c r="S66"/>
  <c r="T66" s="1"/>
  <c r="V66"/>
  <c r="Z66"/>
  <c r="AD66"/>
  <c r="AH66"/>
  <c r="AL66"/>
  <c r="AP66"/>
  <c r="D67"/>
  <c r="H67"/>
  <c r="L67"/>
  <c r="P67"/>
  <c r="X67"/>
  <c r="AB67"/>
  <c r="AF67"/>
  <c r="AJ67"/>
  <c r="AN67"/>
  <c r="AR67"/>
  <c r="AS67"/>
  <c r="AT67" s="1"/>
  <c r="AV67"/>
  <c r="F68"/>
  <c r="J68"/>
  <c r="N68"/>
  <c r="R68"/>
  <c r="S68"/>
  <c r="T68" s="1"/>
  <c r="V68"/>
  <c r="Z68"/>
  <c r="AD68"/>
  <c r="AH68"/>
  <c r="AL68"/>
  <c r="AP68"/>
  <c r="D69"/>
  <c r="H69"/>
  <c r="L69"/>
  <c r="P69"/>
  <c r="X69"/>
  <c r="AB69"/>
  <c r="AF69"/>
  <c r="AJ69"/>
  <c r="AN69"/>
  <c r="AR69"/>
  <c r="AS69"/>
  <c r="AT69" s="1"/>
  <c r="AV69"/>
  <c r="F70"/>
  <c r="J70"/>
  <c r="N70"/>
  <c r="R70"/>
  <c r="S70"/>
  <c r="T70" s="1"/>
  <c r="V70"/>
  <c r="Z70"/>
  <c r="AD70"/>
  <c r="AH70"/>
  <c r="AL70"/>
  <c r="AR70"/>
  <c r="F71"/>
  <c r="N71"/>
  <c r="S71"/>
  <c r="T71" s="1"/>
  <c r="V71"/>
  <c r="AD71"/>
  <c r="AL71"/>
  <c r="C12" i="35"/>
  <c r="E13"/>
  <c r="H11"/>
  <c r="D13"/>
  <c r="G14"/>
  <c r="L58" i="27"/>
  <c r="P58"/>
  <c r="X58"/>
  <c r="AB58"/>
  <c r="AF58"/>
  <c r="AJ58"/>
  <c r="AN58"/>
  <c r="AR58"/>
  <c r="AV58"/>
  <c r="AS58"/>
  <c r="AT58" s="1"/>
  <c r="F59"/>
  <c r="J59"/>
  <c r="N59"/>
  <c r="R59"/>
  <c r="V59"/>
  <c r="S59"/>
  <c r="T59" s="1"/>
  <c r="Z59"/>
  <c r="AD59"/>
  <c r="AH59"/>
  <c r="AL59"/>
  <c r="AP59"/>
  <c r="D60"/>
  <c r="H60"/>
  <c r="L60"/>
  <c r="P60"/>
  <c r="X60"/>
  <c r="AB60"/>
  <c r="AF60"/>
  <c r="AJ60"/>
  <c r="AN60"/>
  <c r="AR60"/>
  <c r="AV60"/>
  <c r="AS60"/>
  <c r="AT60" s="1"/>
  <c r="F61"/>
  <c r="J61"/>
  <c r="N61"/>
  <c r="R61"/>
  <c r="V61"/>
  <c r="S61"/>
  <c r="T61" s="1"/>
  <c r="Z61"/>
  <c r="AD61"/>
  <c r="AH61"/>
  <c r="AL61"/>
  <c r="AP61"/>
  <c r="D62"/>
  <c r="H62"/>
  <c r="L62"/>
  <c r="P62"/>
  <c r="X62"/>
  <c r="AB62"/>
  <c r="AF62"/>
  <c r="AJ62"/>
  <c r="AN62"/>
  <c r="AR62"/>
  <c r="AV62"/>
  <c r="AS62"/>
  <c r="AT62" s="1"/>
  <c r="F63"/>
  <c r="J63"/>
  <c r="N63"/>
  <c r="R63"/>
  <c r="V63"/>
  <c r="S63"/>
  <c r="T63" s="1"/>
  <c r="Z63"/>
  <c r="AD63"/>
  <c r="AH63"/>
  <c r="AL63"/>
  <c r="AP63"/>
  <c r="D64"/>
  <c r="H64"/>
  <c r="L64"/>
  <c r="P64"/>
  <c r="X64"/>
  <c r="AB64"/>
  <c r="AF64"/>
  <c r="AJ64"/>
  <c r="AN64"/>
  <c r="AR64"/>
  <c r="AV64"/>
  <c r="AS64"/>
  <c r="AT64" s="1"/>
  <c r="F65"/>
  <c r="J65"/>
  <c r="N65"/>
  <c r="R65"/>
  <c r="V65"/>
  <c r="S65"/>
  <c r="T65" s="1"/>
  <c r="Z65"/>
  <c r="AD65"/>
  <c r="AH65"/>
  <c r="AL65"/>
  <c r="AP65"/>
  <c r="D66"/>
  <c r="H66"/>
  <c r="L66"/>
  <c r="P66"/>
  <c r="X66"/>
  <c r="AB66"/>
  <c r="AF66"/>
  <c r="AJ66"/>
  <c r="AN66"/>
  <c r="AR66"/>
  <c r="AV66"/>
  <c r="AS66"/>
  <c r="AT66" s="1"/>
  <c r="F67"/>
  <c r="J67"/>
  <c r="N67"/>
  <c r="R67"/>
  <c r="V67"/>
  <c r="S67"/>
  <c r="T67" s="1"/>
  <c r="Z67"/>
  <c r="AD67"/>
  <c r="AH67"/>
  <c r="AL67"/>
  <c r="AP67"/>
  <c r="D68"/>
  <c r="H68"/>
  <c r="L68"/>
  <c r="P68"/>
  <c r="X68"/>
  <c r="AB68"/>
  <c r="AF68"/>
  <c r="AJ68"/>
  <c r="AN68"/>
  <c r="AR68"/>
  <c r="AV68"/>
  <c r="AS68"/>
  <c r="AT68" s="1"/>
  <c r="F69"/>
  <c r="J69"/>
  <c r="N69"/>
  <c r="R69"/>
  <c r="V69"/>
  <c r="S69"/>
  <c r="T69" s="1"/>
  <c r="Z69"/>
  <c r="AD69"/>
  <c r="AH69"/>
  <c r="AL69"/>
  <c r="AP69"/>
  <c r="D70"/>
  <c r="H70"/>
  <c r="L70"/>
  <c r="P70"/>
  <c r="X70"/>
  <c r="AB70"/>
  <c r="AF70"/>
  <c r="AJ70"/>
  <c r="AN70"/>
  <c r="AS70"/>
  <c r="AT70" s="1"/>
  <c r="AV70"/>
  <c r="J71"/>
  <c r="R71"/>
  <c r="Z71"/>
  <c r="AH71"/>
  <c r="AP71"/>
  <c r="E11" i="35"/>
  <c r="G12"/>
  <c r="C14"/>
  <c r="F6" i="28"/>
  <c r="E6" i="29"/>
  <c r="G6" i="28"/>
  <c r="E7" i="29"/>
  <c r="F7" i="28"/>
  <c r="G7"/>
  <c r="E8" i="29"/>
  <c r="F8" i="28"/>
  <c r="G8"/>
  <c r="E9" i="29"/>
  <c r="F9" i="28"/>
  <c r="G9"/>
  <c r="F10"/>
  <c r="E10" i="29"/>
  <c r="G10" i="28"/>
  <c r="E11" i="29"/>
  <c r="F11" i="28"/>
  <c r="G11"/>
  <c r="E12" i="29"/>
  <c r="F12" i="28"/>
  <c r="G12"/>
  <c r="E13" i="29"/>
  <c r="F13" i="28"/>
  <c r="G13"/>
  <c r="E15" i="29"/>
  <c r="E14" i="28"/>
  <c r="F15"/>
  <c r="G15"/>
  <c r="E16" i="29"/>
  <c r="F16" i="28"/>
  <c r="G16"/>
  <c r="E17" i="29"/>
  <c r="F17" i="28"/>
  <c r="G17"/>
  <c r="F18"/>
  <c r="E18" i="29"/>
  <c r="G18" i="28"/>
  <c r="E19" i="29"/>
  <c r="F19" i="28"/>
  <c r="G19"/>
  <c r="E20" i="29"/>
  <c r="F20" i="28"/>
  <c r="G20"/>
  <c r="E21" i="29"/>
  <c r="F21" i="28"/>
  <c r="G21"/>
  <c r="F22"/>
  <c r="E22" i="29"/>
  <c r="G22" i="28"/>
  <c r="E23" i="29"/>
  <c r="F23" i="28"/>
  <c r="G23"/>
  <c r="E24" i="29"/>
  <c r="F24" i="28"/>
  <c r="G24"/>
  <c r="E25" i="29"/>
  <c r="F25" i="28"/>
  <c r="G25"/>
  <c r="F26"/>
  <c r="E26" i="29"/>
  <c r="G26" i="28"/>
  <c r="E27"/>
  <c r="E28" i="29"/>
  <c r="F28" i="28"/>
  <c r="G28"/>
  <c r="C11" i="35"/>
  <c r="G11"/>
  <c r="E12"/>
  <c r="C13"/>
  <c r="G13"/>
  <c r="E14"/>
  <c r="C15"/>
  <c r="G15"/>
  <c r="E16"/>
  <c r="C17"/>
  <c r="G17"/>
  <c r="E18"/>
  <c r="E20"/>
  <c r="E19" i="32"/>
  <c r="E19" i="35" s="1"/>
  <c r="C21"/>
  <c r="G21"/>
  <c r="E22"/>
  <c r="C23"/>
  <c r="G23"/>
  <c r="E24"/>
  <c r="C25"/>
  <c r="G25"/>
  <c r="E26"/>
  <c r="C27"/>
  <c r="G27"/>
  <c r="E28"/>
  <c r="C29"/>
  <c r="G29"/>
  <c r="E30"/>
  <c r="C31"/>
  <c r="G31"/>
  <c r="C33"/>
  <c r="C32" i="32"/>
  <c r="C32" i="35" s="1"/>
  <c r="G33"/>
  <c r="G32" i="32"/>
  <c r="G32" i="35" s="1"/>
  <c r="AP70" i="27"/>
  <c r="D71"/>
  <c r="H71"/>
  <c r="L71"/>
  <c r="P71"/>
  <c r="X71"/>
  <c r="AB71"/>
  <c r="AF71"/>
  <c r="AJ71"/>
  <c r="AN71"/>
  <c r="AR71"/>
  <c r="AV71"/>
  <c r="AS71"/>
  <c r="AT71" s="1"/>
  <c r="D6" i="29"/>
  <c r="D7"/>
  <c r="D8"/>
  <c r="D9"/>
  <c r="D10"/>
  <c r="D11"/>
  <c r="D12"/>
  <c r="D13"/>
  <c r="D15"/>
  <c r="D14" i="28"/>
  <c r="D14" i="29" s="1"/>
  <c r="D16"/>
  <c r="D17"/>
  <c r="D18"/>
  <c r="D19"/>
  <c r="D20"/>
  <c r="D21"/>
  <c r="D22"/>
  <c r="D23"/>
  <c r="D24"/>
  <c r="D25"/>
  <c r="D26"/>
  <c r="D27" i="28"/>
  <c r="D27" i="29" s="1"/>
  <c r="D28"/>
  <c r="F11" i="35"/>
  <c r="D12"/>
  <c r="H12"/>
  <c r="F13"/>
  <c r="D14"/>
  <c r="H14"/>
  <c r="F15"/>
  <c r="D16"/>
  <c r="H16"/>
  <c r="F17"/>
  <c r="D18"/>
  <c r="H18"/>
  <c r="D19" i="32"/>
  <c r="D19" i="35" s="1"/>
  <c r="D20"/>
  <c r="H19" i="32"/>
  <c r="H19" i="35" s="1"/>
  <c r="H20"/>
  <c r="F21"/>
  <c r="D22"/>
  <c r="H22"/>
  <c r="F23"/>
  <c r="D24"/>
  <c r="H24"/>
  <c r="F25"/>
  <c r="D26"/>
  <c r="H26"/>
  <c r="F27"/>
  <c r="D28"/>
  <c r="H28"/>
  <c r="F29"/>
  <c r="D30"/>
  <c r="H30"/>
  <c r="F31"/>
  <c r="F32" i="32"/>
  <c r="F32" i="35" s="1"/>
  <c r="F33"/>
  <c r="E15"/>
  <c r="C16"/>
  <c r="G16"/>
  <c r="E17"/>
  <c r="C18"/>
  <c r="G18"/>
  <c r="C20"/>
  <c r="C19" i="32"/>
  <c r="C19" i="35" s="1"/>
  <c r="G20"/>
  <c r="G19" i="32"/>
  <c r="G19" i="35" s="1"/>
  <c r="E21"/>
  <c r="C22"/>
  <c r="G22"/>
  <c r="E23"/>
  <c r="C24"/>
  <c r="G24"/>
  <c r="E25"/>
  <c r="C26"/>
  <c r="G26"/>
  <c r="E27"/>
  <c r="C28"/>
  <c r="G28"/>
  <c r="E29"/>
  <c r="C30"/>
  <c r="G30"/>
  <c r="E31"/>
  <c r="E33"/>
  <c r="E32" i="32"/>
  <c r="E32" i="35" s="1"/>
  <c r="F14"/>
  <c r="D15"/>
  <c r="H15"/>
  <c r="F16"/>
  <c r="D17"/>
  <c r="H17"/>
  <c r="F18"/>
  <c r="F20"/>
  <c r="F19" i="32"/>
  <c r="F19" i="35" s="1"/>
  <c r="D21"/>
  <c r="H21"/>
  <c r="F22"/>
  <c r="D23"/>
  <c r="H23"/>
  <c r="F24"/>
  <c r="D25"/>
  <c r="H25"/>
  <c r="F26"/>
  <c r="D27"/>
  <c r="H27"/>
  <c r="F28"/>
  <c r="D29"/>
  <c r="H29"/>
  <c r="F30"/>
  <c r="D31"/>
  <c r="H31"/>
  <c r="D33"/>
  <c r="D32" i="32"/>
  <c r="D32" i="35" s="1"/>
  <c r="H33"/>
  <c r="H32" i="32"/>
  <c r="H32" i="35" s="1"/>
  <c r="D8" i="37"/>
  <c r="E8"/>
  <c r="F8"/>
  <c r="D9"/>
  <c r="E9"/>
  <c r="F9"/>
  <c r="D10"/>
  <c r="E10"/>
  <c r="F10"/>
  <c r="D11"/>
  <c r="E11"/>
  <c r="F11"/>
  <c r="D12"/>
  <c r="E12"/>
  <c r="F12"/>
  <c r="D13"/>
  <c r="E13"/>
  <c r="F13"/>
  <c r="D14"/>
  <c r="E14"/>
  <c r="F14"/>
  <c r="D15"/>
  <c r="E15"/>
  <c r="F15"/>
  <c r="D16"/>
  <c r="E16"/>
  <c r="F16"/>
  <c r="D17"/>
  <c r="E17"/>
  <c r="F17"/>
  <c r="D18"/>
  <c r="E18"/>
  <c r="F18"/>
  <c r="E19"/>
  <c r="F19"/>
  <c r="E20"/>
  <c r="E33"/>
  <c r="F33"/>
  <c r="D49"/>
  <c r="E49"/>
  <c r="D53"/>
  <c r="E53"/>
  <c r="D57"/>
  <c r="E57"/>
  <c r="D60"/>
  <c r="D62"/>
  <c r="D64"/>
  <c r="D66"/>
  <c r="D68"/>
  <c r="D70"/>
  <c r="D7" i="41"/>
  <c r="F8"/>
  <c r="H9"/>
  <c r="D11"/>
  <c r="F12"/>
  <c r="H13"/>
  <c r="D15"/>
  <c r="F16"/>
  <c r="H17"/>
  <c r="H19"/>
  <c r="D21"/>
  <c r="F22"/>
  <c r="H23"/>
  <c r="D25"/>
  <c r="F26"/>
  <c r="H27"/>
  <c r="D29"/>
  <c r="F30"/>
  <c r="H31"/>
  <c r="D33"/>
  <c r="F34"/>
  <c r="H35"/>
  <c r="D37"/>
  <c r="F38"/>
  <c r="H39"/>
  <c r="D41"/>
  <c r="F42"/>
  <c r="H43"/>
  <c r="D45"/>
  <c r="F46"/>
  <c r="H47"/>
  <c r="D49"/>
  <c r="F50"/>
  <c r="H51"/>
  <c r="D53"/>
  <c r="F54"/>
  <c r="H55"/>
  <c r="D57"/>
  <c r="E34" i="37"/>
  <c r="F34"/>
  <c r="D34"/>
  <c r="E35"/>
  <c r="F35"/>
  <c r="D35"/>
  <c r="E36"/>
  <c r="F36"/>
  <c r="D36"/>
  <c r="E37"/>
  <c r="F37"/>
  <c r="D37"/>
  <c r="E38"/>
  <c r="F38"/>
  <c r="D38"/>
  <c r="E39"/>
  <c r="F39"/>
  <c r="D39"/>
  <c r="E40"/>
  <c r="F40"/>
  <c r="D40"/>
  <c r="E41"/>
  <c r="F41"/>
  <c r="D41"/>
  <c r="E42"/>
  <c r="F42"/>
  <c r="D42"/>
  <c r="E43"/>
  <c r="F43"/>
  <c r="D43"/>
  <c r="E44"/>
  <c r="F44"/>
  <c r="D44"/>
  <c r="F45"/>
  <c r="E45"/>
  <c r="E50"/>
  <c r="D50"/>
  <c r="E54"/>
  <c r="D54"/>
  <c r="E58"/>
  <c r="G6" i="41"/>
  <c r="I7"/>
  <c r="E9"/>
  <c r="G10"/>
  <c r="I11"/>
  <c r="E13"/>
  <c r="G14"/>
  <c r="I15"/>
  <c r="I18"/>
  <c r="E17"/>
  <c r="E18"/>
  <c r="G19"/>
  <c r="I20"/>
  <c r="E22"/>
  <c r="G23"/>
  <c r="I24"/>
  <c r="E26"/>
  <c r="G27"/>
  <c r="I28"/>
  <c r="E30"/>
  <c r="G31"/>
  <c r="I32"/>
  <c r="E34"/>
  <c r="G35"/>
  <c r="I36"/>
  <c r="E38"/>
  <c r="G39"/>
  <c r="I40"/>
  <c r="E42"/>
  <c r="G43"/>
  <c r="I44"/>
  <c r="E46"/>
  <c r="G47"/>
  <c r="I48"/>
  <c r="E50"/>
  <c r="G51"/>
  <c r="I52"/>
  <c r="E54"/>
  <c r="G55"/>
  <c r="I56"/>
  <c r="E46" i="37"/>
  <c r="F46"/>
  <c r="D51"/>
  <c r="E51"/>
  <c r="D55"/>
  <c r="E55"/>
  <c r="D61"/>
  <c r="D63"/>
  <c r="D65"/>
  <c r="D67"/>
  <c r="D69"/>
  <c r="F6" i="41"/>
  <c r="H7"/>
  <c r="D9"/>
  <c r="F10"/>
  <c r="H11"/>
  <c r="D13"/>
  <c r="F14"/>
  <c r="H18"/>
  <c r="H15"/>
  <c r="D18"/>
  <c r="D17"/>
  <c r="D19"/>
  <c r="F20"/>
  <c r="H21"/>
  <c r="D23"/>
  <c r="F24"/>
  <c r="H25"/>
  <c r="D27"/>
  <c r="F28"/>
  <c r="H29"/>
  <c r="D31"/>
  <c r="F32"/>
  <c r="H33"/>
  <c r="D35"/>
  <c r="F36"/>
  <c r="H37"/>
  <c r="D39"/>
  <c r="F40"/>
  <c r="H41"/>
  <c r="D43"/>
  <c r="F44"/>
  <c r="H45"/>
  <c r="D47"/>
  <c r="F48"/>
  <c r="H49"/>
  <c r="D51"/>
  <c r="F52"/>
  <c r="H53"/>
  <c r="D55"/>
  <c r="F56"/>
  <c r="H57"/>
  <c r="D21" i="37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D29"/>
  <c r="E29"/>
  <c r="F29"/>
  <c r="D30"/>
  <c r="E30"/>
  <c r="F30"/>
  <c r="D31"/>
  <c r="E31"/>
  <c r="F31"/>
  <c r="E32"/>
  <c r="F32"/>
  <c r="D47"/>
  <c r="E47"/>
  <c r="F47"/>
  <c r="D48"/>
  <c r="E48"/>
  <c r="D52"/>
  <c r="E52"/>
  <c r="D56"/>
  <c r="E56"/>
  <c r="E59"/>
  <c r="F59"/>
  <c r="D6" i="41"/>
  <c r="E7"/>
  <c r="G8"/>
  <c r="I9"/>
  <c r="E11"/>
  <c r="G12"/>
  <c r="I13"/>
  <c r="E15"/>
  <c r="G16"/>
  <c r="I17"/>
  <c r="E20"/>
  <c r="G21"/>
  <c r="I22"/>
  <c r="E24"/>
  <c r="G25"/>
  <c r="I26"/>
  <c r="E28"/>
  <c r="G29"/>
  <c r="I30"/>
  <c r="E32"/>
  <c r="G33"/>
  <c r="I34"/>
  <c r="E36"/>
  <c r="G37"/>
  <c r="I38"/>
  <c r="E40"/>
  <c r="G41"/>
  <c r="I42"/>
  <c r="E44"/>
  <c r="G45"/>
  <c r="I46"/>
  <c r="E48"/>
  <c r="G49"/>
  <c r="I50"/>
  <c r="E52"/>
  <c r="G53"/>
  <c r="I54"/>
  <c r="E56"/>
  <c r="G57"/>
  <c r="E6"/>
  <c r="I6"/>
  <c r="G7"/>
  <c r="E8"/>
  <c r="I8"/>
  <c r="G9"/>
  <c r="E10"/>
  <c r="I10"/>
  <c r="G11"/>
  <c r="E12"/>
  <c r="I12"/>
  <c r="G13"/>
  <c r="E14"/>
  <c r="I14"/>
  <c r="G18"/>
  <c r="G15"/>
  <c r="E16"/>
  <c r="I16"/>
  <c r="G17"/>
  <c r="F19"/>
  <c r="D20"/>
  <c r="H20"/>
  <c r="F21"/>
  <c r="D22"/>
  <c r="H22"/>
  <c r="F23"/>
  <c r="D24"/>
  <c r="H24"/>
  <c r="F25"/>
  <c r="D26"/>
  <c r="H26"/>
  <c r="F27"/>
  <c r="D28"/>
  <c r="H28"/>
  <c r="F29"/>
  <c r="D30"/>
  <c r="H30"/>
  <c r="F31"/>
  <c r="D32"/>
  <c r="H32"/>
  <c r="F33"/>
  <c r="D34"/>
  <c r="H34"/>
  <c r="F35"/>
  <c r="D36"/>
  <c r="H36"/>
  <c r="F37"/>
  <c r="D38"/>
  <c r="H38"/>
  <c r="F39"/>
  <c r="D40"/>
  <c r="H40"/>
  <c r="F41"/>
  <c r="D42"/>
  <c r="H42"/>
  <c r="F43"/>
  <c r="D44"/>
  <c r="H44"/>
  <c r="F45"/>
  <c r="D46"/>
  <c r="H46"/>
  <c r="F47"/>
  <c r="D48"/>
  <c r="H48"/>
  <c r="F49"/>
  <c r="D50"/>
  <c r="H50"/>
  <c r="F51"/>
  <c r="D52"/>
  <c r="H52"/>
  <c r="F53"/>
  <c r="D54"/>
  <c r="H54"/>
  <c r="F55"/>
  <c r="D56"/>
  <c r="H56"/>
  <c r="F57"/>
  <c r="F5" i="43"/>
  <c r="J5"/>
  <c r="G6"/>
  <c r="D7"/>
  <c r="H7"/>
  <c r="E8"/>
  <c r="I8"/>
  <c r="F9"/>
  <c r="J9"/>
  <c r="G10"/>
  <c r="D11"/>
  <c r="H11"/>
  <c r="E12"/>
  <c r="I12"/>
  <c r="F13"/>
  <c r="J13"/>
  <c r="G17"/>
  <c r="G14"/>
  <c r="D15"/>
  <c r="H15"/>
  <c r="E16"/>
  <c r="I16"/>
  <c r="F18"/>
  <c r="J18"/>
  <c r="G19"/>
  <c r="D20"/>
  <c r="H20"/>
  <c r="E21"/>
  <c r="I21"/>
  <c r="F22"/>
  <c r="J22"/>
  <c r="G23"/>
  <c r="D24"/>
  <c r="H24"/>
  <c r="E25"/>
  <c r="I25"/>
  <c r="F26"/>
  <c r="J26"/>
  <c r="G27"/>
  <c r="D28"/>
  <c r="H28"/>
  <c r="E29"/>
  <c r="I29"/>
  <c r="F30"/>
  <c r="J30"/>
  <c r="G31"/>
  <c r="D32"/>
  <c r="H32"/>
  <c r="E33"/>
  <c r="I33"/>
  <c r="F34"/>
  <c r="J34"/>
  <c r="G35"/>
  <c r="D36"/>
  <c r="H36"/>
  <c r="E37"/>
  <c r="I37"/>
  <c r="F38"/>
  <c r="J38"/>
  <c r="G39"/>
  <c r="D40"/>
  <c r="H40"/>
  <c r="E41"/>
  <c r="I41"/>
  <c r="F42"/>
  <c r="J42"/>
  <c r="G43"/>
  <c r="D44"/>
  <c r="H44"/>
  <c r="E45"/>
  <c r="I45"/>
  <c r="F46"/>
  <c r="J46"/>
  <c r="G47"/>
  <c r="D48"/>
  <c r="H48"/>
  <c r="E49"/>
  <c r="I49"/>
  <c r="F50"/>
  <c r="J50"/>
  <c r="G51"/>
  <c r="D52"/>
  <c r="H52"/>
  <c r="E53"/>
  <c r="I53"/>
  <c r="F54"/>
  <c r="J54"/>
  <c r="G55"/>
  <c r="D56"/>
  <c r="H56"/>
  <c r="D14" i="44"/>
  <c r="F16"/>
  <c r="G16"/>
  <c r="F12" i="45"/>
  <c r="G12"/>
  <c r="D14"/>
  <c r="F16"/>
  <c r="G16"/>
  <c r="F18"/>
  <c r="E52" i="47"/>
  <c r="D52"/>
  <c r="I6" i="51"/>
  <c r="E8"/>
  <c r="G9"/>
  <c r="I10"/>
  <c r="G12"/>
  <c r="D14"/>
  <c r="H15"/>
  <c r="F17"/>
  <c r="F20"/>
  <c r="I21"/>
  <c r="G23"/>
  <c r="D25"/>
  <c r="H26"/>
  <c r="F28"/>
  <c r="I29"/>
  <c r="F32"/>
  <c r="I33"/>
  <c r="G35"/>
  <c r="D37"/>
  <c r="H38"/>
  <c r="F40"/>
  <c r="I41"/>
  <c r="G43"/>
  <c r="G44"/>
  <c r="D46"/>
  <c r="H47"/>
  <c r="F49"/>
  <c r="I50"/>
  <c r="G52"/>
  <c r="D54"/>
  <c r="H55"/>
  <c r="H6" i="41"/>
  <c r="F7"/>
  <c r="D8"/>
  <c r="H8"/>
  <c r="F9"/>
  <c r="D10"/>
  <c r="H10"/>
  <c r="F11"/>
  <c r="D12"/>
  <c r="H12"/>
  <c r="F13"/>
  <c r="D14"/>
  <c r="H14"/>
  <c r="F15"/>
  <c r="D16"/>
  <c r="H16"/>
  <c r="F17"/>
  <c r="F18"/>
  <c r="E19"/>
  <c r="I19"/>
  <c r="G20"/>
  <c r="E21"/>
  <c r="I21"/>
  <c r="G22"/>
  <c r="E23"/>
  <c r="I23"/>
  <c r="G24"/>
  <c r="E25"/>
  <c r="I25"/>
  <c r="G26"/>
  <c r="E27"/>
  <c r="I27"/>
  <c r="G28"/>
  <c r="E29"/>
  <c r="I29"/>
  <c r="G30"/>
  <c r="E31"/>
  <c r="I31"/>
  <c r="G32"/>
  <c r="E33"/>
  <c r="I33"/>
  <c r="G34"/>
  <c r="E35"/>
  <c r="I35"/>
  <c r="G36"/>
  <c r="E37"/>
  <c r="I37"/>
  <c r="G38"/>
  <c r="E39"/>
  <c r="I39"/>
  <c r="G40"/>
  <c r="E41"/>
  <c r="I41"/>
  <c r="G42"/>
  <c r="E43"/>
  <c r="I43"/>
  <c r="G44"/>
  <c r="E45"/>
  <c r="I45"/>
  <c r="G46"/>
  <c r="E47"/>
  <c r="I47"/>
  <c r="G48"/>
  <c r="E49"/>
  <c r="I49"/>
  <c r="G50"/>
  <c r="E51"/>
  <c r="I51"/>
  <c r="G52"/>
  <c r="E53"/>
  <c r="I53"/>
  <c r="G54"/>
  <c r="E55"/>
  <c r="I55"/>
  <c r="G56"/>
  <c r="E57"/>
  <c r="I57"/>
  <c r="E5" i="43"/>
  <c r="I5"/>
  <c r="F6"/>
  <c r="J6"/>
  <c r="G7"/>
  <c r="D8"/>
  <c r="H8"/>
  <c r="E9"/>
  <c r="I9"/>
  <c r="F10"/>
  <c r="J10"/>
  <c r="G11"/>
  <c r="D12"/>
  <c r="H12"/>
  <c r="E13"/>
  <c r="I13"/>
  <c r="F14"/>
  <c r="F17"/>
  <c r="J14"/>
  <c r="J17"/>
  <c r="G15"/>
  <c r="D16"/>
  <c r="H16"/>
  <c r="E18"/>
  <c r="I18"/>
  <c r="F19"/>
  <c r="J19"/>
  <c r="G20"/>
  <c r="D21"/>
  <c r="H21"/>
  <c r="E22"/>
  <c r="I22"/>
  <c r="F23"/>
  <c r="J23"/>
  <c r="G24"/>
  <c r="D25"/>
  <c r="H25"/>
  <c r="E26"/>
  <c r="I26"/>
  <c r="F27"/>
  <c r="J27"/>
  <c r="G28"/>
  <c r="D29"/>
  <c r="H29"/>
  <c r="E30"/>
  <c r="I30"/>
  <c r="F31"/>
  <c r="J31"/>
  <c r="G32"/>
  <c r="D33"/>
  <c r="H33"/>
  <c r="E34"/>
  <c r="I34"/>
  <c r="F35"/>
  <c r="J35"/>
  <c r="G36"/>
  <c r="D37"/>
  <c r="H37"/>
  <c r="E38"/>
  <c r="I38"/>
  <c r="F39"/>
  <c r="J39"/>
  <c r="G40"/>
  <c r="D41"/>
  <c r="H41"/>
  <c r="E42"/>
  <c r="I42"/>
  <c r="F43"/>
  <c r="J43"/>
  <c r="G44"/>
  <c r="D45"/>
  <c r="H45"/>
  <c r="E46"/>
  <c r="I46"/>
  <c r="F47"/>
  <c r="J47"/>
  <c r="G48"/>
  <c r="D49"/>
  <c r="H49"/>
  <c r="E50"/>
  <c r="I50"/>
  <c r="F51"/>
  <c r="J51"/>
  <c r="G52"/>
  <c r="D53"/>
  <c r="H53"/>
  <c r="E54"/>
  <c r="I54"/>
  <c r="F55"/>
  <c r="J55"/>
  <c r="G56"/>
  <c r="G15" i="44"/>
  <c r="F15"/>
  <c r="G10" i="45"/>
  <c r="F10"/>
  <c r="D13"/>
  <c r="G15"/>
  <c r="F15"/>
  <c r="D21" i="47"/>
  <c r="E21"/>
  <c r="F21"/>
  <c r="D23"/>
  <c r="E23"/>
  <c r="F23"/>
  <c r="D25"/>
  <c r="E25"/>
  <c r="F25"/>
  <c r="D27"/>
  <c r="E27"/>
  <c r="F27"/>
  <c r="D29"/>
  <c r="E29"/>
  <c r="F29"/>
  <c r="D31"/>
  <c r="E31"/>
  <c r="F31"/>
  <c r="D51"/>
  <c r="E51"/>
  <c r="D63"/>
  <c r="D67"/>
  <c r="H6" i="51"/>
  <c r="D8"/>
  <c r="F9"/>
  <c r="H10"/>
  <c r="F12"/>
  <c r="I13"/>
  <c r="G15"/>
  <c r="D17"/>
  <c r="H19"/>
  <c r="F21"/>
  <c r="I22"/>
  <c r="G24"/>
  <c r="D26"/>
  <c r="H27"/>
  <c r="F29"/>
  <c r="I30"/>
  <c r="H31"/>
  <c r="F33"/>
  <c r="I34"/>
  <c r="G36"/>
  <c r="D38"/>
  <c r="H39"/>
  <c r="F41"/>
  <c r="I42"/>
  <c r="I45"/>
  <c r="G47"/>
  <c r="D49"/>
  <c r="H50"/>
  <c r="F52"/>
  <c r="I53"/>
  <c r="G55"/>
  <c r="D5" i="43"/>
  <c r="H5"/>
  <c r="E6"/>
  <c r="I6"/>
  <c r="F7"/>
  <c r="J7"/>
  <c r="G8"/>
  <c r="D9"/>
  <c r="H9"/>
  <c r="E10"/>
  <c r="I10"/>
  <c r="F11"/>
  <c r="J11"/>
  <c r="G12"/>
  <c r="D13"/>
  <c r="H13"/>
  <c r="E14"/>
  <c r="E17"/>
  <c r="I14"/>
  <c r="I17"/>
  <c r="F15"/>
  <c r="J15"/>
  <c r="G16"/>
  <c r="D18"/>
  <c r="H18"/>
  <c r="E19"/>
  <c r="I19"/>
  <c r="F20"/>
  <c r="J20"/>
  <c r="G21"/>
  <c r="D22"/>
  <c r="H22"/>
  <c r="E23"/>
  <c r="I23"/>
  <c r="F24"/>
  <c r="J24"/>
  <c r="G25"/>
  <c r="D26"/>
  <c r="H26"/>
  <c r="E27"/>
  <c r="I27"/>
  <c r="F28"/>
  <c r="J28"/>
  <c r="G29"/>
  <c r="D30"/>
  <c r="H30"/>
  <c r="E31"/>
  <c r="I31"/>
  <c r="F32"/>
  <c r="J32"/>
  <c r="G33"/>
  <c r="D34"/>
  <c r="H34"/>
  <c r="E35"/>
  <c r="I35"/>
  <c r="F36"/>
  <c r="J36"/>
  <c r="G37"/>
  <c r="D38"/>
  <c r="H38"/>
  <c r="E39"/>
  <c r="I39"/>
  <c r="F40"/>
  <c r="J40"/>
  <c r="G41"/>
  <c r="D42"/>
  <c r="H42"/>
  <c r="E43"/>
  <c r="I43"/>
  <c r="F44"/>
  <c r="J44"/>
  <c r="G45"/>
  <c r="D46"/>
  <c r="H46"/>
  <c r="E47"/>
  <c r="I47"/>
  <c r="F48"/>
  <c r="J48"/>
  <c r="G49"/>
  <c r="D50"/>
  <c r="H50"/>
  <c r="E51"/>
  <c r="I51"/>
  <c r="F52"/>
  <c r="J52"/>
  <c r="G53"/>
  <c r="D54"/>
  <c r="H54"/>
  <c r="E55"/>
  <c r="I55"/>
  <c r="F56"/>
  <c r="J56"/>
  <c r="F14" i="44"/>
  <c r="G14"/>
  <c r="D16"/>
  <c r="D12" i="45"/>
  <c r="F14"/>
  <c r="G14"/>
  <c r="D16"/>
  <c r="F33" i="47"/>
  <c r="E33"/>
  <c r="E48"/>
  <c r="D48"/>
  <c r="E56"/>
  <c r="D56"/>
  <c r="F59"/>
  <c r="E59"/>
  <c r="E6" i="51"/>
  <c r="G7"/>
  <c r="I8"/>
  <c r="E10"/>
  <c r="H11"/>
  <c r="F13"/>
  <c r="I14"/>
  <c r="G16"/>
  <c r="G19"/>
  <c r="D21"/>
  <c r="H22"/>
  <c r="F24"/>
  <c r="I25"/>
  <c r="G27"/>
  <c r="D29"/>
  <c r="H30"/>
  <c r="G31"/>
  <c r="D33"/>
  <c r="H34"/>
  <c r="F36"/>
  <c r="I37"/>
  <c r="G39"/>
  <c r="D41"/>
  <c r="H42"/>
  <c r="F45"/>
  <c r="I46"/>
  <c r="G48"/>
  <c r="D50"/>
  <c r="H51"/>
  <c r="F53"/>
  <c r="I54"/>
  <c r="G56"/>
  <c r="G5" i="43"/>
  <c r="D6"/>
  <c r="H6"/>
  <c r="E7"/>
  <c r="I7"/>
  <c r="F8"/>
  <c r="J8"/>
  <c r="G9"/>
  <c r="D10"/>
  <c r="H10"/>
  <c r="E11"/>
  <c r="I11"/>
  <c r="F12"/>
  <c r="J12"/>
  <c r="G13"/>
  <c r="D14"/>
  <c r="D17"/>
  <c r="H14"/>
  <c r="H17"/>
  <c r="E15"/>
  <c r="I15"/>
  <c r="F16"/>
  <c r="J16"/>
  <c r="G18"/>
  <c r="D19"/>
  <c r="H19"/>
  <c r="E20"/>
  <c r="I20"/>
  <c r="F21"/>
  <c r="J21"/>
  <c r="G22"/>
  <c r="D23"/>
  <c r="H23"/>
  <c r="E24"/>
  <c r="I24"/>
  <c r="F25"/>
  <c r="J25"/>
  <c r="G26"/>
  <c r="D27"/>
  <c r="H27"/>
  <c r="E28"/>
  <c r="I28"/>
  <c r="F29"/>
  <c r="J29"/>
  <c r="G30"/>
  <c r="D31"/>
  <c r="H31"/>
  <c r="E32"/>
  <c r="I32"/>
  <c r="F33"/>
  <c r="J33"/>
  <c r="G34"/>
  <c r="D35"/>
  <c r="H35"/>
  <c r="E36"/>
  <c r="I36"/>
  <c r="F37"/>
  <c r="J37"/>
  <c r="G38"/>
  <c r="D39"/>
  <c r="H39"/>
  <c r="E40"/>
  <c r="I40"/>
  <c r="F41"/>
  <c r="J41"/>
  <c r="G42"/>
  <c r="D43"/>
  <c r="H43"/>
  <c r="E44"/>
  <c r="I44"/>
  <c r="F45"/>
  <c r="J45"/>
  <c r="G46"/>
  <c r="D47"/>
  <c r="H47"/>
  <c r="E48"/>
  <c r="I48"/>
  <c r="F49"/>
  <c r="J49"/>
  <c r="G50"/>
  <c r="D51"/>
  <c r="H51"/>
  <c r="E52"/>
  <c r="I52"/>
  <c r="F53"/>
  <c r="J53"/>
  <c r="G54"/>
  <c r="D55"/>
  <c r="H55"/>
  <c r="E56"/>
  <c r="I56"/>
  <c r="D15" i="44"/>
  <c r="D10" i="45"/>
  <c r="F13"/>
  <c r="G13"/>
  <c r="D15"/>
  <c r="D22" i="47"/>
  <c r="E22"/>
  <c r="F22"/>
  <c r="D24"/>
  <c r="E24"/>
  <c r="F24"/>
  <c r="D26"/>
  <c r="E26"/>
  <c r="F26"/>
  <c r="D28"/>
  <c r="E28"/>
  <c r="F28"/>
  <c r="D30"/>
  <c r="E30"/>
  <c r="F30"/>
  <c r="E32"/>
  <c r="F32"/>
  <c r="D47"/>
  <c r="E47"/>
  <c r="D55"/>
  <c r="E55"/>
  <c r="D61"/>
  <c r="D65"/>
  <c r="D69"/>
  <c r="D6" i="51"/>
  <c r="F7"/>
  <c r="H8"/>
  <c r="D10"/>
  <c r="G11"/>
  <c r="D13"/>
  <c r="H14"/>
  <c r="F16"/>
  <c r="I17"/>
  <c r="G20"/>
  <c r="D22"/>
  <c r="H23"/>
  <c r="F25"/>
  <c r="I26"/>
  <c r="G28"/>
  <c r="D30"/>
  <c r="G32"/>
  <c r="D34"/>
  <c r="H35"/>
  <c r="F37"/>
  <c r="I38"/>
  <c r="G40"/>
  <c r="D42"/>
  <c r="H43"/>
  <c r="D45"/>
  <c r="H46"/>
  <c r="F48"/>
  <c r="I49"/>
  <c r="G51"/>
  <c r="D53"/>
  <c r="H54"/>
  <c r="F56"/>
  <c r="I57"/>
  <c r="D18" i="45"/>
  <c r="F8" i="47"/>
  <c r="D8"/>
  <c r="E8"/>
  <c r="F9"/>
  <c r="D9"/>
  <c r="E9"/>
  <c r="F10"/>
  <c r="D10"/>
  <c r="E10"/>
  <c r="F11"/>
  <c r="D11"/>
  <c r="E11"/>
  <c r="F12"/>
  <c r="D12"/>
  <c r="E12"/>
  <c r="F13"/>
  <c r="D13"/>
  <c r="E13"/>
  <c r="F14"/>
  <c r="D14"/>
  <c r="E14"/>
  <c r="F15"/>
  <c r="D15"/>
  <c r="E15"/>
  <c r="F16"/>
  <c r="D16"/>
  <c r="E16"/>
  <c r="F17"/>
  <c r="D17"/>
  <c r="E17"/>
  <c r="F18"/>
  <c r="D18"/>
  <c r="E18"/>
  <c r="E20"/>
  <c r="E19"/>
  <c r="F19"/>
  <c r="F34"/>
  <c r="E34"/>
  <c r="D34"/>
  <c r="F35"/>
  <c r="D35"/>
  <c r="E35"/>
  <c r="F36"/>
  <c r="E36"/>
  <c r="D36"/>
  <c r="F37"/>
  <c r="D37"/>
  <c r="E37"/>
  <c r="F38"/>
  <c r="E38"/>
  <c r="D38"/>
  <c r="F39"/>
  <c r="D39"/>
  <c r="E39"/>
  <c r="F40"/>
  <c r="E40"/>
  <c r="D40"/>
  <c r="F41"/>
  <c r="D41"/>
  <c r="E41"/>
  <c r="F42"/>
  <c r="E42"/>
  <c r="D42"/>
  <c r="F43"/>
  <c r="D43"/>
  <c r="E43"/>
  <c r="F44"/>
  <c r="E44"/>
  <c r="D44"/>
  <c r="E45"/>
  <c r="F45"/>
  <c r="E49"/>
  <c r="D49"/>
  <c r="D53"/>
  <c r="E53"/>
  <c r="E57"/>
  <c r="D57"/>
  <c r="D60"/>
  <c r="D62"/>
  <c r="D64"/>
  <c r="D66"/>
  <c r="D68"/>
  <c r="D70"/>
  <c r="G6" i="51"/>
  <c r="E7"/>
  <c r="I7"/>
  <c r="G8"/>
  <c r="E9"/>
  <c r="I9"/>
  <c r="G10"/>
  <c r="F11"/>
  <c r="D12"/>
  <c r="I12"/>
  <c r="H13"/>
  <c r="G14"/>
  <c r="F15"/>
  <c r="D16"/>
  <c r="I16"/>
  <c r="H17"/>
  <c r="F19"/>
  <c r="D20"/>
  <c r="I20"/>
  <c r="H21"/>
  <c r="G22"/>
  <c r="F23"/>
  <c r="D24"/>
  <c r="I24"/>
  <c r="H25"/>
  <c r="G26"/>
  <c r="F27"/>
  <c r="D28"/>
  <c r="I28"/>
  <c r="H29"/>
  <c r="G30"/>
  <c r="D32"/>
  <c r="I32"/>
  <c r="H33"/>
  <c r="G34"/>
  <c r="F35"/>
  <c r="D36"/>
  <c r="I36"/>
  <c r="H37"/>
  <c r="G38"/>
  <c r="F39"/>
  <c r="D40"/>
  <c r="I40"/>
  <c r="H41"/>
  <c r="G42"/>
  <c r="F43"/>
  <c r="I44"/>
  <c r="H45"/>
  <c r="G46"/>
  <c r="F47"/>
  <c r="D48"/>
  <c r="I48"/>
  <c r="H49"/>
  <c r="G50"/>
  <c r="F51"/>
  <c r="D52"/>
  <c r="I52"/>
  <c r="H53"/>
  <c r="G54"/>
  <c r="F55"/>
  <c r="D56"/>
  <c r="I56"/>
  <c r="H57"/>
  <c r="F5" i="53"/>
  <c r="D6"/>
  <c r="H6"/>
  <c r="F7"/>
  <c r="D8"/>
  <c r="H8"/>
  <c r="F9"/>
  <c r="D10"/>
  <c r="H10"/>
  <c r="F11"/>
  <c r="D12"/>
  <c r="H12"/>
  <c r="F13"/>
  <c r="D14"/>
  <c r="H14"/>
  <c r="F15"/>
  <c r="D16"/>
  <c r="H16"/>
  <c r="D18"/>
  <c r="H18"/>
  <c r="F19"/>
  <c r="D20"/>
  <c r="H20"/>
  <c r="F21"/>
  <c r="D22"/>
  <c r="H22"/>
  <c r="F23"/>
  <c r="D24"/>
  <c r="H24"/>
  <c r="F25"/>
  <c r="D26"/>
  <c r="H26"/>
  <c r="F27"/>
  <c r="D28"/>
  <c r="H28"/>
  <c r="F29"/>
  <c r="F31"/>
  <c r="D32"/>
  <c r="H32"/>
  <c r="F33"/>
  <c r="D34"/>
  <c r="H34"/>
  <c r="F35"/>
  <c r="D36"/>
  <c r="H36"/>
  <c r="F37"/>
  <c r="D38"/>
  <c r="H38"/>
  <c r="F39"/>
  <c r="D40"/>
  <c r="H40"/>
  <c r="F41"/>
  <c r="D42"/>
  <c r="H42"/>
  <c r="D44"/>
  <c r="H44"/>
  <c r="F45"/>
  <c r="D46"/>
  <c r="H46"/>
  <c r="F47"/>
  <c r="D48"/>
  <c r="H48"/>
  <c r="F49"/>
  <c r="D50"/>
  <c r="H50"/>
  <c r="F51"/>
  <c r="D52"/>
  <c r="H52"/>
  <c r="F53"/>
  <c r="D54"/>
  <c r="H54"/>
  <c r="F55"/>
  <c r="E10" i="55"/>
  <c r="E9" i="59"/>
  <c r="D9"/>
  <c r="F9"/>
  <c r="E11"/>
  <c r="D11"/>
  <c r="F11"/>
  <c r="E13"/>
  <c r="D13"/>
  <c r="F13"/>
  <c r="E15"/>
  <c r="D15"/>
  <c r="F15"/>
  <c r="E17"/>
  <c r="D17"/>
  <c r="F17"/>
  <c r="F19"/>
  <c r="E19"/>
  <c r="E49"/>
  <c r="D49"/>
  <c r="E57"/>
  <c r="D57"/>
  <c r="D60"/>
  <c r="D64"/>
  <c r="D68"/>
  <c r="E46" i="47"/>
  <c r="F46"/>
  <c r="D50"/>
  <c r="E50"/>
  <c r="D54"/>
  <c r="E54"/>
  <c r="E58"/>
  <c r="F6" i="51"/>
  <c r="D7"/>
  <c r="H7"/>
  <c r="F8"/>
  <c r="D9"/>
  <c r="H9"/>
  <c r="F10"/>
  <c r="D11"/>
  <c r="I11"/>
  <c r="H12"/>
  <c r="G13"/>
  <c r="F14"/>
  <c r="D15"/>
  <c r="I15"/>
  <c r="H16"/>
  <c r="G17"/>
  <c r="D19"/>
  <c r="I19"/>
  <c r="H20"/>
  <c r="G21"/>
  <c r="F22"/>
  <c r="D23"/>
  <c r="I23"/>
  <c r="H24"/>
  <c r="G25"/>
  <c r="F26"/>
  <c r="D27"/>
  <c r="I27"/>
  <c r="H28"/>
  <c r="G29"/>
  <c r="F30"/>
  <c r="I31"/>
  <c r="H32"/>
  <c r="G33"/>
  <c r="F34"/>
  <c r="D35"/>
  <c r="I35"/>
  <c r="H36"/>
  <c r="G37"/>
  <c r="F38"/>
  <c r="D39"/>
  <c r="I39"/>
  <c r="H40"/>
  <c r="G41"/>
  <c r="F42"/>
  <c r="D43"/>
  <c r="I43"/>
  <c r="H44"/>
  <c r="G45"/>
  <c r="F46"/>
  <c r="D47"/>
  <c r="I47"/>
  <c r="H48"/>
  <c r="G49"/>
  <c r="F50"/>
  <c r="D51"/>
  <c r="I51"/>
  <c r="H52"/>
  <c r="G53"/>
  <c r="F54"/>
  <c r="D55"/>
  <c r="I55"/>
  <c r="H56"/>
  <c r="G57"/>
  <c r="E5" i="53"/>
  <c r="J5"/>
  <c r="G6"/>
  <c r="E7"/>
  <c r="J7"/>
  <c r="G8"/>
  <c r="E9"/>
  <c r="J9"/>
  <c r="G10"/>
  <c r="E11"/>
  <c r="J11"/>
  <c r="G12"/>
  <c r="E13"/>
  <c r="J13"/>
  <c r="G14"/>
  <c r="E15"/>
  <c r="J15"/>
  <c r="G16"/>
  <c r="G18"/>
  <c r="E19"/>
  <c r="J19"/>
  <c r="G20"/>
  <c r="E21"/>
  <c r="J21"/>
  <c r="G22"/>
  <c r="E23"/>
  <c r="J23"/>
  <c r="G24"/>
  <c r="E25"/>
  <c r="J25"/>
  <c r="G26"/>
  <c r="E27"/>
  <c r="J27"/>
  <c r="G28"/>
  <c r="E29"/>
  <c r="J29"/>
  <c r="E31"/>
  <c r="J31"/>
  <c r="G32"/>
  <c r="E33"/>
  <c r="J33"/>
  <c r="G34"/>
  <c r="E35"/>
  <c r="J35"/>
  <c r="G36"/>
  <c r="E37"/>
  <c r="J37"/>
  <c r="G38"/>
  <c r="E39"/>
  <c r="J39"/>
  <c r="G40"/>
  <c r="E41"/>
  <c r="J41"/>
  <c r="G42"/>
  <c r="G44"/>
  <c r="E45"/>
  <c r="J45"/>
  <c r="G46"/>
  <c r="E47"/>
  <c r="J47"/>
  <c r="G48"/>
  <c r="E49"/>
  <c r="J49"/>
  <c r="G50"/>
  <c r="E51"/>
  <c r="J51"/>
  <c r="G52"/>
  <c r="E53"/>
  <c r="J53"/>
  <c r="G54"/>
  <c r="E55"/>
  <c r="J55"/>
  <c r="E9" i="55"/>
  <c r="F34" i="59"/>
  <c r="E34"/>
  <c r="D34"/>
  <c r="F36"/>
  <c r="E36"/>
  <c r="D36"/>
  <c r="F38"/>
  <c r="E38"/>
  <c r="D38"/>
  <c r="F40"/>
  <c r="E40"/>
  <c r="D40"/>
  <c r="F42"/>
  <c r="E42"/>
  <c r="D42"/>
  <c r="F44"/>
  <c r="E44"/>
  <c r="D44"/>
  <c r="E48"/>
  <c r="D48"/>
  <c r="E56"/>
  <c r="D56"/>
  <c r="D5" i="53"/>
  <c r="H5"/>
  <c r="F6"/>
  <c r="D7"/>
  <c r="H7"/>
  <c r="F8"/>
  <c r="D9"/>
  <c r="H9"/>
  <c r="F10"/>
  <c r="D11"/>
  <c r="H11"/>
  <c r="F12"/>
  <c r="D13"/>
  <c r="H13"/>
  <c r="F14"/>
  <c r="D15"/>
  <c r="H15"/>
  <c r="F16"/>
  <c r="F18"/>
  <c r="D19"/>
  <c r="H19"/>
  <c r="F20"/>
  <c r="D21"/>
  <c r="H21"/>
  <c r="F22"/>
  <c r="D23"/>
  <c r="H23"/>
  <c r="F24"/>
  <c r="D25"/>
  <c r="H25"/>
  <c r="F26"/>
  <c r="D27"/>
  <c r="H27"/>
  <c r="F28"/>
  <c r="D29"/>
  <c r="H29"/>
  <c r="D31"/>
  <c r="H31"/>
  <c r="F32"/>
  <c r="D33"/>
  <c r="H33"/>
  <c r="F34"/>
  <c r="D35"/>
  <c r="H35"/>
  <c r="F36"/>
  <c r="D37"/>
  <c r="H37"/>
  <c r="F38"/>
  <c r="D39"/>
  <c r="H39"/>
  <c r="F40"/>
  <c r="D41"/>
  <c r="H41"/>
  <c r="F42"/>
  <c r="F44"/>
  <c r="D45"/>
  <c r="H45"/>
  <c r="F46"/>
  <c r="D47"/>
  <c r="H47"/>
  <c r="F48"/>
  <c r="D49"/>
  <c r="H49"/>
  <c r="F50"/>
  <c r="D51"/>
  <c r="H51"/>
  <c r="F52"/>
  <c r="D53"/>
  <c r="H53"/>
  <c r="F54"/>
  <c r="D55"/>
  <c r="H55"/>
  <c r="E8" i="59"/>
  <c r="D8"/>
  <c r="F8"/>
  <c r="E10"/>
  <c r="D10"/>
  <c r="F10"/>
  <c r="E12"/>
  <c r="D12"/>
  <c r="F12"/>
  <c r="E14"/>
  <c r="D14"/>
  <c r="F14"/>
  <c r="E16"/>
  <c r="D16"/>
  <c r="F16"/>
  <c r="E18"/>
  <c r="D18"/>
  <c r="F18"/>
  <c r="E53"/>
  <c r="D53"/>
  <c r="D62"/>
  <c r="D66"/>
  <c r="D70"/>
  <c r="G5" i="53"/>
  <c r="E6"/>
  <c r="J6"/>
  <c r="G7"/>
  <c r="E8"/>
  <c r="J8"/>
  <c r="G9"/>
  <c r="E10"/>
  <c r="J10"/>
  <c r="G11"/>
  <c r="E12"/>
  <c r="J12"/>
  <c r="G13"/>
  <c r="E14"/>
  <c r="J14"/>
  <c r="G15"/>
  <c r="E16"/>
  <c r="J16"/>
  <c r="E18"/>
  <c r="J18"/>
  <c r="G19"/>
  <c r="E20"/>
  <c r="J20"/>
  <c r="G21"/>
  <c r="E22"/>
  <c r="J22"/>
  <c r="G23"/>
  <c r="E24"/>
  <c r="J24"/>
  <c r="G25"/>
  <c r="E26"/>
  <c r="J26"/>
  <c r="G27"/>
  <c r="E28"/>
  <c r="J28"/>
  <c r="G29"/>
  <c r="G31"/>
  <c r="E32"/>
  <c r="J32"/>
  <c r="G33"/>
  <c r="E34"/>
  <c r="J34"/>
  <c r="G35"/>
  <c r="E36"/>
  <c r="J36"/>
  <c r="G37"/>
  <c r="E38"/>
  <c r="J38"/>
  <c r="G39"/>
  <c r="E40"/>
  <c r="J40"/>
  <c r="G41"/>
  <c r="E42"/>
  <c r="J42"/>
  <c r="E44"/>
  <c r="J44"/>
  <c r="G45"/>
  <c r="E46"/>
  <c r="J46"/>
  <c r="G47"/>
  <c r="E48"/>
  <c r="J48"/>
  <c r="G49"/>
  <c r="E50"/>
  <c r="J50"/>
  <c r="G51"/>
  <c r="E52"/>
  <c r="J52"/>
  <c r="G53"/>
  <c r="E54"/>
  <c r="J54"/>
  <c r="G55"/>
  <c r="F35" i="59"/>
  <c r="E35"/>
  <c r="D35"/>
  <c r="F37"/>
  <c r="E37"/>
  <c r="D37"/>
  <c r="F39"/>
  <c r="E39"/>
  <c r="D39"/>
  <c r="F41"/>
  <c r="E41"/>
  <c r="D41"/>
  <c r="F43"/>
  <c r="E43"/>
  <c r="D43"/>
  <c r="F45"/>
  <c r="E45"/>
  <c r="E52"/>
  <c r="D52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D29"/>
  <c r="E29"/>
  <c r="F29"/>
  <c r="D30"/>
  <c r="E30"/>
  <c r="F30"/>
  <c r="D31"/>
  <c r="E31"/>
  <c r="F31"/>
  <c r="E32"/>
  <c r="F32"/>
  <c r="D47"/>
  <c r="E47"/>
  <c r="D51"/>
  <c r="E51"/>
  <c r="D55"/>
  <c r="E55"/>
  <c r="D61"/>
  <c r="D63"/>
  <c r="D65"/>
  <c r="D67"/>
  <c r="D69"/>
  <c r="D5" i="64"/>
  <c r="H5"/>
  <c r="F6"/>
  <c r="D7"/>
  <c r="H7"/>
  <c r="F8"/>
  <c r="D9"/>
  <c r="H9"/>
  <c r="F10"/>
  <c r="D11"/>
  <c r="H11"/>
  <c r="F12"/>
  <c r="D13"/>
  <c r="H13"/>
  <c r="F14"/>
  <c r="D15"/>
  <c r="H15"/>
  <c r="F16"/>
  <c r="F18"/>
  <c r="D19"/>
  <c r="H19"/>
  <c r="F20"/>
  <c r="D21"/>
  <c r="H21"/>
  <c r="F22"/>
  <c r="D23"/>
  <c r="H23"/>
  <c r="F24"/>
  <c r="D25"/>
  <c r="H25"/>
  <c r="F26"/>
  <c r="D27"/>
  <c r="H27"/>
  <c r="F28"/>
  <c r="D29"/>
  <c r="H29"/>
  <c r="D31"/>
  <c r="H31"/>
  <c r="F32"/>
  <c r="D33"/>
  <c r="H33"/>
  <c r="F34"/>
  <c r="D35"/>
  <c r="H35"/>
  <c r="F36"/>
  <c r="D37"/>
  <c r="H37"/>
  <c r="F38"/>
  <c r="D39"/>
  <c r="H39"/>
  <c r="F40"/>
  <c r="D41"/>
  <c r="H41"/>
  <c r="F42"/>
  <c r="F44"/>
  <c r="D45"/>
  <c r="H45"/>
  <c r="F46"/>
  <c r="D47"/>
  <c r="H47"/>
  <c r="F48"/>
  <c r="D49"/>
  <c r="H49"/>
  <c r="F50"/>
  <c r="D51"/>
  <c r="H51"/>
  <c r="F52"/>
  <c r="D53"/>
  <c r="H53"/>
  <c r="F54"/>
  <c r="D55"/>
  <c r="H55"/>
  <c r="E11" i="66"/>
  <c r="D10" i="73"/>
  <c r="F13"/>
  <c r="G13"/>
  <c r="D15"/>
  <c r="F18"/>
  <c r="G18"/>
  <c r="D21"/>
  <c r="F23"/>
  <c r="G23"/>
  <c r="D26"/>
  <c r="F10" i="75"/>
  <c r="G10"/>
  <c r="D12"/>
  <c r="F13"/>
  <c r="G13"/>
  <c r="D14"/>
  <c r="F15"/>
  <c r="G15"/>
  <c r="D16"/>
  <c r="F18"/>
  <c r="G18"/>
  <c r="D24"/>
  <c r="F26"/>
  <c r="G26"/>
  <c r="D27"/>
  <c r="F28"/>
  <c r="G28"/>
  <c r="D29"/>
  <c r="M30"/>
  <c r="N30"/>
  <c r="K32"/>
  <c r="F10" i="77"/>
  <c r="G10"/>
  <c r="D13"/>
  <c r="F15"/>
  <c r="G15"/>
  <c r="D18"/>
  <c r="F21"/>
  <c r="G21"/>
  <c r="D23"/>
  <c r="F26"/>
  <c r="G26"/>
  <c r="F10" i="79"/>
  <c r="G10"/>
  <c r="D12"/>
  <c r="F13"/>
  <c r="G13"/>
  <c r="D14"/>
  <c r="F15"/>
  <c r="G15"/>
  <c r="D16"/>
  <c r="F18"/>
  <c r="G18"/>
  <c r="D24"/>
  <c r="F26"/>
  <c r="G26"/>
  <c r="D27"/>
  <c r="F28"/>
  <c r="G28"/>
  <c r="D29"/>
  <c r="M30"/>
  <c r="N30"/>
  <c r="K32"/>
  <c r="E9" i="81"/>
  <c r="J32" i="83"/>
  <c r="E10" i="85"/>
  <c r="G5" i="64"/>
  <c r="E6"/>
  <c r="J6"/>
  <c r="G7"/>
  <c r="E8"/>
  <c r="J8"/>
  <c r="G9"/>
  <c r="E10"/>
  <c r="J10"/>
  <c r="G11"/>
  <c r="E12"/>
  <c r="J12"/>
  <c r="G13"/>
  <c r="E14"/>
  <c r="J14"/>
  <c r="G15"/>
  <c r="E16"/>
  <c r="J16"/>
  <c r="E18"/>
  <c r="J18"/>
  <c r="G19"/>
  <c r="E20"/>
  <c r="J20"/>
  <c r="G21"/>
  <c r="E22"/>
  <c r="J22"/>
  <c r="G23"/>
  <c r="E24"/>
  <c r="J24"/>
  <c r="G25"/>
  <c r="E26"/>
  <c r="J26"/>
  <c r="G27"/>
  <c r="E28"/>
  <c r="J28"/>
  <c r="G29"/>
  <c r="G31"/>
  <c r="E32"/>
  <c r="J32"/>
  <c r="G33"/>
  <c r="E34"/>
  <c r="J34"/>
  <c r="G35"/>
  <c r="E36"/>
  <c r="J36"/>
  <c r="G37"/>
  <c r="E38"/>
  <c r="J38"/>
  <c r="G39"/>
  <c r="E40"/>
  <c r="J40"/>
  <c r="G41"/>
  <c r="E42"/>
  <c r="J42"/>
  <c r="E44"/>
  <c r="J44"/>
  <c r="G45"/>
  <c r="E46"/>
  <c r="J46"/>
  <c r="G47"/>
  <c r="E48"/>
  <c r="J48"/>
  <c r="G49"/>
  <c r="E50"/>
  <c r="J50"/>
  <c r="G51"/>
  <c r="E52"/>
  <c r="J52"/>
  <c r="G53"/>
  <c r="E54"/>
  <c r="J54"/>
  <c r="G55"/>
  <c r="E21" i="70"/>
  <c r="F21"/>
  <c r="F33"/>
  <c r="D21"/>
  <c r="E22"/>
  <c r="F22"/>
  <c r="D22"/>
  <c r="E23"/>
  <c r="F23"/>
  <c r="D23"/>
  <c r="E24"/>
  <c r="F24"/>
  <c r="D24"/>
  <c r="E25"/>
  <c r="F25"/>
  <c r="D25"/>
  <c r="E26"/>
  <c r="F26"/>
  <c r="D26"/>
  <c r="E27"/>
  <c r="F27"/>
  <c r="D27"/>
  <c r="E28"/>
  <c r="F28"/>
  <c r="D28"/>
  <c r="E29"/>
  <c r="F29"/>
  <c r="D29"/>
  <c r="E30"/>
  <c r="F30"/>
  <c r="D30"/>
  <c r="E31"/>
  <c r="F31"/>
  <c r="D31"/>
  <c r="F32"/>
  <c r="E32"/>
  <c r="E47"/>
  <c r="F47"/>
  <c r="F59"/>
  <c r="D47"/>
  <c r="E48"/>
  <c r="F48"/>
  <c r="D48"/>
  <c r="E49"/>
  <c r="F49"/>
  <c r="D49"/>
  <c r="E50"/>
  <c r="F50"/>
  <c r="D50"/>
  <c r="E51"/>
  <c r="F51"/>
  <c r="D51"/>
  <c r="E52"/>
  <c r="F52"/>
  <c r="D52"/>
  <c r="E53"/>
  <c r="F53"/>
  <c r="D53"/>
  <c r="E54"/>
  <c r="F54"/>
  <c r="D54"/>
  <c r="E55"/>
  <c r="F55"/>
  <c r="D55"/>
  <c r="E56"/>
  <c r="F56"/>
  <c r="D56"/>
  <c r="E57"/>
  <c r="F57"/>
  <c r="D57"/>
  <c r="F58"/>
  <c r="E58"/>
  <c r="D9" i="73"/>
  <c r="G11"/>
  <c r="F11"/>
  <c r="D14"/>
  <c r="G17"/>
  <c r="F17"/>
  <c r="D19"/>
  <c r="G22"/>
  <c r="F22"/>
  <c r="D25"/>
  <c r="G27"/>
  <c r="F27"/>
  <c r="K10" i="75"/>
  <c r="N12"/>
  <c r="M12"/>
  <c r="K13"/>
  <c r="N14"/>
  <c r="M14"/>
  <c r="K15"/>
  <c r="N16"/>
  <c r="M16"/>
  <c r="K18"/>
  <c r="N24"/>
  <c r="M24"/>
  <c r="K26"/>
  <c r="N27"/>
  <c r="M27"/>
  <c r="K28"/>
  <c r="N29"/>
  <c r="M29"/>
  <c r="D31"/>
  <c r="G9" i="77"/>
  <c r="F9"/>
  <c r="D11"/>
  <c r="G14"/>
  <c r="F14"/>
  <c r="D17"/>
  <c r="G19"/>
  <c r="F19"/>
  <c r="D22"/>
  <c r="G25"/>
  <c r="F27"/>
  <c r="F25"/>
  <c r="K10" i="79"/>
  <c r="N12"/>
  <c r="M12"/>
  <c r="K13"/>
  <c r="N14"/>
  <c r="M14"/>
  <c r="K15"/>
  <c r="N16"/>
  <c r="M16"/>
  <c r="K18"/>
  <c r="N24"/>
  <c r="M24"/>
  <c r="K26"/>
  <c r="N27"/>
  <c r="M27"/>
  <c r="K28"/>
  <c r="N29"/>
  <c r="M29"/>
  <c r="D31"/>
  <c r="E10" i="81"/>
  <c r="E11" i="85"/>
  <c r="F5" i="64"/>
  <c r="D6"/>
  <c r="H6"/>
  <c r="F7"/>
  <c r="D8"/>
  <c r="H8"/>
  <c r="F9"/>
  <c r="D10"/>
  <c r="H10"/>
  <c r="F11"/>
  <c r="D12"/>
  <c r="H12"/>
  <c r="F13"/>
  <c r="D14"/>
  <c r="H14"/>
  <c r="F15"/>
  <c r="D16"/>
  <c r="H16"/>
  <c r="D18"/>
  <c r="H18"/>
  <c r="F19"/>
  <c r="D20"/>
  <c r="H20"/>
  <c r="F21"/>
  <c r="D22"/>
  <c r="H22"/>
  <c r="F23"/>
  <c r="D24"/>
  <c r="H24"/>
  <c r="F25"/>
  <c r="D26"/>
  <c r="H26"/>
  <c r="F27"/>
  <c r="D28"/>
  <c r="H28"/>
  <c r="F29"/>
  <c r="F31"/>
  <c r="D32"/>
  <c r="H32"/>
  <c r="F33"/>
  <c r="D34"/>
  <c r="H34"/>
  <c r="F35"/>
  <c r="D36"/>
  <c r="H36"/>
  <c r="F37"/>
  <c r="D38"/>
  <c r="H38"/>
  <c r="F39"/>
  <c r="D40"/>
  <c r="H40"/>
  <c r="F41"/>
  <c r="D42"/>
  <c r="H42"/>
  <c r="D44"/>
  <c r="H44"/>
  <c r="F45"/>
  <c r="D46"/>
  <c r="H46"/>
  <c r="F47"/>
  <c r="D48"/>
  <c r="H48"/>
  <c r="F49"/>
  <c r="D50"/>
  <c r="H50"/>
  <c r="F51"/>
  <c r="D52"/>
  <c r="H52"/>
  <c r="F53"/>
  <c r="D54"/>
  <c r="H54"/>
  <c r="F55"/>
  <c r="E9" i="66"/>
  <c r="F8" i="70"/>
  <c r="D8"/>
  <c r="E8"/>
  <c r="F9"/>
  <c r="D9"/>
  <c r="E9"/>
  <c r="F10"/>
  <c r="D10"/>
  <c r="E10"/>
  <c r="F11"/>
  <c r="D11"/>
  <c r="E11"/>
  <c r="F12"/>
  <c r="D12"/>
  <c r="E12"/>
  <c r="F13"/>
  <c r="D13"/>
  <c r="E13"/>
  <c r="F14"/>
  <c r="D14"/>
  <c r="E14"/>
  <c r="F15"/>
  <c r="D15"/>
  <c r="E15"/>
  <c r="F16"/>
  <c r="D16"/>
  <c r="E16"/>
  <c r="F17"/>
  <c r="D17"/>
  <c r="E17"/>
  <c r="F18"/>
  <c r="D18"/>
  <c r="E18"/>
  <c r="E19"/>
  <c r="F19"/>
  <c r="F10" i="73"/>
  <c r="G10"/>
  <c r="D13"/>
  <c r="F15"/>
  <c r="G15"/>
  <c r="D18"/>
  <c r="F21"/>
  <c r="G21"/>
  <c r="D23"/>
  <c r="F26"/>
  <c r="G26"/>
  <c r="D10" i="75"/>
  <c r="F12"/>
  <c r="G12"/>
  <c r="D13"/>
  <c r="F14"/>
  <c r="G14"/>
  <c r="D15"/>
  <c r="F16"/>
  <c r="G16"/>
  <c r="D18"/>
  <c r="F24"/>
  <c r="G24"/>
  <c r="D26"/>
  <c r="F27"/>
  <c r="G27"/>
  <c r="D28"/>
  <c r="F29"/>
  <c r="G29"/>
  <c r="K30"/>
  <c r="M32"/>
  <c r="N32"/>
  <c r="D10" i="77"/>
  <c r="F13"/>
  <c r="G13"/>
  <c r="D15"/>
  <c r="F18"/>
  <c r="G18"/>
  <c r="D21"/>
  <c r="F23"/>
  <c r="G23"/>
  <c r="D26"/>
  <c r="D10" i="79"/>
  <c r="F12"/>
  <c r="G12"/>
  <c r="D13"/>
  <c r="F14"/>
  <c r="G14"/>
  <c r="D15"/>
  <c r="F16"/>
  <c r="G16"/>
  <c r="D18"/>
  <c r="F24"/>
  <c r="G24"/>
  <c r="D26"/>
  <c r="F27"/>
  <c r="G27"/>
  <c r="D28"/>
  <c r="F29"/>
  <c r="G29"/>
  <c r="K30"/>
  <c r="M32"/>
  <c r="N32"/>
  <c r="E11" i="81"/>
  <c r="E11" i="55"/>
  <c r="D50" i="59"/>
  <c r="E50"/>
  <c r="E54"/>
  <c r="D54"/>
  <c r="E58"/>
  <c r="E5" i="64"/>
  <c r="J5"/>
  <c r="G6"/>
  <c r="E7"/>
  <c r="J7"/>
  <c r="G8"/>
  <c r="E9"/>
  <c r="J9"/>
  <c r="G10"/>
  <c r="E11"/>
  <c r="J11"/>
  <c r="G12"/>
  <c r="E13"/>
  <c r="J13"/>
  <c r="G14"/>
  <c r="E15"/>
  <c r="J15"/>
  <c r="G16"/>
  <c r="G18"/>
  <c r="E19"/>
  <c r="J19"/>
  <c r="G20"/>
  <c r="E21"/>
  <c r="J21"/>
  <c r="G22"/>
  <c r="E23"/>
  <c r="J23"/>
  <c r="G24"/>
  <c r="E25"/>
  <c r="J25"/>
  <c r="G26"/>
  <c r="E27"/>
  <c r="J27"/>
  <c r="G28"/>
  <c r="E29"/>
  <c r="J29"/>
  <c r="E31"/>
  <c r="J31"/>
  <c r="G32"/>
  <c r="E33"/>
  <c r="J33"/>
  <c r="G34"/>
  <c r="E35"/>
  <c r="J35"/>
  <c r="G36"/>
  <c r="E37"/>
  <c r="J37"/>
  <c r="G38"/>
  <c r="E39"/>
  <c r="J39"/>
  <c r="G40"/>
  <c r="E41"/>
  <c r="J41"/>
  <c r="G42"/>
  <c r="G44"/>
  <c r="E45"/>
  <c r="J45"/>
  <c r="G46"/>
  <c r="E47"/>
  <c r="J47"/>
  <c r="G48"/>
  <c r="E49"/>
  <c r="J49"/>
  <c r="G50"/>
  <c r="E51"/>
  <c r="J51"/>
  <c r="G52"/>
  <c r="E53"/>
  <c r="J53"/>
  <c r="G54"/>
  <c r="E55"/>
  <c r="J55"/>
  <c r="E10" i="66"/>
  <c r="F46" i="70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D42"/>
  <c r="E42"/>
  <c r="F42"/>
  <c r="D43"/>
  <c r="E43"/>
  <c r="F43"/>
  <c r="D44"/>
  <c r="E44"/>
  <c r="F44"/>
  <c r="E45"/>
  <c r="F45"/>
  <c r="F72"/>
  <c r="D60"/>
  <c r="E60"/>
  <c r="F60"/>
  <c r="D61"/>
  <c r="E61"/>
  <c r="D62"/>
  <c r="E62"/>
  <c r="D63"/>
  <c r="E63"/>
  <c r="D64"/>
  <c r="E64"/>
  <c r="D65"/>
  <c r="E65"/>
  <c r="D66"/>
  <c r="E66"/>
  <c r="D67"/>
  <c r="E67"/>
  <c r="D68"/>
  <c r="E68"/>
  <c r="D69"/>
  <c r="E69"/>
  <c r="D70"/>
  <c r="E70"/>
  <c r="E71"/>
  <c r="F9" i="73"/>
  <c r="G9"/>
  <c r="D11"/>
  <c r="F14"/>
  <c r="G14"/>
  <c r="D17"/>
  <c r="F19"/>
  <c r="G19"/>
  <c r="D22"/>
  <c r="F25"/>
  <c r="G25"/>
  <c r="D27"/>
  <c r="M10" i="75"/>
  <c r="N10"/>
  <c r="K12"/>
  <c r="M13"/>
  <c r="N13"/>
  <c r="K14"/>
  <c r="M15"/>
  <c r="N15"/>
  <c r="K16"/>
  <c r="M18"/>
  <c r="N18"/>
  <c r="K24"/>
  <c r="M26"/>
  <c r="N26"/>
  <c r="K27"/>
  <c r="M28"/>
  <c r="N28"/>
  <c r="K29"/>
  <c r="F31"/>
  <c r="G31"/>
  <c r="D9" i="77"/>
  <c r="F11"/>
  <c r="G11"/>
  <c r="D14"/>
  <c r="F17"/>
  <c r="G17"/>
  <c r="D19"/>
  <c r="F22"/>
  <c r="G22"/>
  <c r="D25"/>
  <c r="D27"/>
  <c r="M10" i="79"/>
  <c r="N10"/>
  <c r="K12"/>
  <c r="M13"/>
  <c r="N13"/>
  <c r="K14"/>
  <c r="M15"/>
  <c r="N15"/>
  <c r="K16"/>
  <c r="M18"/>
  <c r="N18"/>
  <c r="K24"/>
  <c r="M26"/>
  <c r="N26"/>
  <c r="K27"/>
  <c r="M28"/>
  <c r="N28"/>
  <c r="K29"/>
  <c r="F31"/>
  <c r="G31"/>
  <c r="E9" i="85"/>
  <c r="E9" i="91"/>
  <c r="D10"/>
  <c r="C11"/>
  <c r="G11"/>
  <c r="F12"/>
  <c r="E13"/>
  <c r="D14"/>
  <c r="C15"/>
  <c r="G15"/>
  <c r="F16"/>
  <c r="D17" i="89"/>
  <c r="D17" i="91" s="1"/>
  <c r="D18"/>
  <c r="C19"/>
  <c r="G19"/>
  <c r="F20"/>
  <c r="E21"/>
  <c r="D22"/>
  <c r="C23"/>
  <c r="G23"/>
  <c r="F24"/>
  <c r="E25"/>
  <c r="D26"/>
  <c r="C27"/>
  <c r="G27"/>
  <c r="F28"/>
  <c r="E29"/>
  <c r="C30" i="89"/>
  <c r="C30" i="91" s="1"/>
  <c r="C31"/>
  <c r="G30" i="89"/>
  <c r="G30" i="91" s="1"/>
  <c r="G31"/>
  <c r="M9" i="93"/>
  <c r="N9"/>
  <c r="K10"/>
  <c r="M11"/>
  <c r="N11"/>
  <c r="K13"/>
  <c r="M14"/>
  <c r="N14"/>
  <c r="K17"/>
  <c r="M18"/>
  <c r="N18"/>
  <c r="K19"/>
  <c r="M21"/>
  <c r="N21"/>
  <c r="K22"/>
  <c r="M23"/>
  <c r="N23"/>
  <c r="K25"/>
  <c r="M26"/>
  <c r="N26"/>
  <c r="K27"/>
  <c r="M29"/>
  <c r="N29"/>
  <c r="K30"/>
  <c r="M31"/>
  <c r="N31"/>
  <c r="K33"/>
  <c r="M34"/>
  <c r="N34"/>
  <c r="K35"/>
  <c r="M37"/>
  <c r="N37"/>
  <c r="K38"/>
  <c r="M39"/>
  <c r="N39"/>
  <c r="L8" i="95"/>
  <c r="N9"/>
  <c r="O9"/>
  <c r="L10"/>
  <c r="N11"/>
  <c r="O11"/>
  <c r="L12"/>
  <c r="N13"/>
  <c r="O13"/>
  <c r="L14"/>
  <c r="N21"/>
  <c r="O21"/>
  <c r="L22"/>
  <c r="N23"/>
  <c r="O23"/>
  <c r="L24"/>
  <c r="N25"/>
  <c r="O25"/>
  <c r="L26"/>
  <c r="N27"/>
  <c r="O27"/>
  <c r="L33"/>
  <c r="N34"/>
  <c r="O34"/>
  <c r="L35"/>
  <c r="N36"/>
  <c r="O36"/>
  <c r="L37"/>
  <c r="N38"/>
  <c r="O38"/>
  <c r="L44"/>
  <c r="N45"/>
  <c r="O45"/>
  <c r="L46"/>
  <c r="N47"/>
  <c r="O47"/>
  <c r="L48"/>
  <c r="N49"/>
  <c r="O49"/>
  <c r="E9" i="99"/>
  <c r="E11"/>
  <c r="E13"/>
  <c r="E15"/>
  <c r="E17"/>
  <c r="E19"/>
  <c r="E21"/>
  <c r="E23"/>
  <c r="E25"/>
  <c r="E27"/>
  <c r="E29"/>
  <c r="E31"/>
  <c r="E33"/>
  <c r="E35"/>
  <c r="E37"/>
  <c r="E39"/>
  <c r="D9" i="91"/>
  <c r="C10"/>
  <c r="G10"/>
  <c r="F11"/>
  <c r="E12"/>
  <c r="D13"/>
  <c r="C14"/>
  <c r="G14"/>
  <c r="F15"/>
  <c r="E16"/>
  <c r="C17" i="89"/>
  <c r="C17" i="91" s="1"/>
  <c r="C18"/>
  <c r="G17" i="89"/>
  <c r="G17" i="91" s="1"/>
  <c r="G18"/>
  <c r="F19"/>
  <c r="E20"/>
  <c r="D21"/>
  <c r="C22"/>
  <c r="G22"/>
  <c r="F23"/>
  <c r="E24"/>
  <c r="D25"/>
  <c r="C26"/>
  <c r="G26"/>
  <c r="F27"/>
  <c r="E28"/>
  <c r="D29"/>
  <c r="F30" i="89"/>
  <c r="F30" i="91" s="1"/>
  <c r="F31"/>
  <c r="G9" i="93"/>
  <c r="F9"/>
  <c r="D10"/>
  <c r="G11"/>
  <c r="F11"/>
  <c r="D13"/>
  <c r="G14"/>
  <c r="F14"/>
  <c r="D17"/>
  <c r="G18"/>
  <c r="F18"/>
  <c r="D19"/>
  <c r="G21"/>
  <c r="F21"/>
  <c r="D22"/>
  <c r="G23"/>
  <c r="F23"/>
  <c r="D25"/>
  <c r="G26"/>
  <c r="F26"/>
  <c r="D27"/>
  <c r="G29"/>
  <c r="F29"/>
  <c r="D30"/>
  <c r="G31"/>
  <c r="F31"/>
  <c r="D33"/>
  <c r="G34"/>
  <c r="F34"/>
  <c r="D35"/>
  <c r="G37"/>
  <c r="F37"/>
  <c r="D38"/>
  <c r="G39"/>
  <c r="F39"/>
  <c r="E8" i="95"/>
  <c r="H9"/>
  <c r="G9"/>
  <c r="E10"/>
  <c r="H11"/>
  <c r="G11"/>
  <c r="E12"/>
  <c r="H13"/>
  <c r="G13"/>
  <c r="E14"/>
  <c r="H21"/>
  <c r="G21"/>
  <c r="E22"/>
  <c r="H23"/>
  <c r="G23"/>
  <c r="E24"/>
  <c r="H25"/>
  <c r="G25"/>
  <c r="E26"/>
  <c r="H27"/>
  <c r="G27"/>
  <c r="E33"/>
  <c r="H34"/>
  <c r="G34"/>
  <c r="E35"/>
  <c r="H36"/>
  <c r="G36"/>
  <c r="E37"/>
  <c r="H38"/>
  <c r="G38"/>
  <c r="E44"/>
  <c r="H45"/>
  <c r="G45"/>
  <c r="E46"/>
  <c r="H47"/>
  <c r="G47"/>
  <c r="E48"/>
  <c r="H49"/>
  <c r="G49"/>
  <c r="E50"/>
  <c r="L50"/>
  <c r="H8" i="101"/>
  <c r="L8"/>
  <c r="M8" s="1"/>
  <c r="D9" i="99"/>
  <c r="D9" i="101" s="1"/>
  <c r="F9"/>
  <c r="I9"/>
  <c r="J9"/>
  <c r="H10"/>
  <c r="L10"/>
  <c r="D11" i="99"/>
  <c r="D11" i="101" s="1"/>
  <c r="F11"/>
  <c r="J11"/>
  <c r="H12"/>
  <c r="G12"/>
  <c r="L12"/>
  <c r="M12" s="1"/>
  <c r="D13" i="99"/>
  <c r="D13" i="101" s="1"/>
  <c r="F13"/>
  <c r="J13"/>
  <c r="G14"/>
  <c r="H14"/>
  <c r="L14"/>
  <c r="D15" i="99"/>
  <c r="D15" i="101" s="1"/>
  <c r="F15"/>
  <c r="J15"/>
  <c r="H16"/>
  <c r="L16"/>
  <c r="D17" i="99"/>
  <c r="D17" i="101" s="1"/>
  <c r="E17" s="1"/>
  <c r="F17"/>
  <c r="I17"/>
  <c r="J17"/>
  <c r="H18"/>
  <c r="L18"/>
  <c r="F19"/>
  <c r="D19" i="99"/>
  <c r="D19" i="101" s="1"/>
  <c r="J19"/>
  <c r="K19" s="1"/>
  <c r="G20"/>
  <c r="H20"/>
  <c r="L20"/>
  <c r="D21" i="99"/>
  <c r="D21" i="101" s="1"/>
  <c r="E21" s="1"/>
  <c r="F21"/>
  <c r="J21"/>
  <c r="G22"/>
  <c r="H22"/>
  <c r="L22"/>
  <c r="D23" i="99"/>
  <c r="D23" i="101" s="1"/>
  <c r="F23"/>
  <c r="J23"/>
  <c r="K23" s="1"/>
  <c r="H24"/>
  <c r="L24"/>
  <c r="D25" i="99"/>
  <c r="D25" i="101" s="1"/>
  <c r="F25"/>
  <c r="J25"/>
  <c r="H26"/>
  <c r="L26"/>
  <c r="D27" i="99"/>
  <c r="D27" i="101" s="1"/>
  <c r="E27" s="1"/>
  <c r="F27"/>
  <c r="J27"/>
  <c r="H28"/>
  <c r="L28"/>
  <c r="M28" s="1"/>
  <c r="D29" i="99"/>
  <c r="D29" i="101" s="1"/>
  <c r="F29"/>
  <c r="J29"/>
  <c r="H30"/>
  <c r="L30"/>
  <c r="F31"/>
  <c r="D31" i="99"/>
  <c r="D31" i="101" s="1"/>
  <c r="J31"/>
  <c r="H32"/>
  <c r="L32"/>
  <c r="F33"/>
  <c r="D33" i="99"/>
  <c r="D33" i="101" s="1"/>
  <c r="E33" s="1"/>
  <c r="J33"/>
  <c r="G34"/>
  <c r="H34"/>
  <c r="L34"/>
  <c r="M34" s="1"/>
  <c r="D35" i="99"/>
  <c r="D35" i="101" s="1"/>
  <c r="F35"/>
  <c r="J35"/>
  <c r="G36"/>
  <c r="H36"/>
  <c r="L36"/>
  <c r="D37" i="99"/>
  <c r="D37" i="101" s="1"/>
  <c r="F37"/>
  <c r="J37"/>
  <c r="H38"/>
  <c r="L38"/>
  <c r="F39"/>
  <c r="G39" s="1"/>
  <c r="D39" i="99"/>
  <c r="D39" i="101" s="1"/>
  <c r="E39" s="1"/>
  <c r="J39"/>
  <c r="K39" s="1"/>
  <c r="E8" i="102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C9" i="91"/>
  <c r="G9"/>
  <c r="F10"/>
  <c r="E11"/>
  <c r="D12"/>
  <c r="C13"/>
  <c r="G13"/>
  <c r="F14"/>
  <c r="E15"/>
  <c r="D16"/>
  <c r="F17" i="89"/>
  <c r="F17" i="91" s="1"/>
  <c r="F18"/>
  <c r="E19"/>
  <c r="D20"/>
  <c r="C21"/>
  <c r="G21"/>
  <c r="F22"/>
  <c r="E23"/>
  <c r="D24"/>
  <c r="C25"/>
  <c r="G25"/>
  <c r="F26"/>
  <c r="E27"/>
  <c r="D28"/>
  <c r="C29"/>
  <c r="G29"/>
  <c r="E30" i="89"/>
  <c r="E30" i="91" s="1"/>
  <c r="E31"/>
  <c r="K9" i="93"/>
  <c r="M10"/>
  <c r="N10"/>
  <c r="K11"/>
  <c r="M13"/>
  <c r="N13"/>
  <c r="K14"/>
  <c r="M17"/>
  <c r="N17"/>
  <c r="K18"/>
  <c r="M19"/>
  <c r="N19"/>
  <c r="K21"/>
  <c r="M22"/>
  <c r="N22"/>
  <c r="K23"/>
  <c r="M25"/>
  <c r="N25"/>
  <c r="K26"/>
  <c r="M27"/>
  <c r="N27"/>
  <c r="K29"/>
  <c r="M30"/>
  <c r="N30"/>
  <c r="K31"/>
  <c r="M33"/>
  <c r="N33"/>
  <c r="K34"/>
  <c r="M35"/>
  <c r="N35"/>
  <c r="K37"/>
  <c r="M38"/>
  <c r="N38"/>
  <c r="K39"/>
  <c r="N8" i="95"/>
  <c r="O8"/>
  <c r="L9"/>
  <c r="N10"/>
  <c r="O10"/>
  <c r="L11"/>
  <c r="N12"/>
  <c r="O12"/>
  <c r="L13"/>
  <c r="N14"/>
  <c r="O14"/>
  <c r="L21"/>
  <c r="N22"/>
  <c r="O22"/>
  <c r="L23"/>
  <c r="N24"/>
  <c r="O24"/>
  <c r="L25"/>
  <c r="N26"/>
  <c r="O26"/>
  <c r="L27"/>
  <c r="N33"/>
  <c r="O33"/>
  <c r="L34"/>
  <c r="N35"/>
  <c r="O35"/>
  <c r="L36"/>
  <c r="N37"/>
  <c r="O37"/>
  <c r="L38"/>
  <c r="N44"/>
  <c r="O44"/>
  <c r="L45"/>
  <c r="N46"/>
  <c r="O46"/>
  <c r="L47"/>
  <c r="N48"/>
  <c r="O48"/>
  <c r="L49"/>
  <c r="E8" i="99"/>
  <c r="E10"/>
  <c r="E12"/>
  <c r="E14"/>
  <c r="E16"/>
  <c r="E18"/>
  <c r="E20"/>
  <c r="E22"/>
  <c r="E24"/>
  <c r="E26"/>
  <c r="E28"/>
  <c r="E30"/>
  <c r="E32"/>
  <c r="E34"/>
  <c r="E36"/>
  <c r="E38"/>
  <c r="F9" i="91"/>
  <c r="E10"/>
  <c r="D11"/>
  <c r="C12"/>
  <c r="G12"/>
  <c r="F13"/>
  <c r="E14"/>
  <c r="D15"/>
  <c r="C16"/>
  <c r="G16"/>
  <c r="E18"/>
  <c r="E17" i="89"/>
  <c r="E17" i="91" s="1"/>
  <c r="D19"/>
  <c r="C20"/>
  <c r="G20"/>
  <c r="F21"/>
  <c r="E22"/>
  <c r="D23"/>
  <c r="C24"/>
  <c r="G24"/>
  <c r="F25"/>
  <c r="E26"/>
  <c r="D27"/>
  <c r="C28"/>
  <c r="G28"/>
  <c r="F29"/>
  <c r="D31"/>
  <c r="D30" i="89"/>
  <c r="D30" i="91" s="1"/>
  <c r="D9" i="93"/>
  <c r="F10"/>
  <c r="G10"/>
  <c r="D11"/>
  <c r="F13"/>
  <c r="G13"/>
  <c r="D14"/>
  <c r="F17"/>
  <c r="G17"/>
  <c r="D18"/>
  <c r="F19"/>
  <c r="G19"/>
  <c r="D21"/>
  <c r="F22"/>
  <c r="G22"/>
  <c r="D23"/>
  <c r="F25"/>
  <c r="G25"/>
  <c r="D26"/>
  <c r="F27"/>
  <c r="G27"/>
  <c r="D29"/>
  <c r="F30"/>
  <c r="G30"/>
  <c r="D31"/>
  <c r="F33"/>
  <c r="G33"/>
  <c r="D34"/>
  <c r="F35"/>
  <c r="G35"/>
  <c r="D37"/>
  <c r="F38"/>
  <c r="G38"/>
  <c r="D39"/>
  <c r="G8" i="95"/>
  <c r="H8"/>
  <c r="E9"/>
  <c r="G10"/>
  <c r="H10"/>
  <c r="E11"/>
  <c r="G12"/>
  <c r="H12"/>
  <c r="E13"/>
  <c r="G14"/>
  <c r="H14"/>
  <c r="E21"/>
  <c r="G22"/>
  <c r="H22"/>
  <c r="E23"/>
  <c r="G24"/>
  <c r="H24"/>
  <c r="E25"/>
  <c r="G26"/>
  <c r="H26"/>
  <c r="E27"/>
  <c r="G33"/>
  <c r="H33"/>
  <c r="E34"/>
  <c r="G35"/>
  <c r="H35"/>
  <c r="E36"/>
  <c r="G37"/>
  <c r="H37"/>
  <c r="E38"/>
  <c r="G44"/>
  <c r="H44"/>
  <c r="E45"/>
  <c r="G46"/>
  <c r="H46"/>
  <c r="E47"/>
  <c r="G48"/>
  <c r="H48"/>
  <c r="E49"/>
  <c r="G50"/>
  <c r="N50"/>
  <c r="F8" i="101"/>
  <c r="D8" i="99"/>
  <c r="D8" i="101" s="1"/>
  <c r="J8"/>
  <c r="K8" s="1"/>
  <c r="G9"/>
  <c r="H9"/>
  <c r="L9"/>
  <c r="F10"/>
  <c r="D10" i="99"/>
  <c r="D10" i="101" s="1"/>
  <c r="E10" s="1"/>
  <c r="J10"/>
  <c r="H11"/>
  <c r="L11"/>
  <c r="F12"/>
  <c r="D12" i="99"/>
  <c r="D12" i="101" s="1"/>
  <c r="E12" s="1"/>
  <c r="I12"/>
  <c r="J12"/>
  <c r="H13"/>
  <c r="L13"/>
  <c r="F14"/>
  <c r="D14" i="99"/>
  <c r="D14" i="101" s="1"/>
  <c r="J14"/>
  <c r="I14"/>
  <c r="H15"/>
  <c r="L15"/>
  <c r="D16" i="99"/>
  <c r="D16" i="101" s="1"/>
  <c r="E16" s="1"/>
  <c r="F16"/>
  <c r="J16"/>
  <c r="K16" s="1"/>
  <c r="G17"/>
  <c r="H17"/>
  <c r="L17"/>
  <c r="F18"/>
  <c r="D18" i="99"/>
  <c r="D18" i="101" s="1"/>
  <c r="J18"/>
  <c r="K18" s="1"/>
  <c r="G19"/>
  <c r="H19"/>
  <c r="L19"/>
  <c r="F20"/>
  <c r="D20" i="99"/>
  <c r="D20" i="101" s="1"/>
  <c r="E20" s="1"/>
  <c r="J20"/>
  <c r="H21"/>
  <c r="L21"/>
  <c r="M21" s="1"/>
  <c r="D22" i="99"/>
  <c r="D22" i="101" s="1"/>
  <c r="E22" s="1"/>
  <c r="F22"/>
  <c r="J22"/>
  <c r="H23"/>
  <c r="L23"/>
  <c r="F24"/>
  <c r="D24" i="99"/>
  <c r="D24" i="101" s="1"/>
  <c r="J24"/>
  <c r="H25"/>
  <c r="L25"/>
  <c r="D26" i="99"/>
  <c r="D26" i="101" s="1"/>
  <c r="F26"/>
  <c r="G26" s="1"/>
  <c r="J26"/>
  <c r="K26" s="1"/>
  <c r="G27"/>
  <c r="H27"/>
  <c r="L27"/>
  <c r="M27" s="1"/>
  <c r="F28"/>
  <c r="D28" i="99"/>
  <c r="D28" i="101" s="1"/>
  <c r="J28"/>
  <c r="H29"/>
  <c r="L29"/>
  <c r="F30"/>
  <c r="D30" i="99"/>
  <c r="D30" i="101" s="1"/>
  <c r="J30"/>
  <c r="H31"/>
  <c r="L31"/>
  <c r="F32"/>
  <c r="D32" i="99"/>
  <c r="D32" i="101" s="1"/>
  <c r="E32" s="1"/>
  <c r="J32"/>
  <c r="G33"/>
  <c r="H33"/>
  <c r="L33"/>
  <c r="F34"/>
  <c r="D34" i="99"/>
  <c r="D34" i="101" s="1"/>
  <c r="J34"/>
  <c r="G35"/>
  <c r="H35"/>
  <c r="L35"/>
  <c r="F36"/>
  <c r="D36" i="99"/>
  <c r="D36" i="101" s="1"/>
  <c r="E36" s="1"/>
  <c r="J36"/>
  <c r="H37"/>
  <c r="G37"/>
  <c r="L37"/>
  <c r="M37" s="1"/>
  <c r="F38"/>
  <c r="D38" i="99"/>
  <c r="D38" i="101" s="1"/>
  <c r="J38"/>
  <c r="K38" s="1"/>
  <c r="H39"/>
  <c r="I39" s="1"/>
  <c r="L39"/>
  <c r="M39" s="1"/>
  <c r="I8" i="102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F31" i="51"/>
  <c r="F44"/>
  <c r="D44"/>
  <c r="D57"/>
  <c r="D56" i="53"/>
  <c r="H56"/>
  <c r="E13" i="57"/>
  <c r="F59" i="59"/>
  <c r="E59"/>
  <c r="F33"/>
  <c r="E33"/>
  <c r="E14" i="55"/>
  <c r="F43" i="64"/>
  <c r="D56"/>
  <c r="H56"/>
  <c r="G30"/>
  <c r="E43"/>
  <c r="J43"/>
  <c r="E19" i="85"/>
  <c r="E26"/>
  <c r="E12" i="87"/>
  <c r="J14"/>
  <c r="E27"/>
  <c r="F7" i="101"/>
  <c r="H7" s="1"/>
  <c r="J7" s="1"/>
  <c r="L7" s="1"/>
  <c r="H36" i="102"/>
  <c r="D36"/>
  <c r="H7"/>
  <c r="K25" i="101" l="1"/>
  <c r="K15"/>
  <c r="I23"/>
  <c r="I13"/>
  <c r="G25"/>
  <c r="I31"/>
  <c r="G28"/>
  <c r="I25"/>
  <c r="M17"/>
  <c r="M13"/>
  <c r="G8"/>
  <c r="E35"/>
  <c r="M22"/>
  <c r="M18"/>
  <c r="E9"/>
  <c r="E38"/>
  <c r="E34"/>
  <c r="G30"/>
  <c r="E28"/>
  <c r="M25"/>
  <c r="G24"/>
  <c r="G18"/>
  <c r="I15"/>
  <c r="I11"/>
  <c r="M9"/>
  <c r="E8"/>
  <c r="I38"/>
  <c r="M36"/>
  <c r="M32"/>
  <c r="G31"/>
  <c r="G29"/>
  <c r="K27"/>
  <c r="I26"/>
  <c r="E23"/>
  <c r="K21"/>
  <c r="I16"/>
  <c r="M14"/>
  <c r="G13"/>
  <c r="M10"/>
  <c r="T56" i="27"/>
  <c r="T57"/>
  <c r="AT47"/>
  <c r="T44"/>
  <c r="T36"/>
  <c r="AT31"/>
  <c r="T28"/>
  <c r="AT23"/>
  <c r="T20"/>
  <c r="AT52"/>
  <c r="T51"/>
  <c r="T47"/>
  <c r="AT42"/>
  <c r="T39"/>
  <c r="AT34"/>
  <c r="T31"/>
  <c r="AT26"/>
  <c r="T23"/>
  <c r="T15"/>
  <c r="AT54"/>
  <c r="AT10"/>
  <c r="AT9"/>
  <c r="AT7"/>
  <c r="F252" i="26"/>
  <c r="F108"/>
  <c r="AT13" i="27"/>
  <c r="AT8"/>
  <c r="F216" i="26"/>
  <c r="F72"/>
  <c r="H35" i="15"/>
  <c r="AT18" i="27"/>
  <c r="AT19"/>
  <c r="T19"/>
  <c r="T18"/>
  <c r="I29" i="101"/>
  <c r="I30"/>
  <c r="G11"/>
  <c r="G38"/>
  <c r="M29"/>
  <c r="M23"/>
  <c r="G16"/>
  <c r="I36"/>
  <c r="E29"/>
  <c r="I24"/>
  <c r="G21"/>
  <c r="E13"/>
  <c r="I10"/>
  <c r="I33"/>
  <c r="G32"/>
  <c r="E30"/>
  <c r="E26"/>
  <c r="E24"/>
  <c r="I21"/>
  <c r="M19"/>
  <c r="E18"/>
  <c r="M15"/>
  <c r="E14"/>
  <c r="M11"/>
  <c r="G10"/>
  <c r="M38"/>
  <c r="E37"/>
  <c r="K35"/>
  <c r="I34"/>
  <c r="E31"/>
  <c r="I28"/>
  <c r="M26"/>
  <c r="E25"/>
  <c r="G23"/>
  <c r="M20"/>
  <c r="E19"/>
  <c r="M16"/>
  <c r="E15"/>
  <c r="E11"/>
  <c r="I8"/>
  <c r="AT57" i="27"/>
  <c r="T54"/>
  <c r="T50"/>
  <c r="AT45"/>
  <c r="T42"/>
  <c r="AT37"/>
  <c r="T52"/>
  <c r="AT51"/>
  <c r="AT48"/>
  <c r="T45"/>
  <c r="AT40"/>
  <c r="T37"/>
  <c r="AT32"/>
  <c r="T29"/>
  <c r="AT24"/>
  <c r="T21"/>
  <c r="AT16"/>
  <c r="T13"/>
  <c r="AT56"/>
  <c r="T14"/>
  <c r="T8"/>
  <c r="AT17"/>
  <c r="T12"/>
  <c r="AT15"/>
  <c r="F162" i="26"/>
  <c r="F18"/>
  <c r="T10" i="27"/>
  <c r="F288" i="26"/>
  <c r="E13" i="9"/>
  <c r="E27" i="29"/>
  <c r="F27" i="28"/>
  <c r="G27"/>
  <c r="F14"/>
  <c r="E14" i="29"/>
  <c r="G14" i="28"/>
  <c r="I18" i="101"/>
  <c r="AT55" i="27"/>
  <c r="AT46"/>
  <c r="T35"/>
  <c r="AT30"/>
  <c r="T27"/>
  <c r="AT22"/>
  <c r="AT14"/>
  <c r="AT11"/>
  <c r="F144" i="26"/>
  <c r="F25" i="9"/>
  <c r="G13"/>
  <c r="G15" i="101"/>
  <c r="AT53" i="27"/>
  <c r="AT36"/>
  <c r="T33"/>
  <c r="AT28"/>
  <c r="T25"/>
  <c r="AT20"/>
  <c r="T17"/>
  <c r="AT12"/>
  <c r="T53"/>
  <c r="T11"/>
  <c r="T9"/>
  <c r="F234" i="26"/>
  <c r="F90"/>
  <c r="T16" i="27"/>
</calcChain>
</file>

<file path=xl/comments1.xml><?xml version="1.0" encoding="utf-8"?>
<comments xmlns="http://schemas.openxmlformats.org/spreadsheetml/2006/main">
  <authors>
    <author>silvia</author>
  </authors>
  <commentList>
    <comment ref="E15" authorId="0">
      <text>
        <r>
          <rPr>
            <sz val="8"/>
            <color indexed="81"/>
            <rFont val="Tahoma"/>
            <family val="2"/>
          </rPr>
          <t>Los datos relativos a estas plazas son una estimación y no debe ser tomados como cifra de plazas autorizadas</t>
        </r>
      </text>
    </comment>
  </commentList>
</comments>
</file>

<file path=xl/comments2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<sst xmlns="http://schemas.openxmlformats.org/spreadsheetml/2006/main" count="3741" uniqueCount="493">
  <si>
    <t>TURISMO EN CIFRAS SANTA CRUZ</t>
  </si>
  <si>
    <t xml:space="preserve">Turismo alojado </t>
  </si>
  <si>
    <t xml:space="preserve">Pernoctaciones </t>
  </si>
  <si>
    <t>Índice de ocupación</t>
  </si>
  <si>
    <t xml:space="preserve">Estancias medias </t>
  </si>
  <si>
    <t>Municipios turísticos</t>
  </si>
  <si>
    <t>Plazas alojativas estimadas</t>
  </si>
  <si>
    <t>Plazas alojativas autorizadas</t>
  </si>
  <si>
    <t xml:space="preserve">Turismo de Tenerife </t>
  </si>
  <si>
    <t>Turismo alojado en establecimientos hoteleros y extrahoteleros</t>
  </si>
  <si>
    <t>Tablas</t>
  </si>
  <si>
    <t>Tipología de establecimiento</t>
  </si>
  <si>
    <t>Zonas turísticas y tipología de establecimiento</t>
  </si>
  <si>
    <t>Tipología y categoría de los establecimientos</t>
  </si>
  <si>
    <t>Nacionalidades</t>
  </si>
  <si>
    <t>Evolución anual y mensual de alojados</t>
  </si>
  <si>
    <t>Temporada</t>
  </si>
  <si>
    <t>Gráficas</t>
  </si>
  <si>
    <t>Evolución mensual de turistas alojados</t>
  </si>
  <si>
    <t>Series anuales</t>
  </si>
  <si>
    <t>Evolución anual del turismo alojados</t>
  </si>
  <si>
    <t>Variación interanual</t>
  </si>
  <si>
    <t>Evolución anual del turismo alojado</t>
  </si>
  <si>
    <t>Turistas alojados por tipología de establecimiento</t>
  </si>
  <si>
    <t xml:space="preserve">Evolución mensual 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</si>
  <si>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</si>
  <si>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</si>
  <si>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</si>
  <si>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</si>
  <si>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</si>
  <si>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</si>
  <si>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</si>
  <si>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-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</si>
  <si>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</si>
  <si>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</si>
  <si>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</si>
  <si>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</si>
  <si>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 xml:space="preserve"> TOTAL GENERAL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</si>
  <si>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</si>
  <si>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</si>
  <si>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</si>
  <si>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</si>
  <si>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</si>
  <si>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</si>
  <si>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</si>
  <si>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</si>
  <si>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</si>
  <si>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</si>
  <si>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</si>
  <si>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</si>
  <si>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</si>
  <si>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
ELABORACIÓN: Turismo de Tenerife.</t>
  </si>
  <si>
    <t>Tabla</t>
  </si>
  <si>
    <t>TURISTAS  ALOJADOS EN SANTA CRUZ POR TIPOLOGÍA DE ESTABLECIMIENTO
VARIACIONES INTERANUALES</t>
  </si>
  <si>
    <t xml:space="preserve">Hotelero </t>
  </si>
  <si>
    <t>acumulado julio 2010</t>
  </si>
  <si>
    <t>TURISTAS ALOJADOS EN SANTA CRUZ SEGÚN TIPOLOGÍA DEL ESTABLECIMIENTO</t>
  </si>
  <si>
    <t xml:space="preserve"> HOTELERO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</si>
  <si>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</si>
  <si>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</si>
  <si>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</si>
  <si>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</si>
  <si>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</si>
  <si>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</si>
  <si>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</si>
  <si>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</si>
  <si>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</si>
  <si>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</si>
  <si>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</si>
  <si>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</si>
  <si>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</si>
  <si>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</si>
  <si>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</si>
  <si>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</si>
  <si>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</si>
  <si>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</si>
  <si>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</si>
  <si>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</si>
  <si>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</si>
  <si>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</si>
  <si>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</si>
  <si>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Zonas turisticas y tipología de establecimiento</t>
  </si>
  <si>
    <t>Alojados por zonas y tipología de establecimiento</t>
  </si>
  <si>
    <t>Evolución mensual por zonas</t>
  </si>
  <si>
    <t>Evolución mensual por zonas y  tipología</t>
  </si>
  <si>
    <t>Distribución por zona y tipología</t>
  </si>
  <si>
    <t>TURISMO ALOJADO POR ZONAS TURÍSTICAS Y TIPOLOGÍA DE ESTABLECIMIENTO</t>
  </si>
  <si>
    <t>ZONAS</t>
  </si>
  <si>
    <t>TOTAL TENERIFE</t>
  </si>
  <si>
    <t>SANTA CRUZ</t>
  </si>
  <si>
    <t xml:space="preserve">FUENTE: STDE Cabildo Insular de Tenerife. ELABORACIÓN: Turismo de Tenerife </t>
  </si>
  <si>
    <t xml:space="preserve">TURISTAS ALOJADOS EN TENERIFE POR ZONAS Y TIPOLOGÍA </t>
  </si>
  <si>
    <t>TOTAL</t>
  </si>
  <si>
    <t xml:space="preserve">Hotel </t>
  </si>
  <si>
    <t>Extrahotelero</t>
  </si>
  <si>
    <t xml:space="preserve"> Hotel</t>
  </si>
  <si>
    <t xml:space="preserve">VARIACIONES INTERANUALES DE LOS TURISTAS ALOJADOS EN TENERIFE POR ZONAS Y TIPOLOGÍA </t>
  </si>
  <si>
    <t>TURISTAS  ALOJADOS EN SANTA CRUZ</t>
  </si>
  <si>
    <t>Var. 08/07</t>
  </si>
  <si>
    <t>Var. 09/08</t>
  </si>
  <si>
    <t>Var. 10/09</t>
  </si>
  <si>
    <t>Total general</t>
  </si>
  <si>
    <t>TURISTAS  ALOJADOS EN TENERIFE</t>
  </si>
  <si>
    <t>2009/2008</t>
  </si>
  <si>
    <t>2010/2009</t>
  </si>
  <si>
    <t>Total</t>
  </si>
  <si>
    <t>var. interanual hotelero</t>
  </si>
  <si>
    <t>Var. inter. extrahotelero</t>
  </si>
  <si>
    <t>Var. inter. total</t>
  </si>
  <si>
    <t>Tipología y categoía de establecimiento</t>
  </si>
  <si>
    <t xml:space="preserve">Distribución por categoría 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</si>
  <si>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</si>
  <si>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</si>
  <si>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</si>
  <si>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</si>
  <si>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</si>
  <si>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Extrahoteleros</t>
  </si>
  <si>
    <t>Gráfica 1</t>
  </si>
  <si>
    <t>Gráfica 2</t>
  </si>
  <si>
    <t xml:space="preserve">VARIACIÓN INTERANUAL DEL TURISMO ALOJADO EN SANTA CRUZ POR CATEGORÍA 
VARIACIONES INTERANUALES </t>
  </si>
  <si>
    <t xml:space="preserve"> TOTAL HOTELERO</t>
  </si>
  <si>
    <t xml:space="preserve">TURISTAS ALOJADOS EN SANTA CRUZ POR CATEGORÍA </t>
  </si>
  <si>
    <t>MES</t>
  </si>
  <si>
    <t>Nacionalidad</t>
  </si>
  <si>
    <t>Alojados por nacionalidad</t>
  </si>
  <si>
    <t>Cuota sobre el total de alojados</t>
  </si>
  <si>
    <t>Distribución por nacionalidades</t>
  </si>
  <si>
    <t>Turistas alojados por nacionalidad</t>
  </si>
  <si>
    <t>Evolución mensual por nacionalidades</t>
  </si>
  <si>
    <t>Evolución mensual de cada emisor</t>
  </si>
  <si>
    <t>Distribución por nacionalidad</t>
  </si>
  <si>
    <t>Distribución por nacionalidad y categoría hotelera</t>
  </si>
  <si>
    <t>Alojados por categoría y tipología de establecimiento</t>
  </si>
  <si>
    <t>Distribución por nacionalidad según categoría y tipología de establecimiento</t>
  </si>
  <si>
    <t>EVOLUCIÓN MENSUAL DEL TURISMO ALOJADO EN SANTA CRUZ</t>
  </si>
  <si>
    <t>EVOLUCIÓN MENSUAL DE LOS TURISTAS ALOJADOS EN SANTA CRUZ
TOTAL TURISTAS</t>
  </si>
  <si>
    <t>var. 09/08</t>
  </si>
  <si>
    <t>var. 10/09</t>
  </si>
  <si>
    <t>FUENTE: STDE del Cabildo Insular de Tenerife. 
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</si>
  <si>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</si>
  <si>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</si>
  <si>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</si>
  <si>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</si>
  <si>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</si>
  <si>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</si>
  <si>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</si>
  <si>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</si>
  <si>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</si>
  <si>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</si>
  <si>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</si>
  <si>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</si>
  <si>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</si>
  <si>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</si>
  <si>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</si>
  <si>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</si>
  <si>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</si>
  <si>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</si>
  <si>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</si>
  <si>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</si>
  <si>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</si>
  <si>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</si>
  <si>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</si>
  <si>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</si>
  <si>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</si>
  <si>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</si>
  <si>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</si>
  <si>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</si>
  <si>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</si>
  <si>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</si>
  <si>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</si>
  <si>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</si>
  <si>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</si>
  <si>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</si>
  <si>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</si>
  <si>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</si>
  <si>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</si>
  <si>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</si>
  <si>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</si>
  <si>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</si>
  <si>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</si>
  <si>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>cuota I semestre 2010</t>
  </si>
  <si>
    <t>FUENTE: STDE Cabildo Insular de Tenerife.
ELABORACIÓN: Turismo de Tenerife</t>
  </si>
  <si>
    <t>DISTRIBUCIÓN DEL TURISMO ALOJADO EN ESTABLECIMIENTOS TURÍSTICOS DE SANTA CRUZ SEGÚN NACIONALIDAD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</si>
  <si>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</si>
  <si>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</si>
  <si>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</si>
  <si>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TOTAL HOTELERO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</si>
  <si>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</si>
  <si>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</si>
  <si>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</si>
  <si>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</si>
  <si>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</si>
  <si>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</si>
  <si>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</si>
  <si>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 xml:space="preserve">CUOTA POR NACIONALIDAD DE TURISTAS ALOJADOS EN ESTABLECIMIENTOS TURÍSTICOS DE SANTA CRUZ SOBRE TOTAL DE ALOJADOS </t>
  </si>
  <si>
    <t xml:space="preserve">EVOLUCIÓN MENSUAL DE TURISTAS  ALOJADOS EN SANTA CRUZ </t>
  </si>
  <si>
    <t>alojados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</si>
  <si>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</si>
  <si>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</si>
  <si>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</si>
  <si>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</si>
  <si>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</si>
  <si>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</si>
  <si>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</si>
  <si>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</si>
  <si>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</si>
  <si>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</si>
  <si>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</si>
  <si>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</si>
  <si>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</si>
  <si>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</si>
  <si>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</si>
  <si>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</si>
  <si>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Pernoctaciones</t>
  </si>
  <si>
    <t>Evolución anual y mensual de Pernoctaciones</t>
  </si>
  <si>
    <t>Evolución anual por zona turística y tipología de establecimiento</t>
  </si>
  <si>
    <t>Variación interanual por zona turística y tipología de establecimiento</t>
  </si>
  <si>
    <t>Evolución anual por tipología y categoría de los establecimientos</t>
  </si>
  <si>
    <t>Variación interanual por  tipología y categoría de establecimiento</t>
  </si>
  <si>
    <t>Zona turística y tipología de establecimiento</t>
  </si>
  <si>
    <t>Tipología de los establecimientos y zona turística</t>
  </si>
  <si>
    <t>Zona turística y tipología alojativa</t>
  </si>
  <si>
    <t>Tipología y categoría alojativa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</si>
  <si>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</si>
  <si>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</si>
  <si>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</si>
  <si>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1*</t>
  </si>
  <si>
    <t>2*</t>
  </si>
  <si>
    <t>3*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</si>
  <si>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</si>
  <si>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</si>
  <si>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</si>
  <si>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</si>
  <si>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</si>
  <si>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</si>
  <si>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</si>
  <si>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</si>
  <si>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</si>
  <si>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</si>
  <si>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</si>
  <si>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</si>
  <si>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</si>
  <si>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>CATEGORÍA EXTRAHOTELERA</t>
  </si>
  <si>
    <t>Extrahotelera</t>
  </si>
  <si>
    <t>EVOLUCIÓN  DE PERNOCTACIONES EN SANTA CRUZ</t>
  </si>
  <si>
    <t>pernoctaciones</t>
  </si>
  <si>
    <t>Evolución anual y mensual de los índices de ocupación</t>
  </si>
  <si>
    <t>Variación interanual por tipología y categoría de los establecimientos</t>
  </si>
  <si>
    <t>Evolución mensual de los índices de ocupación</t>
  </si>
  <si>
    <t>Turismo de Tenerife</t>
  </si>
  <si>
    <t>INDICE DE OCUPACIÓN SEGÚN ZONAS Y TIPOLOGÍA  (%)</t>
  </si>
  <si>
    <t>VARIACIÓN INTERANUAL DE INDICE DE OCUPACIÓN SEGÚN ZONAS Y TIPOLOGÍA  (%)</t>
  </si>
  <si>
    <t>INDICE DE OCUPACIÓN EN LOS ESTABLECIMIENTOS ALOJATIVOS DE SANTA CRUZ POR CATEGORÍA (%)</t>
  </si>
  <si>
    <t xml:space="preserve">1* </t>
  </si>
  <si>
    <t xml:space="preserve"> 4 * y 5 *</t>
  </si>
  <si>
    <t>VARIACIÓN INTERANUAL DE INDICE DE OCUPACIÓN EN LOS ESTABLECIMIENTOS ALOJATIVOS DE SANTA CRUZ POR CATEGORÍA (%)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</si>
  <si>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</si>
  <si>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</si>
  <si>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</si>
  <si>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</si>
  <si>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</si>
  <si>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</si>
  <si>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</si>
  <si>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TENERIFE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</si>
  <si>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</si>
  <si>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</si>
  <si>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</si>
  <si>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>Estancia media</t>
  </si>
  <si>
    <t>Evolución anual y mensual de las estancias medias</t>
  </si>
  <si>
    <t>Evolución mensual de las estancias medias</t>
  </si>
  <si>
    <t xml:space="preserve">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</si>
  <si>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</si>
  <si>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</si>
  <si>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</si>
  <si>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</si>
  <si>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</si>
  <si>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</si>
  <si>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</si>
  <si>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</si>
  <si>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STDE Cabildo Insular de Tenerife.  ELABORACIÓN: Turismo de Tenerife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</si>
  <si>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</si>
  <si>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</si>
  <si>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</si>
  <si>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Municipios turísticos (comparativa)</t>
  </si>
  <si>
    <t>Alojados por municipio y tipología</t>
  </si>
  <si>
    <t>Alojados por municipio y categoría</t>
  </si>
  <si>
    <t>Pernoctaciones por municipio y tipología</t>
  </si>
  <si>
    <t>Pernoctaciones por municipio y categoría</t>
  </si>
  <si>
    <t>Indices de ocupación por municipio y tipología</t>
  </si>
  <si>
    <t>Indices de ocupación por municipio y categoría</t>
  </si>
  <si>
    <t>Estancia media por municipio y tipología</t>
  </si>
  <si>
    <t>Estancia media por municipio y categoría</t>
  </si>
  <si>
    <t>Alojados por nacionalidad y municipio</t>
  </si>
  <si>
    <t>Evolución de turistas alojados por nacionalidad y municipio</t>
  </si>
  <si>
    <t>Distribución por nacionalidad según municipio</t>
  </si>
  <si>
    <t>ALOJADOS POR MUNICIPIO TURÍSTICO Y TIPOLOGÍA DE ESTABLECIMIENTO</t>
  </si>
  <si>
    <t>I semestre 2009</t>
  </si>
  <si>
    <t xml:space="preserve">I semestre 2010 </t>
  </si>
  <si>
    <t>Alojados Totales</t>
  </si>
  <si>
    <t>Alojados Hoteleros</t>
  </si>
  <si>
    <t>Alojados Extrahoteleros</t>
  </si>
  <si>
    <t>ADEJE</t>
  </si>
  <si>
    <t>ARONA</t>
  </si>
  <si>
    <t>PUERTO DE LA CRUZ</t>
  </si>
  <si>
    <t>TURISMO ALOJADO EN ADEJE SEGÚN TIPOLOGÍA Y CATEGORÍA DE ESTABLECIMIENTO</t>
  </si>
  <si>
    <t>TURISMO ALOJADO EN ARONA SEGÚN TIPOLOGÍA Y CATEGORÍA DE ESTABLECIMIENTO</t>
  </si>
  <si>
    <t>5*</t>
  </si>
  <si>
    <t>4*</t>
  </si>
  <si>
    <t>1* y 2*</t>
  </si>
  <si>
    <t>TURISMO ALOJADO EN PUERTO DE LA CRUZ SEGÚN TIPOLOGÍA Y CATEGORÍA DE ESTABLECIMIENTO</t>
  </si>
  <si>
    <t>TURISMO ALOJADO EN SANTA CRUZ SEGÚN TIPOLOGÍA Y CATEGORÍA DE ESTABLECIMIENTO</t>
  </si>
  <si>
    <t>PERNOCTACIONES POR MUNICIPIO TURÍSTICO Y TIPOLOGÍA DE ESTABLECIMIENTO</t>
  </si>
  <si>
    <t>PERNOCTACIONES EN ADEJE SEGÚN TIPOLOGÍA Y CATEGORÍA DE ESTABLECIMIENTO</t>
  </si>
  <si>
    <t>PERNOCTACIONES EN ARONA SEGÚN TIPOLOGÍA Y CATEGORÍA DE ESTABLECIMIENTO</t>
  </si>
  <si>
    <t>Total Pernoctaciones</t>
  </si>
  <si>
    <t>PERNOCTACIONES EN PUERTO DE LA CRUZ SEGÚN TIPOLOGÍA Y CATEGORÍA DE ESTABLECIMIENTO</t>
  </si>
  <si>
    <t>ÍNDICES DE OCUPACIÓN POR MUNICIPIO TURÍSTICO Y TIPOLOGÍA DE ESTABLECIMIENTO (%)</t>
  </si>
  <si>
    <t>INDICES DE OCUPACIÓN EN ALOJAMIENTO DE ADEJE SEGÚN TIPOLOGÍA Y CATEGORÍA DE ESTABLECIMIENTO</t>
  </si>
  <si>
    <t>INDICES DE OCUPACIÓN EN ALOJAMIENTO DE ARONA SEGÚN TIPOLOGÍA Y CATEGORÍA DE ESTABLECIMIENTO</t>
  </si>
  <si>
    <t>Indice de ocupación total</t>
  </si>
  <si>
    <t>INDICES DE OCUPACIÓN EN ALOJAMIENTO DE PUERTO DE LA CRUZ SEGÚN TIPOLOGÍA Y CATEGORÍA DE ESTABLECIMIENTO</t>
  </si>
  <si>
    <t>INDICES DE OCUPACIÓN EN ALOJAMIENTO DE SANTA CRUZ SEGÚN TIPOLOGÍA Y CATEGORÍA DE ESTABLECIMIENTO</t>
  </si>
  <si>
    <t>ESTANCIAS MEDIAS POR MUNICIPIO TURÍSTICO Y TIPOLOGÍA DE ESTABLECIMIENTO</t>
  </si>
  <si>
    <t>ESTANCIA MEDIA DE LOS TURISTAS ALOJADOS EN ADEJE SEGÚN TIPOLOGÍA Y CATEGORÍA DE ESTABLECIMIENTO</t>
  </si>
  <si>
    <t>ESTANCIA MEDIA DE LOS TURISTAS ALOJADOS EN  ARONA SEGÚN TIPOLOGÍA Y CATEGORÍA DE ESTABLECIMIENTO</t>
  </si>
  <si>
    <t>Estancia media total</t>
  </si>
  <si>
    <t>ESTANCIA MEDIA DE LOS TURISTAS ALOJADOS EN  PUERTO DE LA CRUZ SEGÚN TIPOLOGÍA Y CATEGORÍA DE ESTABLECIMIENTO</t>
  </si>
  <si>
    <t>ESTANCIA MEDIA DE LOS TURISTAS ALOJADOS EN  SANTA CRUZ SEGÚN TIPOLOGÍA Y CATEGORÍA DE ESTABLECIMIENTO</t>
  </si>
  <si>
    <t>TURISTAS ALOJADOS POR NACIONALIDADES SEGÚN MUNICIPIO TURÍSTICO</t>
  </si>
  <si>
    <t xml:space="preserve">ADEJE </t>
  </si>
  <si>
    <t>Total turismo extranjero</t>
  </si>
  <si>
    <t>EVOLUCIÓN DEL NÚMERO TURISTAS ALOJADOS POR NACIONALIDADES SEGÚN MUNICIPIO TURÍSTICO</t>
  </si>
  <si>
    <t>DISTRIBUCIÓN DE TURISTAS ALOJADOS POR NACIONALIDADES SEGÚN ZONAS TURÍSTICAS</t>
  </si>
  <si>
    <t xml:space="preserve">FUENTE: STDE Cabildo Insular de Tenerife. 
ELABORACIÓN: Turismo de Tenerife </t>
  </si>
  <si>
    <t>Oferta alojativa estimada</t>
  </si>
  <si>
    <t>Tipología y categoría de establecimiento</t>
  </si>
  <si>
    <t>PLAZAS ALOJATIVAS ESTIMADAS SEGÚN ZONAS TURÍSTICAS Y TIPOLOGÍAS (*)</t>
  </si>
  <si>
    <t>%/s total zona</t>
  </si>
  <si>
    <t>I semestre 2010</t>
  </si>
  <si>
    <t>II semestre 2009</t>
  </si>
  <si>
    <t>II semestre 2010</t>
  </si>
  <si>
    <t>TOTAL ZONAS</t>
  </si>
  <si>
    <t>Total plazas</t>
  </si>
  <si>
    <t>Hoteleras</t>
  </si>
  <si>
    <t>Extrahoteleras</t>
  </si>
  <si>
    <t>ZONA 1</t>
  </si>
  <si>
    <t>ZONA 2</t>
  </si>
  <si>
    <t>ZONA 3</t>
  </si>
  <si>
    <t>ZONA 4</t>
  </si>
  <si>
    <t>*Los Datos relativos a plazas son una estimación y no debe ser tomada como cifra de plazas autorizadas.
ZONA 1: S/C de Tenerife. ZONA 2: La Laguna, Bajamar, Punta del Hidalgo, Tacoronte
ZONA 3: Puerto de La Cruz y Resto del Norte. ZONA 4: Sur
FUENTE: STDE Cabildo Insular de Tenerife. ELABORACIÓN: Turismo de Tenerife</t>
  </si>
  <si>
    <t>PLAZAS ALOJATIVAS ESTIMADAS EN ADEJE SEGÚN TIPOLOGÍA Y CATEGORÍA (*)</t>
  </si>
  <si>
    <t>PLAZAS ALOJATIVAS ESTIMADAS  EN ADEJE SEGÚN TIPOLOGÍA Y CATEGORÍA (*)</t>
  </si>
  <si>
    <t>TOTAL PLAZAS</t>
  </si>
  <si>
    <t>HOTELERAS</t>
  </si>
  <si>
    <t>5 estrellas</t>
  </si>
  <si>
    <t>4 estrellas</t>
  </si>
  <si>
    <t>3 estrellas</t>
  </si>
  <si>
    <t>1 Y 2 estrellas</t>
  </si>
  <si>
    <t>EXTRAHOTELERAS</t>
  </si>
  <si>
    <t>*Los Datos relativos a plazas son una estimación y no debe ser tomada como cifra de plazas autorizadas.
FUENTE: STDE Cabildo Insular de Tenerife. ELABORACIÓN: Turismo de Tenerife</t>
  </si>
  <si>
    <t>PLAZAS ALOJATIVAS ESTIMADAS EN ARONA SEGÚN TIPOLOGÍA Y CATEGORÍA (*)</t>
  </si>
  <si>
    <t>PLAZAS ALOJATIVAS ESTIMADAS  EN ARONA SEGÚN TIPOLOGÍA Y CATEGORÍA (*)</t>
  </si>
  <si>
    <t>PLAZAS ALOJATIVAS ESTIMADAS EN PUERTO DE LA CRUZ SEGÚN TIPOLOGÍA Y CATEGORÍA (*)</t>
  </si>
  <si>
    <t>4 y 5 estrellas</t>
  </si>
  <si>
    <t>PLAZAS ALOJATIVAS ESTIMADAS EN SANTA CRUZ SEGÚN TIPOLOGÍA Y CATEGORÍA (*)</t>
  </si>
  <si>
    <t>2 estrellas</t>
  </si>
  <si>
    <t>1 estrella</t>
  </si>
  <si>
    <t>Tipología del establecimiento - municipios</t>
  </si>
  <si>
    <t xml:space="preserve">Distribución por tipología de establecimiento - municipios </t>
  </si>
  <si>
    <t>Distribución según tipología y categoría alojativa</t>
  </si>
  <si>
    <t>Distribución según tipología alojativa</t>
  </si>
  <si>
    <t>PLAZAS TURISTICAS AUTORIZADAS* SEGÚN TIPOLOGÍA DEL ESTABLECIMIENTO.
Municipios e Isla</t>
  </si>
  <si>
    <t>julio 2010</t>
  </si>
  <si>
    <t>Municipio</t>
  </si>
  <si>
    <t>HOTELEROS</t>
  </si>
  <si>
    <t>APARTEMENTOS</t>
  </si>
  <si>
    <t>HOTELES RURALES</t>
  </si>
  <si>
    <t>CASAS RURALES</t>
  </si>
  <si>
    <t>Autorizadas</t>
  </si>
  <si>
    <t>Tramite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</si>
  <si>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</si>
  <si>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</si>
  <si>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</si>
  <si>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</si>
  <si>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</si>
  <si>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</si>
  <si>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</si>
  <si>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GUANCHA (LA)</t>
  </si>
  <si>
    <t>GUIA DE ISORA</t>
  </si>
  <si>
    <t>GUIMAR</t>
  </si>
  <si>
    <t>ICOD DE LOS VINOS</t>
  </si>
  <si>
    <t>LAGUNA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</si>
  <si>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</si>
  <si>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</si>
  <si>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</si>
  <si>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</si>
  <si>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</si>
  <si>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</si>
  <si>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</si>
  <si>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</si>
  <si>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</si>
  <si>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</si>
  <si>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</si>
  <si>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</si>
  <si>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</si>
  <si>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</si>
  <si>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</si>
  <si>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</si>
  <si>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Tenerife</t>
  </si>
  <si>
    <t xml:space="preserve">FUENTE: Policía Turística. Cabildo Insular de Tenerife. ELABORACIÓN: Turismo de Tenerife </t>
  </si>
  <si>
    <t>PLAZAS TURÍSTICAS AUTORIZADAS* SEGÚN TIPOLOGÍA  DEL ESTABLECIMIENTO. 
Distribución por Municipios</t>
  </si>
  <si>
    <t>Total Plazas</t>
  </si>
  <si>
    <t>Hoteleros</t>
  </si>
  <si>
    <t>Apartamentos</t>
  </si>
  <si>
    <t>Hoteles Rurales</t>
  </si>
  <si>
    <t>Casas Rurales</t>
  </si>
  <si>
    <t>cuota s/total insular</t>
  </si>
  <si>
    <t>Adeje</t>
  </si>
  <si>
    <t>Arafo</t>
  </si>
  <si>
    <t>Arico</t>
  </si>
  <si>
    <t>Arona</t>
  </si>
  <si>
    <t>Buenavista del Norte</t>
  </si>
  <si>
    <t>Candelaria</t>
  </si>
  <si>
    <t>Fasnia</t>
  </si>
  <si>
    <t>Garachico</t>
  </si>
  <si>
    <t>Granadilla de Abona</t>
  </si>
  <si>
    <t>Guancha (La)</t>
  </si>
  <si>
    <t>Guía de Isora</t>
  </si>
  <si>
    <t>Güímar</t>
  </si>
  <si>
    <t>Icod de los Vinos</t>
  </si>
  <si>
    <t>Laguna (La)</t>
  </si>
  <si>
    <t>Matanza de Acentejo (La)</t>
  </si>
  <si>
    <t>Orotava (La)</t>
  </si>
  <si>
    <t>Puerto de la Cruz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</si>
  <si>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</si>
  <si>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</si>
  <si>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</si>
  <si>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</si>
  <si>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</si>
  <si>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</si>
  <si>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</si>
  <si>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</si>
  <si>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</si>
  <si>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</si>
  <si>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</si>
  <si>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</si>
  <si>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</si>
  <si>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</si>
  <si>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Isla</t>
  </si>
  <si>
    <t xml:space="preserve">(*) Plazas Autorizadas conforme a Policía Turística.
FUENTE: Policía Turística. Cabildo Insular de Tenerife. ELABORACIÓN: Turismo de Tenerife </t>
  </si>
  <si>
    <t xml:space="preserve"> </t>
  </si>
  <si>
    <t xml:space="preserve">DISTRIBUCIÓN DE LAS PLAZAS TURÍSTICAS AUTORIZADAS EN ADEJE SEGÚN TIPOLOGÍA Y CATEGORÍA </t>
  </si>
  <si>
    <t xml:space="preserve">DISTRIBUCIÓN DE LAS PLAZAS TURÍSTICAS AUTORIZADAS EN ARONA SEGÚN TIPOLOGÍA Y CATEGORÍA </t>
  </si>
  <si>
    <t>1 Estrellas</t>
  </si>
  <si>
    <t>2 Estrellas</t>
  </si>
  <si>
    <t>3 Estrellas</t>
  </si>
  <si>
    <t>4 Estrellas</t>
  </si>
  <si>
    <t>5 Estrellas</t>
  </si>
  <si>
    <t>Sin categoría</t>
  </si>
  <si>
    <t>1 Llave</t>
  </si>
  <si>
    <t>2 Llaves</t>
  </si>
  <si>
    <t>3 Llaves</t>
  </si>
  <si>
    <t>4 Llaves</t>
  </si>
  <si>
    <t>5 Llaves</t>
  </si>
  <si>
    <t>1 Palmera</t>
  </si>
  <si>
    <t>2 Palmeras</t>
  </si>
  <si>
    <t>Conjunto inmueble</t>
  </si>
  <si>
    <t>Compartido con propietarios</t>
  </si>
  <si>
    <t>Exclusivo</t>
  </si>
  <si>
    <t>Compartido con usuarios</t>
  </si>
  <si>
    <t xml:space="preserve">(*) Plazas Autorizadas conforme a Policía Turística 
FUENTE: Policía Turística. Cabildo Insular de Tenerife.
ELABORACIÓN: Turismo de Tenerife </t>
  </si>
  <si>
    <t xml:space="preserve">DISTRIBUCIÓN DE LAS PLAZAS TURÍSTICAS AUTORIZADAS EN PUERTO DE LA CRUZ SEGÚN TIPOLOGÍA Y CATEGORÍA </t>
  </si>
  <si>
    <t xml:space="preserve">DISTRIBUCIÓN DE LAS PLAZAS TURÍSTICAS AUTORIZADAS EN SANTA CRUZ SEGÚN TIPOLOGÍA Y CATEGORÍA </t>
  </si>
  <si>
    <t>Bares</t>
  </si>
  <si>
    <t>Cafeterías</t>
  </si>
  <si>
    <t>Restaurantes</t>
  </si>
  <si>
    <t>Gran Canaria</t>
  </si>
  <si>
    <t>Fuerteventura</t>
  </si>
  <si>
    <t>Lanzarote</t>
  </si>
  <si>
    <t>Tenerife</t>
  </si>
  <si>
    <t>La Palma</t>
  </si>
  <si>
    <t>Canarias</t>
  </si>
  <si>
    <t>TOTAL TURISMO ALOJADO</t>
  </si>
  <si>
    <t>Zona SUR</t>
  </si>
  <si>
    <t>ALOJADOS HOTELEROS</t>
  </si>
  <si>
    <t>ALOJADOS EXTRAHOTELEROS</t>
  </si>
  <si>
    <t xml:space="preserve">acumulado julio 2010 </t>
  </si>
  <si>
    <t>acumulado julio 2009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</si>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</sst>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2">
    <numFmt numFmtId="164" formatCode="#,##0_)"/>
    <numFmt numFmtId="165" formatCode="0.0%"/>
    <numFmt numFmtId="166" formatCode="#,##0.0"/>
    <numFmt numFmtId="167" formatCode="#,##0.00_)"/>
    <numFmt numFmtId="168" formatCode="_-* #,##0.00\ [$€-1]_-;\-* #,##0.00\ [$€-1]_-;_-* &quot;-&quot;??\ [$€-1]_-"/>
    <numFmt numFmtId="169" formatCode="#,#00"/>
    <numFmt numFmtId="170" formatCode="_-* #,##0\ _p_t_a_-;\-* #,##0\ _p_t_a_-;_-* &quot;-&quot;\ _p_t_a_-;_-@_-"/>
    <numFmt numFmtId="171" formatCode="\$#,#00"/>
    <numFmt numFmtId="172" formatCode="\$#,"/>
    <numFmt numFmtId="173" formatCode="%#,#00"/>
    <numFmt numFmtId="174" formatCode="#.##000"/>
    <numFmt numFmtId="175" formatCode="#.##0,"/>
  </numFmts>
  <fonts count="6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indexed="9"/>
      <name val="Arial"/>
      <family val="2"/>
    </font>
    <font>
      <b/>
      <sz val="14"/>
      <color indexed="9"/>
      <name val="Arial"/>
      <family val="2"/>
    </font>
    <font>
      <sz val="10"/>
      <color indexed="9"/>
      <name val="Arial"/>
      <family val="2"/>
    </font>
    <font>
      <sz val="14"/>
      <color indexed="18"/>
      <name val="Arial"/>
      <family val="2"/>
    </font>
    <font>
      <b/>
      <sz val="14"/>
      <color theme="3" tint="-0.249977111117893"/>
      <name val="Arial"/>
      <family val="2"/>
    </font>
    <font>
      <b/>
      <sz val="14"/>
      <color indexed="18"/>
      <name val="Arial"/>
      <family val="2"/>
    </font>
    <font>
      <b/>
      <sz val="9"/>
      <color indexed="9"/>
      <name val="Arial"/>
      <family val="2"/>
    </font>
    <font>
      <sz val="11"/>
      <name val="Arial"/>
      <family val="2"/>
    </font>
    <font>
      <sz val="8"/>
      <color indexed="81"/>
      <name val="Tahoma"/>
      <family val="2"/>
    </font>
    <font>
      <b/>
      <sz val="12"/>
      <color indexed="9"/>
      <name val="Arial"/>
      <family val="2"/>
    </font>
    <font>
      <u/>
      <sz val="7.5"/>
      <color indexed="12"/>
      <name val="Arial"/>
      <family val="2"/>
    </font>
    <font>
      <b/>
      <sz val="10"/>
      <color indexed="18"/>
      <name val="Arial"/>
      <family val="2"/>
    </font>
    <font>
      <b/>
      <sz val="10"/>
      <color theme="3" tint="-0.249977111117893"/>
      <name val="Arial"/>
      <family val="2"/>
    </font>
    <font>
      <b/>
      <sz val="12"/>
      <color indexed="53"/>
      <name val="Arial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b/>
      <sz val="12"/>
      <color theme="3" tint="-0.249977111117893"/>
      <name val="Arial"/>
      <family val="2"/>
    </font>
    <font>
      <sz val="8"/>
      <color indexed="8"/>
      <name val="Arial"/>
      <family val="2"/>
    </font>
    <font>
      <b/>
      <sz val="11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i/>
      <sz val="9"/>
      <name val="Arial"/>
      <family val="2"/>
    </font>
    <font>
      <sz val="10"/>
      <color indexed="8"/>
      <name val="Arial"/>
      <family val="2"/>
    </font>
    <font>
      <b/>
      <sz val="10"/>
      <color indexed="9"/>
      <name val="MS Sans Serif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7"/>
      <name val="Arial"/>
      <family val="2"/>
    </font>
    <font>
      <b/>
      <sz val="8"/>
      <color indexed="81"/>
      <name val="Tahoma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67955565050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8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13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4" fillId="0" borderId="0" applyNumberFormat="0" applyFont="0" applyFill="0" applyBorder="0" applyAlignment="0" applyProtection="0"/>
    <xf numFmtId="1" fontId="2" fillId="0" borderId="0">
      <alignment vertical="center"/>
    </xf>
    <xf numFmtId="9" fontId="2" fillId="0" borderId="0" applyFont="0" applyFill="0" applyBorder="0" applyProtection="0">
      <alignment vertical="center"/>
    </xf>
    <xf numFmtId="0" fontId="24" fillId="0" borderId="0"/>
    <xf numFmtId="0" fontId="24" fillId="0" borderId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1" fontId="47" fillId="0" borderId="0">
      <protection locked="0"/>
    </xf>
    <xf numFmtId="1" fontId="47" fillId="0" borderId="0">
      <protection locked="0"/>
    </xf>
    <xf numFmtId="0" fontId="48" fillId="30" borderId="17" applyNumberFormat="0" applyAlignment="0" applyProtection="0"/>
    <xf numFmtId="0" fontId="48" fillId="30" borderId="17" applyNumberFormat="0" applyAlignment="0" applyProtection="0"/>
    <xf numFmtId="0" fontId="48" fillId="30" borderId="17" applyNumberFormat="0" applyAlignment="0" applyProtection="0"/>
    <xf numFmtId="0" fontId="48" fillId="30" borderId="17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19" applyNumberFormat="0" applyFill="0" applyAlignment="0" applyProtection="0"/>
    <xf numFmtId="0" fontId="50" fillId="0" borderId="19" applyNumberFormat="0" applyFill="0" applyAlignment="0" applyProtection="0"/>
    <xf numFmtId="0" fontId="50" fillId="0" borderId="19" applyNumberFormat="0" applyFill="0" applyAlignment="0" applyProtection="0"/>
    <xf numFmtId="0" fontId="50" fillId="0" borderId="19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52" fillId="21" borderId="17" applyNumberFormat="0" applyAlignment="0" applyProtection="0"/>
    <xf numFmtId="0" fontId="52" fillId="21" borderId="17" applyNumberFormat="0" applyAlignment="0" applyProtection="0"/>
    <xf numFmtId="0" fontId="52" fillId="21" borderId="17" applyNumberFormat="0" applyAlignment="0" applyProtection="0"/>
    <xf numFmtId="0" fontId="52" fillId="21" borderId="17" applyNumberFormat="0" applyAlignment="0" applyProtection="0"/>
    <xf numFmtId="0" fontId="2" fillId="0" borderId="0"/>
    <xf numFmtId="168" fontId="2" fillId="0" borderId="0" applyFont="0" applyFill="0" applyBorder="0" applyAlignment="0" applyProtection="0">
      <alignment vertical="center"/>
    </xf>
    <xf numFmtId="1" fontId="53" fillId="0" borderId="0">
      <protection locked="0"/>
    </xf>
    <xf numFmtId="169" fontId="53" fillId="0" borderId="0">
      <protection locked="0"/>
    </xf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170" fontId="2" fillId="0" borderId="0" applyFont="0" applyFill="0" applyBorder="0" applyAlignment="0" applyProtection="0"/>
    <xf numFmtId="171" fontId="53" fillId="0" borderId="0">
      <protection locked="0"/>
    </xf>
    <xf numFmtId="172" fontId="53" fillId="0" borderId="0">
      <protection locked="0"/>
    </xf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3" fontId="2" fillId="0" borderId="0">
      <alignment vertical="center"/>
    </xf>
    <xf numFmtId="3" fontId="2" fillId="0" borderId="0">
      <alignment vertical="center"/>
    </xf>
    <xf numFmtId="0" fontId="2" fillId="37" borderId="20" applyNumberFormat="0" applyFont="0" applyAlignment="0" applyProtection="0"/>
    <xf numFmtId="0" fontId="2" fillId="37" borderId="20" applyNumberFormat="0" applyFont="0" applyAlignment="0" applyProtection="0"/>
    <xf numFmtId="0" fontId="2" fillId="37" borderId="20" applyNumberFormat="0" applyFont="0" applyAlignment="0" applyProtection="0"/>
    <xf numFmtId="0" fontId="2" fillId="37" borderId="20" applyNumberFormat="0" applyFont="0" applyAlignment="0" applyProtection="0"/>
    <xf numFmtId="173" fontId="53" fillId="0" borderId="0">
      <protection locked="0"/>
    </xf>
    <xf numFmtId="174" fontId="53" fillId="0" borderId="0">
      <protection locked="0"/>
    </xf>
    <xf numFmtId="175" fontId="53" fillId="0" borderId="0">
      <protection locked="0"/>
    </xf>
    <xf numFmtId="0" fontId="56" fillId="30" borderId="21" applyNumberFormat="0" applyAlignment="0" applyProtection="0"/>
    <xf numFmtId="0" fontId="56" fillId="30" borderId="21" applyNumberFormat="0" applyAlignment="0" applyProtection="0"/>
    <xf numFmtId="0" fontId="56" fillId="30" borderId="21" applyNumberFormat="0" applyAlignment="0" applyProtection="0"/>
    <xf numFmtId="0" fontId="56" fillId="30" borderId="21" applyNumberFormat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9" fillId="0" borderId="22" applyNumberFormat="0" applyFill="0" applyAlignment="0" applyProtection="0"/>
    <xf numFmtId="0" fontId="59" fillId="0" borderId="22" applyNumberFormat="0" applyFill="0" applyAlignment="0" applyProtection="0"/>
    <xf numFmtId="0" fontId="59" fillId="0" borderId="22" applyNumberFormat="0" applyFill="0" applyAlignment="0" applyProtection="0"/>
    <xf numFmtId="0" fontId="60" fillId="0" borderId="23" applyNumberFormat="0" applyFill="0" applyAlignment="0" applyProtection="0"/>
    <xf numFmtId="0" fontId="60" fillId="0" borderId="23" applyNumberFormat="0" applyFill="0" applyAlignment="0" applyProtection="0"/>
    <xf numFmtId="0" fontId="60" fillId="0" borderId="23" applyNumberFormat="0" applyFill="0" applyAlignment="0" applyProtection="0"/>
    <xf numFmtId="0" fontId="60" fillId="0" borderId="23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" fontId="53" fillId="0" borderId="25">
      <protection locked="0"/>
    </xf>
    <xf numFmtId="1" fontId="53" fillId="0" borderId="25">
      <protection locked="0"/>
    </xf>
    <xf numFmtId="1" fontId="53" fillId="0" borderId="25">
      <protection locked="0"/>
    </xf>
    <xf numFmtId="1" fontId="53" fillId="0" borderId="25">
      <protection locked="0"/>
    </xf>
  </cellStyleXfs>
  <cellXfs count="692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1" fontId="2" fillId="4" borderId="0" xfId="2" applyFill="1">
      <alignment vertical="center"/>
    </xf>
    <xf numFmtId="1" fontId="9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0" fillId="0" borderId="0" xfId="2" applyFont="1">
      <alignment vertical="center"/>
    </xf>
    <xf numFmtId="1" fontId="4" fillId="3" borderId="0" xfId="2" applyFont="1" applyFill="1" applyAlignment="1">
      <alignment horizontal="left" vertical="center" indent="1"/>
    </xf>
    <xf numFmtId="1" fontId="8" fillId="2" borderId="0" xfId="2" applyFont="1" applyFill="1">
      <alignment vertical="center"/>
    </xf>
    <xf numFmtId="1" fontId="12" fillId="4" borderId="0" xfId="2" applyFont="1" applyFill="1" applyAlignment="1">
      <alignment horizontal="left" vertical="center" indent="1"/>
    </xf>
    <xf numFmtId="3" fontId="14" fillId="2" borderId="0" xfId="3" applyNumberFormat="1" applyFont="1" applyFill="1" applyAlignment="1" applyProtection="1">
      <alignment vertical="center"/>
    </xf>
    <xf numFmtId="3" fontId="15" fillId="2" borderId="0" xfId="3" applyNumberFormat="1" applyFont="1" applyFill="1" applyAlignment="1" applyProtection="1">
      <alignment vertical="center"/>
    </xf>
    <xf numFmtId="1" fontId="15" fillId="2" borderId="0" xfId="2" applyFont="1" applyFill="1">
      <alignment vertical="center"/>
    </xf>
    <xf numFmtId="1" fontId="14" fillId="2" borderId="0" xfId="2" applyFont="1" applyFill="1">
      <alignment vertical="center"/>
    </xf>
    <xf numFmtId="1" fontId="8" fillId="0" borderId="0" xfId="2" applyFont="1">
      <alignment vertical="center"/>
    </xf>
    <xf numFmtId="1" fontId="16" fillId="0" borderId="0" xfId="2" applyFont="1">
      <alignment vertical="center"/>
    </xf>
    <xf numFmtId="1" fontId="2" fillId="0" borderId="0" xfId="2" applyFont="1">
      <alignment vertical="center"/>
    </xf>
    <xf numFmtId="1" fontId="17" fillId="5" borderId="0" xfId="2" applyFont="1" applyFill="1">
      <alignment vertical="center"/>
    </xf>
    <xf numFmtId="1" fontId="18" fillId="5" borderId="0" xfId="2" applyFont="1" applyFill="1">
      <alignment vertical="center"/>
    </xf>
    <xf numFmtId="1" fontId="19" fillId="0" borderId="0" xfId="2" applyFont="1">
      <alignment vertical="center"/>
    </xf>
    <xf numFmtId="1" fontId="20" fillId="3" borderId="1" xfId="2" applyFont="1" applyFill="1" applyBorder="1" applyAlignment="1" applyProtection="1">
      <alignment horizontal="center" vertical="center"/>
      <protection hidden="1"/>
    </xf>
    <xf numFmtId="1" fontId="20" fillId="3" borderId="2" xfId="2" applyFont="1" applyFill="1" applyBorder="1" applyAlignment="1" applyProtection="1">
      <alignment horizontal="center" vertical="center"/>
      <protection hidden="1"/>
    </xf>
    <xf numFmtId="1" fontId="20" fillId="3" borderId="3" xfId="2" applyFont="1" applyFill="1" applyBorder="1" applyAlignment="1" applyProtection="1">
      <alignment horizontal="center" vertical="center"/>
      <protection hidden="1"/>
    </xf>
    <xf numFmtId="1" fontId="21" fillId="6" borderId="1" xfId="2" applyFont="1" applyFill="1" applyBorder="1" applyAlignment="1" applyProtection="1">
      <alignment horizontal="center" vertical="center"/>
      <protection hidden="1"/>
    </xf>
    <xf numFmtId="17" fontId="22" fillId="6" borderId="4" xfId="2" applyNumberFormat="1" applyFont="1" applyFill="1" applyBorder="1" applyAlignment="1" applyProtection="1">
      <alignment horizontal="center" vertical="center" wrapText="1"/>
      <protection hidden="1"/>
    </xf>
    <xf numFmtId="49" fontId="22" fillId="6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7" borderId="5" xfId="2" applyFont="1" applyFill="1" applyBorder="1" applyAlignment="1" applyProtection="1">
      <alignment horizontal="left"/>
      <protection hidden="1"/>
    </xf>
    <xf numFmtId="164" fontId="2" fillId="7" borderId="6" xfId="2" applyNumberFormat="1" applyFont="1" applyFill="1" applyBorder="1" applyProtection="1">
      <alignment vertical="center"/>
      <protection hidden="1"/>
    </xf>
    <xf numFmtId="165" fontId="2" fillId="7" borderId="6" xfId="4" applyNumberFormat="1" applyFont="1" applyFill="1" applyBorder="1" applyProtection="1">
      <alignment vertical="center"/>
      <protection hidden="1"/>
    </xf>
    <xf numFmtId="10" fontId="2" fillId="7" borderId="6" xfId="4" applyNumberFormat="1" applyFont="1" applyFill="1" applyBorder="1" applyProtection="1">
      <alignment vertical="center"/>
      <protection hidden="1"/>
    </xf>
    <xf numFmtId="1" fontId="2" fillId="0" borderId="7" xfId="2" applyFont="1" applyBorder="1" applyAlignment="1" applyProtection="1">
      <alignment horizontal="left"/>
      <protection hidden="1"/>
    </xf>
    <xf numFmtId="164" fontId="2" fillId="0" borderId="8" xfId="2" applyNumberFormat="1" applyFont="1" applyBorder="1" applyProtection="1">
      <alignment vertical="center"/>
      <protection hidden="1"/>
    </xf>
    <xf numFmtId="165" fontId="2" fillId="0" borderId="8" xfId="4" applyNumberFormat="1" applyFont="1" applyBorder="1" applyProtection="1">
      <alignment vertical="center"/>
      <protection hidden="1"/>
    </xf>
    <xf numFmtId="10" fontId="2" fillId="0" borderId="8" xfId="4" applyNumberFormat="1" applyFont="1" applyBorder="1" applyProtection="1">
      <alignment vertical="center"/>
      <protection hidden="1"/>
    </xf>
    <xf numFmtId="165" fontId="2" fillId="0" borderId="9" xfId="4" applyNumberFormat="1" applyFont="1" applyBorder="1" applyProtection="1">
      <alignment vertical="center"/>
      <protection hidden="1"/>
    </xf>
    <xf numFmtId="1" fontId="23" fillId="0" borderId="1" xfId="2" applyFont="1" applyBorder="1" applyAlignment="1" applyProtection="1">
      <protection hidden="1"/>
    </xf>
    <xf numFmtId="1" fontId="2" fillId="0" borderId="2" xfId="2" applyFont="1" applyBorder="1" applyProtection="1">
      <alignment vertical="center"/>
      <protection hidden="1"/>
    </xf>
    <xf numFmtId="1" fontId="2" fillId="0" borderId="3" xfId="2" applyFont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0" fillId="3" borderId="4" xfId="5" applyNumberFormat="1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/>
    </xf>
    <xf numFmtId="0" fontId="0" fillId="8" borderId="4" xfId="0" applyFill="1" applyBorder="1" applyAlignment="1">
      <alignment horizontal="center" vertical="center" wrapText="1"/>
    </xf>
    <xf numFmtId="165" fontId="0" fillId="0" borderId="0" xfId="1" applyNumberFormat="1" applyFont="1"/>
    <xf numFmtId="0" fontId="0" fillId="9" borderId="8" xfId="0" applyFill="1" applyBorder="1" applyAlignment="1">
      <alignment horizontal="right"/>
    </xf>
    <xf numFmtId="3" fontId="0" fillId="0" borderId="8" xfId="0" applyNumberFormat="1" applyBorder="1"/>
    <xf numFmtId="3" fontId="0" fillId="0" borderId="0" xfId="0" applyNumberFormat="1"/>
    <xf numFmtId="1" fontId="0" fillId="10" borderId="8" xfId="0" applyNumberFormat="1" applyFill="1" applyBorder="1" applyAlignment="1">
      <alignment horizontal="center" vertical="center" wrapText="1"/>
    </xf>
    <xf numFmtId="3" fontId="0" fillId="10" borderId="8" xfId="0" applyNumberFormat="1" applyFill="1" applyBorder="1" applyAlignment="1">
      <alignment vertical="center"/>
    </xf>
    <xf numFmtId="0" fontId="0" fillId="7" borderId="8" xfId="0" applyFill="1" applyBorder="1" applyAlignment="1">
      <alignment horizontal="center" vertical="center" wrapText="1"/>
    </xf>
    <xf numFmtId="3" fontId="0" fillId="7" borderId="8" xfId="0" applyNumberFormat="1" applyFill="1" applyBorder="1"/>
    <xf numFmtId="0" fontId="0" fillId="11" borderId="8" xfId="0" applyFill="1" applyBorder="1" applyAlignment="1">
      <alignment horizontal="center" vertical="center" wrapText="1"/>
    </xf>
    <xf numFmtId="3" fontId="0" fillId="11" borderId="8" xfId="0" applyNumberFormat="1" applyFill="1" applyBorder="1"/>
    <xf numFmtId="0" fontId="25" fillId="2" borderId="10" xfId="3" applyNumberFormat="1" applyFont="1" applyFill="1" applyBorder="1" applyAlignment="1" applyProtection="1">
      <alignment horizontal="center" vertical="center" wrapText="1"/>
    </xf>
    <xf numFmtId="0" fontId="26" fillId="6" borderId="1" xfId="5" applyNumberFormat="1" applyFont="1" applyFill="1" applyBorder="1" applyAlignment="1" applyProtection="1">
      <alignment vertical="center" wrapText="1"/>
    </xf>
    <xf numFmtId="0" fontId="26" fillId="6" borderId="2" xfId="5" applyNumberFormat="1" applyFont="1" applyFill="1" applyBorder="1" applyAlignment="1" applyProtection="1">
      <alignment vertical="center" wrapText="1"/>
    </xf>
    <xf numFmtId="0" fontId="26" fillId="6" borderId="3" xfId="5" applyNumberFormat="1" applyFont="1" applyFill="1" applyBorder="1" applyAlignment="1" applyProtection="1">
      <alignment vertical="center" wrapText="1"/>
    </xf>
    <xf numFmtId="0" fontId="0" fillId="6" borderId="6" xfId="0" applyFill="1" applyBorder="1" applyAlignment="1">
      <alignment horizontal="center"/>
    </xf>
    <xf numFmtId="0" fontId="0" fillId="8" borderId="6" xfId="0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/>
    </xf>
    <xf numFmtId="0" fontId="0" fillId="8" borderId="9" xfId="0" applyFill="1" applyBorder="1" applyAlignment="1">
      <alignment horizontal="center" vertical="center" wrapText="1"/>
    </xf>
    <xf numFmtId="10" fontId="0" fillId="0" borderId="8" xfId="0" applyNumberFormat="1" applyBorder="1"/>
    <xf numFmtId="0" fontId="0" fillId="10" borderId="8" xfId="0" applyFill="1" applyBorder="1" applyAlignment="1">
      <alignment horizontal="center" vertical="center" wrapText="1"/>
    </xf>
    <xf numFmtId="10" fontId="0" fillId="10" borderId="8" xfId="0" applyNumberFormat="1" applyFill="1" applyBorder="1" applyAlignment="1">
      <alignment vertical="center"/>
    </xf>
    <xf numFmtId="10" fontId="0" fillId="7" borderId="8" xfId="0" applyNumberFormat="1" applyFill="1" applyBorder="1"/>
    <xf numFmtId="10" fontId="0" fillId="11" borderId="8" xfId="0" applyNumberFormat="1" applyFill="1" applyBorder="1"/>
    <xf numFmtId="3" fontId="20" fillId="3" borderId="7" xfId="5" applyNumberFormat="1" applyFont="1" applyFill="1" applyBorder="1" applyAlignment="1">
      <alignment horizontal="center" vertical="center" wrapText="1"/>
    </xf>
    <xf numFmtId="3" fontId="20" fillId="3" borderId="0" xfId="5" applyNumberFormat="1" applyFont="1" applyFill="1" applyBorder="1" applyAlignment="1">
      <alignment horizontal="center" vertical="center" wrapText="1"/>
    </xf>
    <xf numFmtId="1" fontId="20" fillId="3" borderId="11" xfId="5" applyNumberFormat="1" applyFont="1" applyFill="1" applyBorder="1" applyAlignment="1">
      <alignment horizontal="center" vertical="center" wrapText="1"/>
    </xf>
    <xf numFmtId="1" fontId="20" fillId="3" borderId="12" xfId="5" applyNumberFormat="1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0" borderId="6" xfId="0" applyBorder="1" applyAlignment="1">
      <alignment horizontal="left"/>
    </xf>
    <xf numFmtId="3" fontId="0" fillId="0" borderId="6" xfId="0" applyNumberFormat="1" applyBorder="1"/>
    <xf numFmtId="0" fontId="0" fillId="0" borderId="8" xfId="0" applyBorder="1" applyAlignment="1">
      <alignment horizontal="left"/>
    </xf>
    <xf numFmtId="0" fontId="0" fillId="7" borderId="9" xfId="0" applyFill="1" applyBorder="1" applyAlignment="1">
      <alignment horizontal="left"/>
    </xf>
    <xf numFmtId="3" fontId="0" fillId="7" borderId="9" xfId="0" applyNumberFormat="1" applyFill="1" applyBorder="1"/>
    <xf numFmtId="0" fontId="26" fillId="6" borderId="1" xfId="5" applyNumberFormat="1" applyFont="1" applyFill="1" applyBorder="1" applyAlignment="1" applyProtection="1">
      <alignment horizontal="left" vertical="center" wrapText="1"/>
    </xf>
    <xf numFmtId="0" fontId="26" fillId="6" borderId="2" xfId="5" applyNumberFormat="1" applyFont="1" applyFill="1" applyBorder="1" applyAlignment="1" applyProtection="1">
      <alignment horizontal="left" vertical="center" wrapText="1"/>
    </xf>
    <xf numFmtId="0" fontId="26" fillId="6" borderId="3" xfId="5" applyNumberFormat="1" applyFont="1" applyFill="1" applyBorder="1" applyAlignment="1" applyProtection="1">
      <alignment horizontal="left" vertical="center" wrapText="1"/>
    </xf>
    <xf numFmtId="0" fontId="0" fillId="6" borderId="4" xfId="0" applyFill="1" applyBorder="1"/>
    <xf numFmtId="0" fontId="0" fillId="6" borderId="4" xfId="0" applyFill="1" applyBorder="1" applyAlignment="1">
      <alignment wrapText="1"/>
    </xf>
    <xf numFmtId="0" fontId="0" fillId="0" borderId="6" xfId="0" applyBorder="1" applyAlignment="1"/>
    <xf numFmtId="0" fontId="0" fillId="0" borderId="8" xfId="0" applyBorder="1" applyAlignment="1"/>
    <xf numFmtId="0" fontId="0" fillId="7" borderId="4" xfId="0" applyFill="1" applyBorder="1" applyAlignment="1"/>
    <xf numFmtId="3" fontId="0" fillId="7" borderId="4" xfId="0" applyNumberFormat="1" applyFill="1" applyBorder="1"/>
    <xf numFmtId="0" fontId="0" fillId="11" borderId="4" xfId="0" applyFill="1" applyBorder="1" applyAlignment="1"/>
    <xf numFmtId="10" fontId="1" fillId="11" borderId="4" xfId="1" applyNumberFormat="1" applyFont="1" applyFill="1" applyBorder="1"/>
    <xf numFmtId="3" fontId="20" fillId="3" borderId="11" xfId="5" applyNumberFormat="1" applyFont="1" applyFill="1" applyBorder="1" applyAlignment="1">
      <alignment horizontal="center" vertical="center" wrapText="1"/>
    </xf>
    <xf numFmtId="3" fontId="20" fillId="3" borderId="12" xfId="5" applyNumberFormat="1" applyFont="1" applyFill="1" applyBorder="1" applyAlignment="1">
      <alignment horizontal="center" vertical="center" wrapText="1"/>
    </xf>
    <xf numFmtId="0" fontId="0" fillId="0" borderId="9" xfId="0" applyBorder="1" applyAlignment="1"/>
    <xf numFmtId="0" fontId="0" fillId="11" borderId="4" xfId="0" applyFill="1" applyBorder="1"/>
    <xf numFmtId="1" fontId="21" fillId="6" borderId="1" xfId="2" applyFont="1" applyFill="1" applyBorder="1" applyProtection="1">
      <alignment vertical="center"/>
      <protection hidden="1"/>
    </xf>
    <xf numFmtId="1" fontId="2" fillId="6" borderId="13" xfId="2" applyFont="1" applyFill="1" applyBorder="1" applyProtection="1">
      <alignment vertical="center"/>
      <protection hidden="1"/>
    </xf>
    <xf numFmtId="1" fontId="2" fillId="6" borderId="14" xfId="2" applyFont="1" applyFill="1" applyBorder="1" applyProtection="1">
      <alignment vertical="center"/>
      <protection hidden="1"/>
    </xf>
    <xf numFmtId="1" fontId="2" fillId="7" borderId="6" xfId="2" applyFont="1" applyFill="1" applyBorder="1" applyAlignment="1" applyProtection="1">
      <alignment horizontal="left"/>
      <protection hidden="1"/>
    </xf>
    <xf numFmtId="165" fontId="2" fillId="7" borderId="14" xfId="4" applyNumberFormat="1" applyFont="1" applyFill="1" applyBorder="1" applyProtection="1">
      <alignment vertical="center"/>
      <protection hidden="1"/>
    </xf>
    <xf numFmtId="1" fontId="2" fillId="7" borderId="8" xfId="2" applyFont="1" applyFill="1" applyBorder="1" applyAlignment="1" applyProtection="1">
      <alignment horizontal="left"/>
      <protection hidden="1"/>
    </xf>
    <xf numFmtId="164" fontId="2" fillId="7" borderId="8" xfId="2" applyNumberFormat="1" applyFont="1" applyFill="1" applyBorder="1" applyProtection="1">
      <alignment vertical="center"/>
      <protection hidden="1"/>
    </xf>
    <xf numFmtId="165" fontId="2" fillId="7" borderId="8" xfId="4" applyNumberFormat="1" applyFont="1" applyFill="1" applyBorder="1" applyProtection="1">
      <alignment vertical="center"/>
      <protection hidden="1"/>
    </xf>
    <xf numFmtId="165" fontId="2" fillId="7" borderId="15" xfId="4" applyNumberFormat="1" applyFont="1" applyFill="1" applyBorder="1" applyProtection="1">
      <alignment vertical="center"/>
      <protection hidden="1"/>
    </xf>
    <xf numFmtId="1" fontId="2" fillId="6" borderId="2" xfId="2" applyFont="1" applyFill="1" applyBorder="1" applyProtection="1">
      <alignment vertical="center"/>
      <protection hidden="1"/>
    </xf>
    <xf numFmtId="165" fontId="2" fillId="6" borderId="3" xfId="2" applyNumberFormat="1" applyFont="1" applyFill="1" applyBorder="1" applyProtection="1">
      <alignment vertical="center"/>
      <protection hidden="1"/>
    </xf>
    <xf numFmtId="1" fontId="2" fillId="0" borderId="8" xfId="2" applyFont="1" applyBorder="1" applyAlignment="1" applyProtection="1">
      <alignment horizontal="left"/>
      <protection hidden="1"/>
    </xf>
    <xf numFmtId="165" fontId="2" fillId="0" borderId="6" xfId="4" applyNumberFormat="1" applyFont="1" applyBorder="1" applyProtection="1">
      <alignment vertical="center"/>
      <protection hidden="1"/>
    </xf>
    <xf numFmtId="165" fontId="2" fillId="0" borderId="15" xfId="4" applyNumberFormat="1" applyFont="1" applyBorder="1" applyProtection="1">
      <alignment vertical="center"/>
      <protection hidden="1"/>
    </xf>
    <xf numFmtId="164" fontId="2" fillId="0" borderId="9" xfId="2" applyNumberFormat="1" applyFont="1" applyBorder="1" applyProtection="1">
      <alignment vertical="center"/>
      <protection hidden="1"/>
    </xf>
    <xf numFmtId="1" fontId="23" fillId="0" borderId="1" xfId="2" applyFont="1" applyBorder="1" applyAlignment="1" applyProtection="1">
      <alignment wrapText="1"/>
      <protection hidden="1"/>
    </xf>
    <xf numFmtId="1" fontId="23" fillId="0" borderId="2" xfId="2" applyFont="1" applyBorder="1" applyAlignment="1" applyProtection="1">
      <alignment wrapText="1"/>
      <protection hidden="1"/>
    </xf>
    <xf numFmtId="1" fontId="23" fillId="0" borderId="3" xfId="2" applyFont="1" applyBorder="1" applyAlignment="1" applyProtection="1">
      <alignment wrapText="1"/>
      <protection hidden="1"/>
    </xf>
    <xf numFmtId="3" fontId="13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5" fillId="0" borderId="0" xfId="2" applyFont="1" applyFill="1" applyAlignment="1">
      <alignment horizontal="center" vertical="center"/>
    </xf>
    <xf numFmtId="1" fontId="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20" fillId="3" borderId="4" xfId="5" applyNumberFormat="1" applyFont="1" applyFill="1" applyBorder="1" applyAlignment="1" applyProtection="1">
      <alignment horizontal="center" vertical="center" wrapText="1"/>
      <protection hidden="1"/>
    </xf>
    <xf numFmtId="3" fontId="20" fillId="6" borderId="6" xfId="5" applyNumberFormat="1" applyFont="1" applyFill="1" applyBorder="1" applyAlignment="1" applyProtection="1">
      <alignment horizontal="center" vertical="center" wrapText="1"/>
      <protection hidden="1"/>
    </xf>
    <xf numFmtId="3" fontId="21" fillId="6" borderId="4" xfId="5" applyNumberFormat="1" applyFont="1" applyFill="1" applyBorder="1" applyAlignment="1" applyProtection="1">
      <alignment horizontal="center" vertical="center" wrapText="1"/>
      <protection hidden="1"/>
    </xf>
    <xf numFmtId="3" fontId="20" fillId="6" borderId="4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20" fillId="6" borderId="9" xfId="5" applyNumberFormat="1" applyFont="1" applyFill="1" applyBorder="1" applyAlignment="1" applyProtection="1">
      <alignment horizontal="center" vertical="center" wrapText="1"/>
      <protection hidden="1"/>
    </xf>
    <xf numFmtId="0" fontId="0" fillId="6" borderId="4" xfId="0" applyFill="1" applyBorder="1" applyAlignment="1" applyProtection="1">
      <alignment horizontal="center" vertical="center" wrapText="1"/>
      <protection hidden="1"/>
    </xf>
    <xf numFmtId="3" fontId="0" fillId="0" borderId="8" xfId="0" applyNumberFormat="1" applyBorder="1" applyProtection="1">
      <protection hidden="1"/>
    </xf>
    <xf numFmtId="1" fontId="0" fillId="10" borderId="8" xfId="0" applyNumberFormat="1" applyFill="1" applyBorder="1" applyAlignment="1" applyProtection="1">
      <alignment horizontal="center" vertical="center" wrapText="1"/>
      <protection hidden="1"/>
    </xf>
    <xf numFmtId="3" fontId="0" fillId="10" borderId="8" xfId="0" applyNumberFormat="1" applyFill="1" applyBorder="1" applyAlignment="1" applyProtection="1">
      <alignment vertical="center"/>
      <protection hidden="1"/>
    </xf>
    <xf numFmtId="0" fontId="0" fillId="7" borderId="8" xfId="0" applyFill="1" applyBorder="1" applyAlignment="1" applyProtection="1">
      <alignment horizontal="left"/>
      <protection hidden="1"/>
    </xf>
    <xf numFmtId="3" fontId="0" fillId="7" borderId="8" xfId="0" applyNumberFormat="1" applyFill="1" applyBorder="1" applyProtection="1">
      <protection hidden="1"/>
    </xf>
    <xf numFmtId="0" fontId="0" fillId="11" borderId="8" xfId="0" applyFill="1" applyBorder="1" applyAlignment="1" applyProtection="1">
      <alignment horizontal="left"/>
      <protection hidden="1"/>
    </xf>
    <xf numFmtId="3" fontId="0" fillId="11" borderId="8" xfId="0" applyNumberFormat="1" applyFill="1" applyBorder="1" applyProtection="1">
      <protection hidden="1"/>
    </xf>
    <xf numFmtId="0" fontId="26" fillId="6" borderId="1" xfId="5" applyNumberFormat="1" applyFont="1" applyFill="1" applyBorder="1" applyAlignment="1" applyProtection="1">
      <alignment horizontal="left" vertical="center" wrapText="1"/>
      <protection hidden="1"/>
    </xf>
    <xf numFmtId="0" fontId="26" fillId="6" borderId="2" xfId="5" applyNumberFormat="1" applyFont="1" applyFill="1" applyBorder="1" applyAlignment="1" applyProtection="1">
      <alignment horizontal="left" vertical="center" wrapText="1"/>
      <protection hidden="1"/>
    </xf>
    <xf numFmtId="0" fontId="26" fillId="6" borderId="3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10" fontId="0" fillId="9" borderId="8" xfId="0" applyNumberFormat="1" applyFill="1" applyBorder="1" applyProtection="1">
      <protection hidden="1"/>
    </xf>
    <xf numFmtId="0" fontId="0" fillId="10" borderId="8" xfId="0" applyFill="1" applyBorder="1" applyAlignment="1" applyProtection="1">
      <alignment horizontal="center" vertical="center" wrapText="1"/>
      <protection hidden="1"/>
    </xf>
    <xf numFmtId="10" fontId="0" fillId="10" borderId="8" xfId="0" applyNumberFormat="1" applyFill="1" applyBorder="1" applyAlignment="1" applyProtection="1">
      <alignment vertical="center"/>
      <protection hidden="1"/>
    </xf>
    <xf numFmtId="10" fontId="0" fillId="7" borderId="8" xfId="0" applyNumberFormat="1" applyFill="1" applyBorder="1" applyProtection="1">
      <protection hidden="1"/>
    </xf>
    <xf numFmtId="10" fontId="0" fillId="11" borderId="8" xfId="0" applyNumberFormat="1" applyFill="1" applyBorder="1" applyProtection="1">
      <protection hidden="1"/>
    </xf>
    <xf numFmtId="3" fontId="20" fillId="3" borderId="11" xfId="5" applyNumberFormat="1" applyFont="1" applyFill="1" applyBorder="1" applyAlignment="1" applyProtection="1">
      <alignment horizontal="center" vertical="center" wrapText="1"/>
      <protection hidden="1"/>
    </xf>
    <xf numFmtId="3" fontId="20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0" fillId="6" borderId="7" xfId="0" applyFill="1" applyBorder="1" applyAlignment="1" applyProtection="1">
      <alignment horizontal="center"/>
      <protection hidden="1"/>
    </xf>
    <xf numFmtId="0" fontId="0" fillId="6" borderId="4" xfId="0" applyFill="1" applyBorder="1" applyAlignment="1" applyProtection="1">
      <alignment vertical="center" wrapText="1"/>
      <protection hidden="1"/>
    </xf>
    <xf numFmtId="0" fontId="0" fillId="6" borderId="4" xfId="0" applyFill="1" applyBorder="1" applyAlignment="1" applyProtection="1">
      <alignment wrapText="1"/>
      <protection hidden="1"/>
    </xf>
    <xf numFmtId="0" fontId="0" fillId="0" borderId="8" xfId="0" applyBorder="1" applyAlignment="1" applyProtection="1">
      <protection hidden="1"/>
    </xf>
    <xf numFmtId="10" fontId="0" fillId="0" borderId="8" xfId="0" applyNumberFormat="1" applyBorder="1" applyProtection="1">
      <protection hidden="1"/>
    </xf>
    <xf numFmtId="0" fontId="0" fillId="7" borderId="9" xfId="0" applyFill="1" applyBorder="1" applyAlignment="1" applyProtection="1">
      <alignment horizontal="left"/>
      <protection hidden="1"/>
    </xf>
    <xf numFmtId="3" fontId="0" fillId="7" borderId="9" xfId="0" applyNumberFormat="1" applyFill="1" applyBorder="1" applyProtection="1">
      <protection hidden="1"/>
    </xf>
    <xf numFmtId="10" fontId="0" fillId="7" borderId="9" xfId="0" applyNumberFormat="1" applyFill="1" applyBorder="1" applyProtection="1">
      <protection hidden="1"/>
    </xf>
    <xf numFmtId="0" fontId="26" fillId="12" borderId="1" xfId="5" applyNumberFormat="1" applyFont="1" applyFill="1" applyBorder="1" applyAlignment="1" applyProtection="1">
      <alignment horizontal="left" vertical="center" wrapText="1"/>
      <protection hidden="1"/>
    </xf>
    <xf numFmtId="0" fontId="26" fillId="12" borderId="2" xfId="5" applyNumberFormat="1" applyFont="1" applyFill="1" applyBorder="1" applyAlignment="1" applyProtection="1">
      <alignment horizontal="left" vertical="center" wrapText="1"/>
      <protection hidden="1"/>
    </xf>
    <xf numFmtId="0" fontId="26" fillId="12" borderId="3" xfId="5" applyNumberFormat="1" applyFont="1" applyFill="1" applyBorder="1" applyAlignment="1" applyProtection="1">
      <alignment horizontal="left" vertical="center" wrapText="1"/>
      <protection hidden="1"/>
    </xf>
    <xf numFmtId="0" fontId="0" fillId="6" borderId="4" xfId="0" applyFill="1" applyBorder="1" applyAlignment="1" applyProtection="1">
      <alignment horizontal="center" wrapText="1"/>
      <protection hidden="1"/>
    </xf>
    <xf numFmtId="0" fontId="0" fillId="6" borderId="4" xfId="0" applyFill="1" applyBorder="1" applyAlignment="1" applyProtection="1">
      <alignment horizontal="center" vertical="center" wrapText="1"/>
      <protection hidden="1"/>
    </xf>
    <xf numFmtId="3" fontId="27" fillId="3" borderId="4" xfId="5" applyNumberFormat="1" applyFont="1" applyFill="1" applyBorder="1" applyAlignment="1" applyProtection="1">
      <alignment horizontal="center" vertical="center" wrapText="1"/>
      <protection hidden="1"/>
    </xf>
    <xf numFmtId="0" fontId="0" fillId="6" borderId="4" xfId="0" applyFill="1" applyBorder="1" applyAlignment="1" applyProtection="1">
      <alignment horizontal="center"/>
      <protection hidden="1"/>
    </xf>
    <xf numFmtId="0" fontId="0" fillId="13" borderId="4" xfId="0" applyFill="1" applyBorder="1" applyAlignment="1" applyProtection="1">
      <alignment horizontal="center" vertical="center" wrapText="1"/>
      <protection hidden="1"/>
    </xf>
    <xf numFmtId="0" fontId="0" fillId="13" borderId="4" xfId="0" applyFill="1" applyBorder="1" applyAlignment="1" applyProtection="1">
      <alignment horizontal="center" wrapText="1"/>
      <protection hidden="1"/>
    </xf>
    <xf numFmtId="0" fontId="0" fillId="7" borderId="8" xfId="0" applyFill="1" applyBorder="1" applyAlignment="1" applyProtection="1">
      <alignment horizontal="center" vertical="center" wrapText="1"/>
      <protection hidden="1"/>
    </xf>
    <xf numFmtId="0" fontId="0" fillId="11" borderId="8" xfId="0" applyFill="1" applyBorder="1" applyAlignment="1" applyProtection="1">
      <alignment horizontal="center" vertical="center" wrapText="1"/>
      <protection hidden="1"/>
    </xf>
    <xf numFmtId="0" fontId="26" fillId="6" borderId="4" xfId="5" applyNumberFormat="1" applyFont="1" applyFill="1" applyBorder="1" applyAlignment="1" applyProtection="1">
      <alignment vertical="center" wrapText="1"/>
      <protection hidden="1"/>
    </xf>
    <xf numFmtId="10" fontId="0" fillId="0" borderId="8" xfId="1" applyNumberFormat="1" applyFont="1" applyBorder="1" applyProtection="1">
      <protection hidden="1"/>
    </xf>
    <xf numFmtId="10" fontId="0" fillId="10" borderId="8" xfId="1" applyNumberFormat="1" applyFont="1" applyFill="1" applyBorder="1" applyAlignment="1" applyProtection="1">
      <alignment vertical="center"/>
      <protection hidden="1"/>
    </xf>
    <xf numFmtId="10" fontId="0" fillId="7" borderId="8" xfId="1" applyNumberFormat="1" applyFont="1" applyFill="1" applyBorder="1" applyProtection="1">
      <protection hidden="1"/>
    </xf>
    <xf numFmtId="10" fontId="0" fillId="11" borderId="8" xfId="1" applyNumberFormat="1" applyFont="1" applyFill="1" applyBorder="1" applyProtection="1">
      <protection hidden="1"/>
    </xf>
    <xf numFmtId="3" fontId="27" fillId="3" borderId="7" xfId="5" applyNumberFormat="1" applyFont="1" applyFill="1" applyBorder="1" applyAlignment="1" applyProtection="1">
      <alignment horizontal="center" vertical="center" wrapText="1"/>
      <protection hidden="1"/>
    </xf>
    <xf numFmtId="3" fontId="27" fillId="3" borderId="0" xfId="5" applyNumberFormat="1" applyFont="1" applyFill="1" applyBorder="1" applyAlignment="1" applyProtection="1">
      <alignment horizontal="center" vertical="center" wrapText="1"/>
      <protection hidden="1"/>
    </xf>
    <xf numFmtId="1" fontId="27" fillId="3" borderId="11" xfId="5" applyNumberFormat="1" applyFont="1" applyFill="1" applyBorder="1" applyAlignment="1" applyProtection="1">
      <alignment horizontal="center" vertical="center" wrapText="1"/>
      <protection hidden="1"/>
    </xf>
    <xf numFmtId="1" fontId="27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0" fillId="6" borderId="4" xfId="0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left" vertical="center" wrapText="1"/>
      <protection hidden="1"/>
    </xf>
    <xf numFmtId="3" fontId="0" fillId="0" borderId="6" xfId="0" applyNumberFormat="1" applyBorder="1" applyProtection="1">
      <protection hidden="1"/>
    </xf>
    <xf numFmtId="0" fontId="0" fillId="0" borderId="8" xfId="0" applyBorder="1" applyAlignment="1" applyProtection="1">
      <alignment horizontal="left" vertical="center" wrapText="1"/>
      <protection hidden="1"/>
    </xf>
    <xf numFmtId="0" fontId="0" fillId="7" borderId="9" xfId="0" applyFill="1" applyBorder="1" applyAlignment="1" applyProtection="1">
      <alignment horizontal="left" vertical="center" wrapText="1"/>
      <protection hidden="1"/>
    </xf>
    <xf numFmtId="0" fontId="29" fillId="3" borderId="0" xfId="0" applyFont="1" applyFill="1" applyAlignment="1">
      <alignment horizontal="center" vertical="center"/>
    </xf>
    <xf numFmtId="0" fontId="28" fillId="3" borderId="1" xfId="0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center" vertical="center" wrapText="1"/>
    </xf>
    <xf numFmtId="0" fontId="28" fillId="3" borderId="3" xfId="0" applyFont="1" applyFill="1" applyBorder="1" applyAlignment="1">
      <alignment horizontal="center" vertical="center" wrapText="1"/>
    </xf>
    <xf numFmtId="0" fontId="0" fillId="0" borderId="6" xfId="0" applyBorder="1"/>
    <xf numFmtId="165" fontId="0" fillId="0" borderId="6" xfId="1" applyNumberFormat="1" applyFont="1" applyBorder="1"/>
    <xf numFmtId="0" fontId="0" fillId="0" borderId="8" xfId="0" applyBorder="1"/>
    <xf numFmtId="165" fontId="0" fillId="0" borderId="8" xfId="1" applyNumberFormat="1" applyFont="1" applyBorder="1"/>
    <xf numFmtId="0" fontId="0" fillId="7" borderId="9" xfId="0" applyFill="1" applyBorder="1"/>
    <xf numFmtId="165" fontId="0" fillId="7" borderId="9" xfId="1" applyNumberFormat="1" applyFont="1" applyFill="1" applyBorder="1"/>
    <xf numFmtId="0" fontId="30" fillId="0" borderId="1" xfId="0" applyFont="1" applyBorder="1" applyAlignment="1">
      <alignment horizontal="left" wrapText="1"/>
    </xf>
    <xf numFmtId="0" fontId="30" fillId="0" borderId="2" xfId="0" applyFont="1" applyBorder="1" applyAlignment="1">
      <alignment horizontal="left" wrapText="1"/>
    </xf>
    <xf numFmtId="0" fontId="30" fillId="0" borderId="3" xfId="0" applyFont="1" applyBorder="1" applyAlignment="1">
      <alignment horizontal="left" wrapText="1"/>
    </xf>
    <xf numFmtId="0" fontId="30" fillId="0" borderId="0" xfId="0" applyFont="1" applyBorder="1" applyAlignment="1">
      <alignment horizontal="left" wrapText="1"/>
    </xf>
    <xf numFmtId="1" fontId="12" fillId="3" borderId="12" xfId="6" applyFont="1" applyFill="1" applyBorder="1" applyAlignment="1" applyProtection="1">
      <alignment horizontal="center" vertical="center" wrapText="1"/>
      <protection hidden="1"/>
    </xf>
    <xf numFmtId="1" fontId="2" fillId="0" borderId="0" xfId="6">
      <alignment vertical="center"/>
    </xf>
    <xf numFmtId="1" fontId="21" fillId="6" borderId="6" xfId="6" applyFont="1" applyFill="1" applyBorder="1" applyAlignment="1" applyProtection="1">
      <alignment horizontal="left" vertical="center" wrapText="1"/>
      <protection hidden="1"/>
    </xf>
    <xf numFmtId="1" fontId="2" fillId="6" borderId="5" xfId="6" applyFont="1" applyFill="1" applyBorder="1" applyAlignment="1" applyProtection="1">
      <alignment horizontal="left" vertical="center" wrapText="1"/>
      <protection hidden="1"/>
    </xf>
    <xf numFmtId="166" fontId="2" fillId="6" borderId="5" xfId="6" applyNumberFormat="1" applyFont="1" applyFill="1" applyBorder="1" applyAlignment="1" applyProtection="1">
      <alignment horizontal="left" vertical="center" wrapText="1"/>
      <protection hidden="1"/>
    </xf>
    <xf numFmtId="1" fontId="31" fillId="6" borderId="5" xfId="6" applyFont="1" applyFill="1" applyBorder="1" applyAlignment="1" applyProtection="1">
      <alignment horizontal="left" vertical="center" wrapText="1"/>
      <protection hidden="1"/>
    </xf>
    <xf numFmtId="1" fontId="2" fillId="6" borderId="5" xfId="6" applyFill="1" applyBorder="1" applyAlignment="1" applyProtection="1">
      <alignment vertical="center" wrapText="1"/>
      <protection hidden="1"/>
    </xf>
    <xf numFmtId="1" fontId="2" fillId="6" borderId="4" xfId="6" applyFont="1" applyFill="1" applyBorder="1" applyAlignment="1" applyProtection="1">
      <alignment horizontal="left" vertical="center" wrapText="1"/>
      <protection hidden="1"/>
    </xf>
    <xf numFmtId="1" fontId="2" fillId="0" borderId="0" xfId="6" applyAlignment="1">
      <alignment vertical="center" wrapText="1"/>
    </xf>
    <xf numFmtId="164" fontId="2" fillId="0" borderId="8" xfId="6" applyNumberFormat="1" applyFont="1" applyBorder="1" applyProtection="1">
      <alignment vertical="center"/>
      <protection hidden="1"/>
    </xf>
    <xf numFmtId="165" fontId="2" fillId="0" borderId="8" xfId="1" applyNumberFormat="1" applyFont="1" applyBorder="1" applyAlignment="1" applyProtection="1">
      <alignment vertical="center"/>
      <protection hidden="1"/>
    </xf>
    <xf numFmtId="164" fontId="21" fillId="7" borderId="8" xfId="6" applyNumberFormat="1" applyFont="1" applyFill="1" applyBorder="1" applyProtection="1">
      <alignment vertical="center"/>
      <protection hidden="1"/>
    </xf>
    <xf numFmtId="165" fontId="21" fillId="7" borderId="8" xfId="1" applyNumberFormat="1" applyFont="1" applyFill="1" applyBorder="1" applyAlignment="1" applyProtection="1">
      <alignment vertical="center"/>
      <protection hidden="1"/>
    </xf>
    <xf numFmtId="49" fontId="32" fillId="10" borderId="9" xfId="6" applyNumberFormat="1" applyFont="1" applyFill="1" applyBorder="1" applyAlignment="1" applyProtection="1">
      <alignment horizontal="center" vertical="center" wrapText="1"/>
      <protection hidden="1"/>
    </xf>
    <xf numFmtId="164" fontId="2" fillId="10" borderId="9" xfId="6" applyNumberFormat="1" applyFont="1" applyFill="1" applyBorder="1" applyProtection="1">
      <alignment vertical="center"/>
      <protection hidden="1"/>
    </xf>
    <xf numFmtId="165" fontId="2" fillId="10" borderId="9" xfId="1" applyNumberFormat="1" applyFont="1" applyFill="1" applyBorder="1" applyAlignment="1" applyProtection="1">
      <alignment vertical="center"/>
      <protection hidden="1"/>
    </xf>
    <xf numFmtId="49" fontId="32" fillId="7" borderId="9" xfId="6" applyNumberFormat="1" applyFont="1" applyFill="1" applyBorder="1" applyAlignment="1" applyProtection="1">
      <alignment horizontal="left" vertical="center" wrapText="1"/>
      <protection hidden="1"/>
    </xf>
    <xf numFmtId="164" fontId="2" fillId="7" borderId="9" xfId="6" applyNumberFormat="1" applyFont="1" applyFill="1" applyBorder="1" applyProtection="1">
      <alignment vertical="center"/>
      <protection hidden="1"/>
    </xf>
    <xf numFmtId="165" fontId="2" fillId="7" borderId="9" xfId="1" applyNumberFormat="1" applyFont="1" applyFill="1" applyBorder="1" applyAlignment="1" applyProtection="1">
      <alignment vertical="center"/>
      <protection hidden="1"/>
    </xf>
    <xf numFmtId="164" fontId="21" fillId="7" borderId="9" xfId="6" applyNumberFormat="1" applyFont="1" applyFill="1" applyBorder="1" applyProtection="1">
      <alignment vertical="center"/>
      <protection hidden="1"/>
    </xf>
    <xf numFmtId="165" fontId="21" fillId="7" borderId="9" xfId="1" applyNumberFormat="1" applyFont="1" applyFill="1" applyBorder="1" applyAlignment="1" applyProtection="1">
      <alignment vertical="center"/>
      <protection hidden="1"/>
    </xf>
    <xf numFmtId="49" fontId="32" fillId="11" borderId="9" xfId="6" applyNumberFormat="1" applyFont="1" applyFill="1" applyBorder="1" applyAlignment="1" applyProtection="1">
      <alignment horizontal="left" vertical="center" wrapText="1"/>
      <protection hidden="1"/>
    </xf>
    <xf numFmtId="164" fontId="2" fillId="11" borderId="9" xfId="6" applyNumberFormat="1" applyFont="1" applyFill="1" applyBorder="1" applyProtection="1">
      <alignment vertical="center"/>
      <protection hidden="1"/>
    </xf>
    <xf numFmtId="165" fontId="2" fillId="11" borderId="9" xfId="1" applyNumberFormat="1" applyFont="1" applyFill="1" applyBorder="1" applyAlignment="1" applyProtection="1">
      <alignment vertical="center"/>
      <protection hidden="1"/>
    </xf>
    <xf numFmtId="164" fontId="2" fillId="11" borderId="8" xfId="6" applyNumberFormat="1" applyFont="1" applyFill="1" applyBorder="1" applyProtection="1">
      <alignment vertical="center"/>
      <protection hidden="1"/>
    </xf>
    <xf numFmtId="165" fontId="2" fillId="11" borderId="8" xfId="1" applyNumberFormat="1" applyFont="1" applyFill="1" applyBorder="1" applyAlignment="1" applyProtection="1">
      <alignment vertical="center"/>
      <protection hidden="1"/>
    </xf>
    <xf numFmtId="1" fontId="20" fillId="3" borderId="7" xfId="2" applyFont="1" applyFill="1" applyBorder="1" applyAlignment="1" applyProtection="1">
      <alignment horizontal="center" vertical="center" wrapText="1"/>
      <protection hidden="1"/>
    </xf>
    <xf numFmtId="1" fontId="20" fillId="3" borderId="0" xfId="2" applyFont="1" applyFill="1" applyBorder="1" applyAlignment="1" applyProtection="1">
      <alignment horizontal="center" vertical="center" wrapText="1"/>
      <protection hidden="1"/>
    </xf>
    <xf numFmtId="1" fontId="21" fillId="6" borderId="6" xfId="2" applyFont="1" applyFill="1" applyBorder="1" applyAlignment="1" applyProtection="1">
      <alignment horizontal="left" vertical="center"/>
      <protection hidden="1"/>
    </xf>
    <xf numFmtId="17" fontId="32" fillId="6" borderId="4" xfId="2" applyNumberFormat="1" applyFont="1" applyFill="1" applyBorder="1" applyAlignment="1" applyProtection="1">
      <alignment horizontal="center" vertical="center" wrapText="1"/>
      <protection hidden="1"/>
    </xf>
    <xf numFmtId="1" fontId="22" fillId="6" borderId="4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/>
      <protection hidden="1"/>
    </xf>
    <xf numFmtId="164" fontId="2" fillId="0" borderId="6" xfId="2" applyNumberFormat="1" applyFont="1" applyBorder="1" applyProtection="1">
      <alignment vertical="center"/>
      <protection hidden="1"/>
    </xf>
    <xf numFmtId="10" fontId="2" fillId="0" borderId="6" xfId="4" applyNumberFormat="1" applyFont="1" applyBorder="1" applyProtection="1">
      <alignment vertical="center"/>
      <protection hidden="1"/>
    </xf>
    <xf numFmtId="165" fontId="2" fillId="0" borderId="0" xfId="1" applyNumberFormat="1" applyFont="1" applyAlignment="1">
      <alignment vertical="center"/>
    </xf>
    <xf numFmtId="166" fontId="2" fillId="0" borderId="7" xfId="2" applyNumberFormat="1" applyFont="1" applyBorder="1" applyAlignment="1" applyProtection="1">
      <alignment horizontal="left"/>
      <protection hidden="1"/>
    </xf>
    <xf numFmtId="1" fontId="31" fillId="0" borderId="7" xfId="2" applyFont="1" applyBorder="1" applyAlignment="1" applyProtection="1">
      <alignment horizontal="left" indent="1"/>
      <protection hidden="1"/>
    </xf>
    <xf numFmtId="1" fontId="2" fillId="0" borderId="7" xfId="2" applyBorder="1" applyProtection="1">
      <alignment vertical="center"/>
      <protection hidden="1"/>
    </xf>
    <xf numFmtId="1" fontId="2" fillId="11" borderId="7" xfId="2" applyFill="1" applyBorder="1" applyProtection="1">
      <alignment vertical="center"/>
      <protection hidden="1"/>
    </xf>
    <xf numFmtId="164" fontId="2" fillId="11" borderId="8" xfId="2" applyNumberFormat="1" applyFont="1" applyFill="1" applyBorder="1" applyProtection="1">
      <alignment vertical="center"/>
      <protection hidden="1"/>
    </xf>
    <xf numFmtId="10" fontId="2" fillId="11" borderId="8" xfId="4" applyNumberFormat="1" applyFont="1" applyFill="1" applyBorder="1" applyProtection="1">
      <alignment vertical="center"/>
      <protection hidden="1"/>
    </xf>
    <xf numFmtId="1" fontId="21" fillId="7" borderId="11" xfId="2" applyFont="1" applyFill="1" applyBorder="1" applyAlignment="1" applyProtection="1">
      <alignment horizontal="left"/>
      <protection hidden="1"/>
    </xf>
    <xf numFmtId="164" fontId="21" fillId="7" borderId="9" xfId="2" applyNumberFormat="1" applyFont="1" applyFill="1" applyBorder="1" applyProtection="1">
      <alignment vertical="center"/>
      <protection hidden="1"/>
    </xf>
    <xf numFmtId="10" fontId="21" fillId="7" borderId="9" xfId="4" applyNumberFormat="1" applyFont="1" applyFill="1" applyBorder="1" applyProtection="1">
      <alignment vertical="center"/>
      <protection hidden="1"/>
    </xf>
    <xf numFmtId="1" fontId="23" fillId="0" borderId="1" xfId="2" applyFont="1" applyBorder="1" applyAlignment="1" applyProtection="1">
      <alignment horizontal="left" wrapText="1"/>
      <protection hidden="1"/>
    </xf>
    <xf numFmtId="1" fontId="23" fillId="0" borderId="2" xfId="2" applyFont="1" applyBorder="1" applyAlignment="1" applyProtection="1">
      <alignment horizontal="left" wrapText="1"/>
      <protection hidden="1"/>
    </xf>
    <xf numFmtId="1" fontId="23" fillId="0" borderId="3" xfId="2" applyFont="1" applyBorder="1" applyAlignment="1" applyProtection="1">
      <alignment horizontal="left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6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" fontId="20" fillId="3" borderId="1" xfId="2" applyFont="1" applyFill="1" applyBorder="1" applyAlignment="1" applyProtection="1">
      <alignment horizontal="center" vertical="center" wrapText="1"/>
      <protection hidden="1"/>
    </xf>
    <xf numFmtId="1" fontId="20" fillId="3" borderId="2" xfId="2" applyFont="1" applyFill="1" applyBorder="1" applyAlignment="1" applyProtection="1">
      <alignment horizontal="center" vertical="center" wrapText="1"/>
      <protection hidden="1"/>
    </xf>
    <xf numFmtId="1" fontId="20" fillId="3" borderId="3" xfId="2" applyFont="1" applyFill="1" applyBorder="1" applyAlignment="1" applyProtection="1">
      <alignment horizontal="center" vertical="center" wrapText="1"/>
      <protection hidden="1"/>
    </xf>
    <xf numFmtId="165" fontId="2" fillId="0" borderId="6" xfId="4" applyNumberFormat="1" applyFont="1" applyBorder="1" applyAlignment="1" applyProtection="1">
      <alignment horizontal="center"/>
      <protection hidden="1"/>
    </xf>
    <xf numFmtId="165" fontId="2" fillId="0" borderId="14" xfId="4" applyNumberFormat="1" applyFont="1" applyBorder="1" applyAlignment="1" applyProtection="1">
      <alignment horizontal="center"/>
      <protection hidden="1"/>
    </xf>
    <xf numFmtId="165" fontId="0" fillId="0" borderId="0" xfId="4" applyNumberFormat="1" applyFont="1">
      <alignment vertical="center"/>
    </xf>
    <xf numFmtId="165" fontId="2" fillId="0" borderId="8" xfId="4" applyNumberFormat="1" applyFont="1" applyBorder="1" applyAlignment="1" applyProtection="1">
      <alignment horizontal="center"/>
      <protection hidden="1"/>
    </xf>
    <xf numFmtId="165" fontId="2" fillId="0" borderId="15" xfId="4" applyNumberFormat="1" applyFont="1" applyBorder="1" applyAlignment="1" applyProtection="1">
      <alignment horizontal="center"/>
      <protection hidden="1"/>
    </xf>
    <xf numFmtId="165" fontId="2" fillId="11" borderId="8" xfId="4" applyNumberFormat="1" applyFont="1" applyFill="1" applyBorder="1" applyAlignment="1" applyProtection="1">
      <alignment horizontal="center"/>
      <protection hidden="1"/>
    </xf>
    <xf numFmtId="165" fontId="2" fillId="11" borderId="15" xfId="4" applyNumberFormat="1" applyFont="1" applyFill="1" applyBorder="1" applyAlignment="1" applyProtection="1">
      <alignment horizontal="center"/>
      <protection hidden="1"/>
    </xf>
    <xf numFmtId="165" fontId="21" fillId="7" borderId="9" xfId="4" applyNumberFormat="1" applyFont="1" applyFill="1" applyBorder="1" applyAlignment="1" applyProtection="1">
      <alignment horizontal="center"/>
      <protection hidden="1"/>
    </xf>
    <xf numFmtId="165" fontId="21" fillId="7" borderId="16" xfId="4" applyNumberFormat="1" applyFont="1" applyFill="1" applyBorder="1" applyAlignment="1" applyProtection="1">
      <alignment horizontal="center"/>
      <protection hidden="1"/>
    </xf>
    <xf numFmtId="49" fontId="20" fillId="3" borderId="5" xfId="2" applyNumberFormat="1" applyFont="1" applyFill="1" applyBorder="1" applyAlignment="1" applyProtection="1">
      <alignment horizontal="center" vertical="center" wrapText="1"/>
      <protection hidden="1"/>
    </xf>
    <xf numFmtId="1" fontId="20" fillId="3" borderId="13" xfId="2" applyFont="1" applyFill="1" applyBorder="1" applyAlignment="1" applyProtection="1">
      <alignment horizontal="center" vertical="center" wrapText="1"/>
      <protection hidden="1"/>
    </xf>
    <xf numFmtId="1" fontId="33" fillId="0" borderId="0" xfId="2" applyFont="1" applyAlignment="1">
      <alignment vertical="center" wrapText="1"/>
    </xf>
    <xf numFmtId="1" fontId="20" fillId="3" borderId="11" xfId="2" applyFont="1" applyFill="1" applyBorder="1" applyAlignment="1" applyProtection="1">
      <alignment horizontal="center" vertical="center" wrapText="1"/>
      <protection hidden="1"/>
    </xf>
    <xf numFmtId="1" fontId="20" fillId="3" borderId="12" xfId="2" applyFont="1" applyFill="1" applyBorder="1" applyAlignment="1" applyProtection="1">
      <alignment horizontal="center" vertical="center" wrapText="1"/>
      <protection hidden="1"/>
    </xf>
    <xf numFmtId="1" fontId="32" fillId="6" borderId="8" xfId="2" applyFont="1" applyFill="1" applyBorder="1" applyAlignment="1" applyProtection="1">
      <alignment horizontal="center" vertical="center" wrapText="1"/>
      <protection hidden="1"/>
    </xf>
    <xf numFmtId="1" fontId="32" fillId="6" borderId="9" xfId="2" applyFont="1" applyFill="1" applyBorder="1" applyAlignment="1" applyProtection="1">
      <alignment horizontal="center" vertical="center" wrapText="1"/>
      <protection hidden="1"/>
    </xf>
    <xf numFmtId="1" fontId="32" fillId="6" borderId="4" xfId="2" applyFont="1" applyFill="1" applyBorder="1" applyAlignment="1" applyProtection="1">
      <alignment horizontal="center" vertical="center" wrapText="1"/>
      <protection hidden="1"/>
    </xf>
    <xf numFmtId="1" fontId="33" fillId="6" borderId="4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 vertical="center" wrapText="1"/>
      <protection hidden="1"/>
    </xf>
    <xf numFmtId="3" fontId="33" fillId="0" borderId="6" xfId="4" applyNumberFormat="1" applyFont="1" applyBorder="1" applyAlignment="1" applyProtection="1">
      <alignment vertical="center" wrapText="1"/>
      <protection hidden="1"/>
    </xf>
    <xf numFmtId="1" fontId="2" fillId="0" borderId="7" xfId="2" applyFont="1" applyBorder="1" applyAlignment="1" applyProtection="1">
      <alignment horizontal="left" vertical="center" wrapText="1"/>
      <protection hidden="1"/>
    </xf>
    <xf numFmtId="3" fontId="33" fillId="0" borderId="8" xfId="4" applyNumberFormat="1" applyFont="1" applyBorder="1" applyAlignment="1" applyProtection="1">
      <alignment vertical="center" wrapText="1"/>
      <protection hidden="1"/>
    </xf>
    <xf numFmtId="166" fontId="2" fillId="0" borderId="7" xfId="2" applyNumberFormat="1" applyFont="1" applyBorder="1" applyAlignment="1" applyProtection="1">
      <alignment horizontal="left" vertical="center" wrapText="1"/>
      <protection hidden="1"/>
    </xf>
    <xf numFmtId="1" fontId="31" fillId="0" borderId="7" xfId="2" applyFont="1" applyBorder="1" applyAlignment="1" applyProtection="1">
      <alignment horizontal="left" vertical="center" wrapText="1" indent="1"/>
      <protection hidden="1"/>
    </xf>
    <xf numFmtId="1" fontId="2" fillId="0" borderId="7" xfId="2" applyBorder="1" applyAlignment="1" applyProtection="1">
      <alignment vertical="center" wrapText="1"/>
      <protection hidden="1"/>
    </xf>
    <xf numFmtId="1" fontId="33" fillId="0" borderId="0" xfId="2" applyFont="1" applyAlignment="1" applyProtection="1">
      <alignment vertical="center" wrapText="1"/>
      <protection hidden="1"/>
    </xf>
    <xf numFmtId="1" fontId="2" fillId="11" borderId="7" xfId="6" applyFont="1" applyFill="1" applyBorder="1" applyAlignment="1" applyProtection="1">
      <alignment vertical="center" wrapText="1"/>
      <protection hidden="1"/>
    </xf>
    <xf numFmtId="3" fontId="33" fillId="11" borderId="8" xfId="7" applyNumberFormat="1" applyFont="1" applyFill="1" applyBorder="1" applyAlignment="1" applyProtection="1">
      <alignment vertical="center" wrapText="1"/>
      <protection hidden="1"/>
    </xf>
    <xf numFmtId="1" fontId="33" fillId="0" borderId="0" xfId="6" applyFont="1" applyAlignment="1">
      <alignment vertical="center" wrapText="1"/>
    </xf>
    <xf numFmtId="1" fontId="21" fillId="7" borderId="11" xfId="2" applyFont="1" applyFill="1" applyBorder="1" applyAlignment="1" applyProtection="1">
      <alignment horizontal="left" vertical="center" wrapText="1"/>
      <protection hidden="1"/>
    </xf>
    <xf numFmtId="3" fontId="32" fillId="7" borderId="9" xfId="4" applyNumberFormat="1" applyFont="1" applyFill="1" applyBorder="1" applyAlignment="1" applyProtection="1">
      <alignment vertical="center" wrapText="1"/>
      <protection hidden="1"/>
    </xf>
    <xf numFmtId="1" fontId="23" fillId="0" borderId="1" xfId="2" applyFont="1" applyBorder="1" applyAlignment="1" applyProtection="1">
      <alignment horizontal="left" vertical="center" wrapText="1"/>
      <protection hidden="1"/>
    </xf>
    <xf numFmtId="1" fontId="23" fillId="0" borderId="2" xfId="2" applyFont="1" applyBorder="1" applyAlignment="1" applyProtection="1">
      <alignment horizontal="left" vertical="center" wrapText="1"/>
      <protection hidden="1"/>
    </xf>
    <xf numFmtId="1" fontId="23" fillId="0" borderId="3" xfId="2" applyFont="1" applyBorder="1" applyAlignment="1" applyProtection="1">
      <alignment horizontal="left" vertical="center" wrapText="1"/>
      <protection hidden="1"/>
    </xf>
    <xf numFmtId="165" fontId="33" fillId="0" borderId="6" xfId="1" applyNumberFormat="1" applyFont="1" applyBorder="1" applyAlignment="1" applyProtection="1">
      <alignment vertical="center" wrapText="1"/>
      <protection hidden="1"/>
    </xf>
    <xf numFmtId="165" fontId="33" fillId="0" borderId="8" xfId="1" applyNumberFormat="1" applyFont="1" applyBorder="1" applyAlignment="1" applyProtection="1">
      <alignment vertical="center" wrapText="1"/>
      <protection hidden="1"/>
    </xf>
    <xf numFmtId="165" fontId="33" fillId="11" borderId="8" xfId="1" applyNumberFormat="1" applyFont="1" applyFill="1" applyBorder="1" applyAlignment="1" applyProtection="1">
      <alignment vertical="center" wrapText="1"/>
      <protection hidden="1"/>
    </xf>
    <xf numFmtId="165" fontId="32" fillId="7" borderId="9" xfId="1" applyNumberFormat="1" applyFont="1" applyFill="1" applyBorder="1" applyAlignment="1" applyProtection="1">
      <alignment vertical="center" wrapText="1"/>
      <protection hidden="1"/>
    </xf>
    <xf numFmtId="165" fontId="33" fillId="0" borderId="6" xfId="4" applyNumberFormat="1" applyFont="1" applyBorder="1" applyAlignment="1" applyProtection="1">
      <alignment vertical="center" wrapText="1"/>
      <protection hidden="1"/>
    </xf>
    <xf numFmtId="165" fontId="33" fillId="0" borderId="8" xfId="4" applyNumberFormat="1" applyFont="1" applyBorder="1" applyAlignment="1" applyProtection="1">
      <alignment vertical="center" wrapText="1"/>
      <protection hidden="1"/>
    </xf>
    <xf numFmtId="165" fontId="33" fillId="11" borderId="8" xfId="7" applyNumberFormat="1" applyFont="1" applyFill="1" applyBorder="1" applyAlignment="1" applyProtection="1">
      <alignment vertical="center" wrapText="1"/>
      <protection hidden="1"/>
    </xf>
    <xf numFmtId="165" fontId="33" fillId="7" borderId="8" xfId="4" applyNumberFormat="1" applyFont="1" applyFill="1" applyBorder="1" applyAlignment="1" applyProtection="1">
      <alignment vertical="center" wrapText="1"/>
      <protection hidden="1"/>
    </xf>
    <xf numFmtId="1" fontId="12" fillId="3" borderId="0" xfId="6" applyFont="1" applyFill="1" applyBorder="1" applyAlignment="1" applyProtection="1">
      <alignment horizontal="center" vertical="center" wrapText="1"/>
      <protection hidden="1"/>
    </xf>
    <xf numFmtId="49" fontId="32" fillId="10" borderId="9" xfId="6" applyNumberFormat="1" applyFont="1" applyFill="1" applyBorder="1" applyAlignment="1" applyProtection="1">
      <alignment horizontal="left" vertical="center" wrapText="1"/>
      <protection hidden="1"/>
    </xf>
    <xf numFmtId="165" fontId="21" fillId="10" borderId="9" xfId="1" applyNumberFormat="1" applyFont="1" applyFill="1" applyBorder="1" applyAlignment="1" applyProtection="1">
      <alignment vertical="center"/>
      <protection hidden="1"/>
    </xf>
    <xf numFmtId="165" fontId="21" fillId="11" borderId="9" xfId="1" applyNumberFormat="1" applyFont="1" applyFill="1" applyBorder="1" applyAlignment="1" applyProtection="1">
      <alignment vertical="center"/>
      <protection hidden="1"/>
    </xf>
    <xf numFmtId="1" fontId="33" fillId="0" borderId="0" xfId="6" applyFont="1" applyProtection="1">
      <alignment vertical="center"/>
      <protection hidden="1"/>
    </xf>
    <xf numFmtId="49" fontId="2" fillId="0" borderId="0" xfId="6" applyNumberFormat="1" applyFont="1" applyProtection="1">
      <alignment vertical="center"/>
      <protection hidden="1"/>
    </xf>
    <xf numFmtId="1" fontId="20" fillId="3" borderId="11" xfId="6" applyFont="1" applyFill="1" applyBorder="1" applyAlignment="1" applyProtection="1">
      <alignment horizontal="center" vertical="center" wrapText="1"/>
      <protection hidden="1"/>
    </xf>
    <xf numFmtId="1" fontId="20" fillId="3" borderId="12" xfId="6" applyFont="1" applyFill="1" applyBorder="1" applyAlignment="1" applyProtection="1">
      <alignment horizontal="center" vertical="center" wrapText="1"/>
      <protection hidden="1"/>
    </xf>
    <xf numFmtId="1" fontId="2" fillId="6" borderId="4" xfId="6" applyFill="1" applyBorder="1" applyAlignment="1" applyProtection="1">
      <alignment horizontal="center" vertical="center"/>
      <protection hidden="1"/>
    </xf>
    <xf numFmtId="0" fontId="32" fillId="6" borderId="4" xfId="6" applyNumberFormat="1" applyFont="1" applyFill="1" applyBorder="1" applyAlignment="1" applyProtection="1">
      <alignment horizontal="center" vertical="center" wrapText="1"/>
      <protection hidden="1"/>
    </xf>
    <xf numFmtId="17" fontId="33" fillId="0" borderId="8" xfId="6" applyNumberFormat="1" applyFont="1" applyFill="1" applyBorder="1" applyAlignment="1" applyProtection="1">
      <alignment horizontal="left" vertical="center"/>
      <protection hidden="1"/>
    </xf>
    <xf numFmtId="165" fontId="33" fillId="0" borderId="8" xfId="1" applyNumberFormat="1" applyFont="1" applyBorder="1" applyAlignment="1" applyProtection="1">
      <alignment horizontal="center" vertical="center"/>
      <protection hidden="1"/>
    </xf>
    <xf numFmtId="49" fontId="33" fillId="10" borderId="8" xfId="6" applyNumberFormat="1" applyFont="1" applyFill="1" applyBorder="1" applyAlignment="1" applyProtection="1">
      <alignment horizontal="center" vertical="center" wrapText="1"/>
      <protection hidden="1"/>
    </xf>
    <xf numFmtId="164" fontId="21" fillId="10" borderId="8" xfId="6" applyNumberFormat="1" applyFont="1" applyFill="1" applyBorder="1" applyProtection="1">
      <alignment vertical="center"/>
      <protection hidden="1"/>
    </xf>
    <xf numFmtId="165" fontId="21" fillId="10" borderId="8" xfId="7" applyNumberFormat="1" applyFont="1" applyFill="1" applyBorder="1" applyProtection="1">
      <alignment vertical="center"/>
      <protection hidden="1"/>
    </xf>
    <xf numFmtId="49" fontId="33" fillId="7" borderId="8" xfId="6" applyNumberFormat="1" applyFont="1" applyFill="1" applyBorder="1" applyAlignment="1" applyProtection="1">
      <alignment horizontal="left" vertical="center"/>
      <protection hidden="1"/>
    </xf>
    <xf numFmtId="165" fontId="21" fillId="7" borderId="8" xfId="4" applyNumberFormat="1" applyFont="1" applyFill="1" applyBorder="1" applyProtection="1">
      <alignment vertical="center"/>
      <protection hidden="1"/>
    </xf>
    <xf numFmtId="49" fontId="33" fillId="11" borderId="8" xfId="6" applyNumberFormat="1" applyFont="1" applyFill="1" applyBorder="1" applyAlignment="1" applyProtection="1">
      <alignment horizontal="left" vertical="center"/>
      <protection hidden="1"/>
    </xf>
    <xf numFmtId="164" fontId="21" fillId="11" borderId="8" xfId="6" applyNumberFormat="1" applyFont="1" applyFill="1" applyBorder="1" applyProtection="1">
      <alignment vertical="center"/>
      <protection hidden="1"/>
    </xf>
    <xf numFmtId="165" fontId="21" fillId="11" borderId="8" xfId="4" applyNumberFormat="1" applyFont="1" applyFill="1" applyBorder="1" applyProtection="1">
      <alignment vertical="center"/>
      <protection hidden="1"/>
    </xf>
    <xf numFmtId="165" fontId="2" fillId="0" borderId="8" xfId="4" applyNumberFormat="1" applyFont="1" applyBorder="1" applyAlignment="1" applyProtection="1">
      <alignment horizontal="center" vertical="center"/>
      <protection hidden="1"/>
    </xf>
    <xf numFmtId="165" fontId="21" fillId="11" borderId="8" xfId="4" applyNumberFormat="1" applyFont="1" applyFill="1" applyBorder="1" applyAlignment="1" applyProtection="1">
      <alignment horizontal="center" vertical="center"/>
      <protection hidden="1"/>
    </xf>
    <xf numFmtId="1" fontId="23" fillId="6" borderId="1" xfId="6" applyFont="1" applyFill="1" applyBorder="1" applyAlignment="1" applyProtection="1">
      <alignment horizontal="left" wrapText="1"/>
      <protection hidden="1"/>
    </xf>
    <xf numFmtId="1" fontId="23" fillId="6" borderId="2" xfId="6" applyFont="1" applyFill="1" applyBorder="1" applyAlignment="1" applyProtection="1">
      <alignment horizontal="left" wrapText="1"/>
      <protection hidden="1"/>
    </xf>
    <xf numFmtId="1" fontId="4" fillId="3" borderId="0" xfId="2" applyFont="1" applyFill="1" applyAlignment="1">
      <alignment horizontal="left" vertical="center" indent="1"/>
    </xf>
    <xf numFmtId="1" fontId="5" fillId="3" borderId="0" xfId="2" applyFont="1" applyFill="1">
      <alignment vertical="center"/>
    </xf>
    <xf numFmtId="1" fontId="2" fillId="2" borderId="0" xfId="2" applyFont="1" applyFill="1">
      <alignment vertical="center"/>
    </xf>
    <xf numFmtId="165" fontId="0" fillId="10" borderId="8" xfId="1" applyNumberFormat="1" applyFont="1" applyFill="1" applyBorder="1" applyAlignment="1">
      <alignment vertical="center"/>
    </xf>
    <xf numFmtId="165" fontId="0" fillId="7" borderId="8" xfId="1" applyNumberFormat="1" applyFont="1" applyFill="1" applyBorder="1"/>
    <xf numFmtId="165" fontId="0" fillId="11" borderId="8" xfId="1" applyNumberFormat="1" applyFont="1" applyFill="1" applyBorder="1"/>
    <xf numFmtId="10" fontId="0" fillId="0" borderId="8" xfId="1" applyNumberFormat="1" applyFont="1" applyBorder="1"/>
    <xf numFmtId="10" fontId="0" fillId="10" borderId="8" xfId="1" applyNumberFormat="1" applyFont="1" applyFill="1" applyBorder="1" applyAlignment="1">
      <alignment vertical="center"/>
    </xf>
    <xf numFmtId="10" fontId="0" fillId="7" borderId="8" xfId="1" applyNumberFormat="1" applyFont="1" applyFill="1" applyBorder="1"/>
    <xf numFmtId="10" fontId="0" fillId="11" borderId="8" xfId="1" applyNumberFormat="1" applyFont="1" applyFill="1" applyBorder="1"/>
    <xf numFmtId="17" fontId="21" fillId="6" borderId="4" xfId="2" applyNumberFormat="1" applyFont="1" applyFill="1" applyBorder="1" applyAlignment="1" applyProtection="1">
      <alignment horizontal="center" vertical="center" wrapText="1"/>
      <protection hidden="1"/>
    </xf>
    <xf numFmtId="49" fontId="21" fillId="6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6" borderId="3" xfId="2" applyFont="1" applyFill="1" applyBorder="1" applyProtection="1">
      <alignment vertical="center"/>
      <protection hidden="1"/>
    </xf>
    <xf numFmtId="1" fontId="2" fillId="0" borderId="9" xfId="2" applyFont="1" applyBorder="1" applyAlignment="1" applyProtection="1">
      <alignment horizontal="left"/>
      <protection hidden="1"/>
    </xf>
    <xf numFmtId="10" fontId="2" fillId="0" borderId="9" xfId="4" applyNumberFormat="1" applyFont="1" applyBorder="1" applyProtection="1">
      <alignment vertical="center"/>
      <protection hidden="1"/>
    </xf>
    <xf numFmtId="164" fontId="2" fillId="0" borderId="5" xfId="2" applyNumberFormat="1" applyFont="1" applyBorder="1" applyProtection="1">
      <alignment vertical="center"/>
      <protection hidden="1"/>
    </xf>
    <xf numFmtId="10" fontId="2" fillId="0" borderId="14" xfId="4" applyNumberFormat="1" applyFont="1" applyBorder="1" applyProtection="1">
      <alignment vertical="center"/>
      <protection hidden="1"/>
    </xf>
    <xf numFmtId="164" fontId="2" fillId="0" borderId="7" xfId="2" applyNumberFormat="1" applyFont="1" applyBorder="1" applyProtection="1">
      <alignment vertical="center"/>
      <protection hidden="1"/>
    </xf>
    <xf numFmtId="10" fontId="2" fillId="0" borderId="15" xfId="4" applyNumberFormat="1" applyFont="1" applyBorder="1" applyProtection="1">
      <alignment vertical="center"/>
      <protection hidden="1"/>
    </xf>
    <xf numFmtId="1" fontId="2" fillId="6" borderId="12" xfId="2" applyFont="1" applyFill="1" applyBorder="1" applyProtection="1">
      <alignment vertical="center"/>
      <protection hidden="1"/>
    </xf>
    <xf numFmtId="1" fontId="2" fillId="0" borderId="11" xfId="2" applyFont="1" applyBorder="1" applyAlignment="1" applyProtection="1">
      <alignment horizontal="left"/>
      <protection hidden="1"/>
    </xf>
    <xf numFmtId="1" fontId="2" fillId="0" borderId="0" xfId="2" applyFont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33" fillId="10" borderId="8" xfId="6" applyNumberFormat="1" applyFont="1" applyFill="1" applyBorder="1" applyAlignment="1" applyProtection="1">
      <alignment horizontal="center" vertical="center" wrapText="1"/>
      <protection hidden="1"/>
    </xf>
    <xf numFmtId="165" fontId="21" fillId="10" borderId="8" xfId="7" applyNumberFormat="1" applyFont="1" applyFill="1" applyBorder="1" applyAlignment="1" applyProtection="1">
      <alignment vertical="center"/>
      <protection hidden="1"/>
    </xf>
    <xf numFmtId="4" fontId="0" fillId="0" borderId="8" xfId="0" applyNumberFormat="1" applyBorder="1" applyProtection="1">
      <protection hidden="1"/>
    </xf>
    <xf numFmtId="4" fontId="0" fillId="10" borderId="8" xfId="0" applyNumberFormat="1" applyFill="1" applyBorder="1" applyAlignment="1" applyProtection="1">
      <alignment vertical="center"/>
      <protection hidden="1"/>
    </xf>
    <xf numFmtId="4" fontId="0" fillId="0" borderId="0" xfId="0" applyNumberFormat="1" applyProtection="1">
      <protection hidden="1"/>
    </xf>
    <xf numFmtId="4" fontId="0" fillId="7" borderId="8" xfId="0" applyNumberFormat="1" applyFill="1" applyBorder="1" applyProtection="1">
      <protection hidden="1"/>
    </xf>
    <xf numFmtId="4" fontId="0" fillId="11" borderId="8" xfId="0" applyNumberFormat="1" applyFill="1" applyBorder="1" applyProtection="1">
      <protection hidden="1"/>
    </xf>
    <xf numFmtId="1" fontId="22" fillId="6" borderId="6" xfId="2" applyNumberFormat="1" applyFont="1" applyFill="1" applyBorder="1" applyAlignment="1" applyProtection="1">
      <alignment horizontal="center" vertical="center" wrapText="1"/>
      <protection hidden="1"/>
    </xf>
    <xf numFmtId="167" fontId="2" fillId="7" borderId="6" xfId="6" applyNumberFormat="1" applyFont="1" applyFill="1" applyBorder="1" applyAlignment="1" applyProtection="1">
      <alignment horizontal="center" vertical="center" wrapText="1"/>
      <protection hidden="1"/>
    </xf>
    <xf numFmtId="4" fontId="2" fillId="0" borderId="0" xfId="2" applyNumberFormat="1" applyFont="1">
      <alignment vertical="center"/>
    </xf>
    <xf numFmtId="167" fontId="2" fillId="0" borderId="8" xfId="6" applyNumberFormat="1" applyFont="1" applyBorder="1" applyAlignment="1" applyProtection="1">
      <alignment horizontal="center" vertical="center" wrapText="1"/>
      <protection hidden="1"/>
    </xf>
    <xf numFmtId="167" fontId="2" fillId="0" borderId="8" xfId="6" applyNumberFormat="1" applyFont="1" applyBorder="1" applyAlignment="1" applyProtection="1">
      <alignment horizontal="center" wrapText="1"/>
      <protection hidden="1"/>
    </xf>
    <xf numFmtId="1" fontId="2" fillId="0" borderId="16" xfId="2" applyFont="1" applyBorder="1" applyProtection="1">
      <alignment vertical="center"/>
      <protection hidden="1"/>
    </xf>
    <xf numFmtId="1" fontId="2" fillId="0" borderId="0" xfId="2" applyAlignment="1">
      <alignment vertical="center" wrapText="1"/>
    </xf>
    <xf numFmtId="1" fontId="32" fillId="6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6" borderId="13" xfId="2" applyFont="1" applyFill="1" applyBorder="1" applyAlignment="1" applyProtection="1">
      <alignment vertical="center" wrapText="1"/>
      <protection hidden="1"/>
    </xf>
    <xf numFmtId="1" fontId="2" fillId="6" borderId="2" xfId="2" applyFont="1" applyFill="1" applyBorder="1" applyAlignment="1" applyProtection="1">
      <alignment vertical="center" wrapText="1"/>
      <protection hidden="1"/>
    </xf>
    <xf numFmtId="1" fontId="2" fillId="6" borderId="14" xfId="2" applyFont="1" applyFill="1" applyBorder="1" applyAlignment="1" applyProtection="1">
      <alignment vertical="center" wrapText="1"/>
      <protection hidden="1"/>
    </xf>
    <xf numFmtId="1" fontId="2" fillId="7" borderId="5" xfId="2" applyFont="1" applyFill="1" applyBorder="1" applyAlignment="1" applyProtection="1">
      <alignment horizontal="left" wrapText="1"/>
      <protection hidden="1"/>
    </xf>
    <xf numFmtId="167" fontId="2" fillId="7" borderId="6" xfId="2" applyNumberFormat="1" applyFont="1" applyFill="1" applyBorder="1" applyAlignment="1" applyProtection="1">
      <alignment horizontal="center" vertical="center" wrapText="1"/>
      <protection hidden="1"/>
    </xf>
    <xf numFmtId="10" fontId="2" fillId="7" borderId="6" xfId="4" applyNumberFormat="1" applyFont="1" applyFill="1" applyBorder="1" applyAlignment="1" applyProtection="1">
      <alignment horizontal="center" vertical="center" wrapText="1"/>
      <protection hidden="1"/>
    </xf>
    <xf numFmtId="1" fontId="2" fillId="0" borderId="7" xfId="2" applyFont="1" applyBorder="1" applyAlignment="1" applyProtection="1">
      <alignment horizontal="left" wrapText="1"/>
      <protection hidden="1"/>
    </xf>
    <xf numFmtId="167" fontId="2" fillId="0" borderId="8" xfId="2" applyNumberFormat="1" applyFont="1" applyBorder="1" applyAlignment="1" applyProtection="1">
      <alignment horizontal="center" vertical="center" wrapText="1"/>
      <protection hidden="1"/>
    </xf>
    <xf numFmtId="10" fontId="2" fillId="0" borderId="8" xfId="4" applyNumberFormat="1" applyFont="1" applyBorder="1" applyAlignment="1" applyProtection="1">
      <alignment horizontal="center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2" fillId="0" borderId="11" xfId="2" applyFont="1" applyBorder="1" applyAlignment="1" applyProtection="1">
      <alignment horizontal="left" wrapText="1"/>
      <protection hidden="1"/>
    </xf>
    <xf numFmtId="167" fontId="2" fillId="0" borderId="9" xfId="2" applyNumberFormat="1" applyFont="1" applyBorder="1" applyAlignment="1" applyProtection="1">
      <alignment horizontal="center" vertical="center" wrapText="1"/>
      <protection hidden="1"/>
    </xf>
    <xf numFmtId="10" fontId="2" fillId="0" borderId="9" xfId="4" applyNumberFormat="1" applyFont="1" applyBorder="1" applyAlignment="1" applyProtection="1">
      <alignment horizontal="center" vertical="center" wrapText="1"/>
      <protection hidden="1"/>
    </xf>
    <xf numFmtId="1" fontId="2" fillId="6" borderId="13" xfId="2" applyFont="1" applyFill="1" applyBorder="1" applyAlignment="1" applyProtection="1">
      <alignment horizontal="center" vertical="center" wrapText="1"/>
      <protection hidden="1"/>
    </xf>
    <xf numFmtId="1" fontId="2" fillId="6" borderId="2" xfId="2" applyFont="1" applyFill="1" applyBorder="1" applyAlignment="1" applyProtection="1">
      <alignment horizontal="center" vertical="center" wrapText="1"/>
      <protection hidden="1"/>
    </xf>
    <xf numFmtId="10" fontId="2" fillId="6" borderId="3" xfId="2" applyNumberFormat="1" applyFont="1" applyFill="1" applyBorder="1" applyAlignment="1" applyProtection="1">
      <alignment horizontal="center" vertical="center" wrapText="1"/>
      <protection hidden="1"/>
    </xf>
    <xf numFmtId="1" fontId="23" fillId="0" borderId="4" xfId="2" applyFont="1" applyBorder="1" applyAlignment="1" applyProtection="1">
      <alignment wrapText="1"/>
      <protection hidden="1"/>
    </xf>
    <xf numFmtId="1" fontId="34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4" fillId="0" borderId="0" xfId="2" applyFont="1" applyBorder="1" applyAlignment="1">
      <alignment vertical="center" wrapText="1"/>
    </xf>
    <xf numFmtId="1" fontId="21" fillId="6" borderId="1" xfId="2" applyFont="1" applyFill="1" applyBorder="1" applyAlignment="1" applyProtection="1">
      <alignment horizontal="center" vertical="center" wrapText="1"/>
      <protection hidden="1"/>
    </xf>
    <xf numFmtId="1" fontId="21" fillId="6" borderId="1" xfId="2" applyFont="1" applyFill="1" applyBorder="1" applyAlignment="1" applyProtection="1">
      <alignment vertical="center" wrapText="1"/>
      <protection hidden="1"/>
    </xf>
    <xf numFmtId="1" fontId="2" fillId="6" borderId="3" xfId="2" applyFont="1" applyFill="1" applyBorder="1" applyAlignment="1" applyProtection="1">
      <alignment vertical="center" wrapText="1"/>
      <protection hidden="1"/>
    </xf>
    <xf numFmtId="1" fontId="2" fillId="7" borderId="5" xfId="2" applyFont="1" applyFill="1" applyBorder="1" applyAlignment="1" applyProtection="1">
      <alignment horizontal="left" vertical="center" wrapText="1"/>
      <protection hidden="1"/>
    </xf>
    <xf numFmtId="10" fontId="2" fillId="7" borderId="6" xfId="1" applyNumberFormat="1" applyFont="1" applyFill="1" applyBorder="1" applyAlignment="1" applyProtection="1">
      <alignment horizontal="center" vertical="center" wrapText="1"/>
      <protection hidden="1"/>
    </xf>
    <xf numFmtId="1" fontId="2" fillId="6" borderId="2" xfId="6" applyFont="1" applyFill="1" applyBorder="1" applyAlignment="1" applyProtection="1">
      <alignment horizontal="center" vertical="center" wrapText="1"/>
      <protection hidden="1"/>
    </xf>
    <xf numFmtId="1" fontId="2" fillId="0" borderId="8" xfId="2" applyFont="1" applyBorder="1" applyAlignment="1" applyProtection="1">
      <alignment horizontal="left" vertical="center" wrapText="1"/>
      <protection hidden="1"/>
    </xf>
    <xf numFmtId="1" fontId="2" fillId="0" borderId="1" xfId="2" applyFont="1" applyBorder="1" applyAlignment="1" applyProtection="1">
      <alignment horizontal="left" vertical="center" wrapText="1"/>
      <protection hidden="1"/>
    </xf>
    <xf numFmtId="167" fontId="2" fillId="0" borderId="4" xfId="6" applyNumberFormat="1" applyFont="1" applyBorder="1" applyAlignment="1" applyProtection="1">
      <alignment horizontal="center" vertical="center" wrapText="1"/>
      <protection hidden="1"/>
    </xf>
    <xf numFmtId="10" fontId="2" fillId="0" borderId="4" xfId="4" applyNumberFormat="1" applyFont="1" applyBorder="1" applyAlignment="1" applyProtection="1">
      <alignment horizontal="center" vertical="center" wrapText="1"/>
      <protection hidden="1"/>
    </xf>
    <xf numFmtId="1" fontId="23" fillId="0" borderId="1" xfId="2" applyFont="1" applyBorder="1" applyAlignment="1" applyProtection="1">
      <alignment vertical="center" wrapText="1"/>
      <protection hidden="1"/>
    </xf>
    <xf numFmtId="1" fontId="23" fillId="0" borderId="2" xfId="2" applyFont="1" applyBorder="1" applyAlignment="1" applyProtection="1">
      <alignment vertical="center" wrapText="1"/>
      <protection hidden="1"/>
    </xf>
    <xf numFmtId="1" fontId="23" fillId="0" borderId="3" xfId="2" applyFont="1" applyBorder="1" applyAlignment="1" applyProtection="1">
      <alignment vertical="center" wrapText="1"/>
      <protection hidden="1"/>
    </xf>
    <xf numFmtId="4" fontId="0" fillId="0" borderId="8" xfId="0" applyNumberFormat="1" applyBorder="1"/>
    <xf numFmtId="10" fontId="33" fillId="0" borderId="8" xfId="1" applyNumberFormat="1" applyFont="1" applyBorder="1" applyAlignment="1" applyProtection="1">
      <alignment horizontal="center" vertical="center"/>
      <protection hidden="1"/>
    </xf>
    <xf numFmtId="4" fontId="0" fillId="10" borderId="8" xfId="0" applyNumberFormat="1" applyFill="1" applyBorder="1" applyAlignment="1">
      <alignment vertical="center"/>
    </xf>
    <xf numFmtId="10" fontId="21" fillId="10" borderId="8" xfId="7" applyNumberFormat="1" applyFont="1" applyFill="1" applyBorder="1" applyAlignment="1" applyProtection="1">
      <alignment vertical="center"/>
      <protection hidden="1"/>
    </xf>
    <xf numFmtId="4" fontId="0" fillId="7" borderId="8" xfId="0" applyNumberFormat="1" applyFill="1" applyBorder="1" applyAlignment="1">
      <alignment vertical="center"/>
    </xf>
    <xf numFmtId="10" fontId="21" fillId="7" borderId="8" xfId="4" applyNumberFormat="1" applyFont="1" applyFill="1" applyBorder="1" applyProtection="1">
      <alignment vertical="center"/>
      <protection hidden="1"/>
    </xf>
    <xf numFmtId="4" fontId="0" fillId="11" borderId="8" xfId="0" applyNumberFormat="1" applyFill="1" applyBorder="1" applyAlignment="1">
      <alignment vertical="center"/>
    </xf>
    <xf numFmtId="10" fontId="21" fillId="11" borderId="8" xfId="4" applyNumberFormat="1" applyFont="1" applyFill="1" applyBorder="1" applyProtection="1">
      <alignment vertical="center"/>
      <protection hidden="1"/>
    </xf>
    <xf numFmtId="10" fontId="2" fillId="0" borderId="8" xfId="4" applyNumberFormat="1" applyFont="1" applyBorder="1" applyAlignment="1" applyProtection="1">
      <alignment horizontal="center" vertical="center"/>
      <protection hidden="1"/>
    </xf>
    <xf numFmtId="10" fontId="21" fillId="11" borderId="8" xfId="4" applyNumberFormat="1" applyFont="1" applyFill="1" applyBorder="1" applyAlignment="1" applyProtection="1">
      <alignment horizontal="center" vertical="center"/>
      <protection hidden="1"/>
    </xf>
    <xf numFmtId="1" fontId="22" fillId="6" borderId="4" xfId="2" applyNumberFormat="1" applyFont="1" applyFill="1" applyBorder="1" applyAlignment="1" applyProtection="1">
      <alignment horizontal="center" vertical="center" wrapText="1"/>
      <protection hidden="1"/>
    </xf>
    <xf numFmtId="167" fontId="2" fillId="7" borderId="6" xfId="6" applyNumberFormat="1" applyFont="1" applyFill="1" applyBorder="1" applyAlignment="1" applyProtection="1">
      <alignment horizontal="center" vertical="center"/>
      <protection hidden="1"/>
    </xf>
    <xf numFmtId="167" fontId="2" fillId="7" borderId="6" xfId="4" applyNumberFormat="1" applyFont="1" applyFill="1" applyBorder="1" applyAlignment="1" applyProtection="1">
      <alignment horizontal="center" vertical="center"/>
      <protection hidden="1"/>
    </xf>
    <xf numFmtId="167" fontId="2" fillId="0" borderId="8" xfId="6" applyNumberFormat="1" applyFont="1" applyBorder="1" applyAlignment="1" applyProtection="1">
      <alignment horizontal="center" vertical="center"/>
      <protection hidden="1"/>
    </xf>
    <xf numFmtId="167" fontId="2" fillId="0" borderId="8" xfId="4" applyNumberFormat="1" applyFont="1" applyBorder="1" applyAlignment="1" applyProtection="1">
      <alignment horizontal="center" vertical="center"/>
      <protection hidden="1"/>
    </xf>
    <xf numFmtId="167" fontId="2" fillId="0" borderId="9" xfId="6" applyNumberFormat="1" applyFont="1" applyBorder="1" applyAlignment="1" applyProtection="1">
      <alignment horizontal="center" vertical="center"/>
      <protection hidden="1"/>
    </xf>
    <xf numFmtId="167" fontId="2" fillId="0" borderId="9" xfId="4" applyNumberFormat="1" applyFont="1" applyBorder="1" applyAlignment="1" applyProtection="1">
      <alignment horizontal="center" vertical="center"/>
      <protection hidden="1"/>
    </xf>
    <xf numFmtId="1" fontId="2" fillId="6" borderId="3" xfId="2" applyFont="1" applyFill="1" applyBorder="1" applyAlignment="1" applyProtection="1">
      <alignment horizontal="center" vertical="center"/>
      <protection hidden="1"/>
    </xf>
    <xf numFmtId="1" fontId="27" fillId="3" borderId="1" xfId="2" applyFont="1" applyFill="1" applyBorder="1" applyAlignment="1" applyProtection="1">
      <alignment horizontal="center" vertical="center" wrapText="1"/>
      <protection hidden="1"/>
    </xf>
    <xf numFmtId="1" fontId="27" fillId="3" borderId="2" xfId="2" applyFont="1" applyFill="1" applyBorder="1" applyAlignment="1" applyProtection="1">
      <alignment horizontal="center" vertical="center" wrapText="1"/>
      <protection hidden="1"/>
    </xf>
    <xf numFmtId="1" fontId="27" fillId="3" borderId="3" xfId="2" applyFont="1" applyFill="1" applyBorder="1" applyAlignment="1" applyProtection="1">
      <alignment horizontal="center" vertical="center" wrapText="1"/>
      <protection hidden="1"/>
    </xf>
    <xf numFmtId="167" fontId="2" fillId="7" borderId="6" xfId="4" applyNumberFormat="1" applyFont="1" applyFill="1" applyBorder="1" applyProtection="1">
      <alignment vertical="center"/>
      <protection hidden="1"/>
    </xf>
    <xf numFmtId="167" fontId="2" fillId="0" borderId="8" xfId="4" applyNumberFormat="1" applyFont="1" applyBorder="1" applyProtection="1">
      <alignment vertical="center"/>
      <protection hidden="1"/>
    </xf>
    <xf numFmtId="167" fontId="2" fillId="0" borderId="9" xfId="4" applyNumberFormat="1" applyFont="1" applyBorder="1" applyProtection="1">
      <alignment vertical="center"/>
      <protection hidden="1"/>
    </xf>
    <xf numFmtId="2" fontId="2" fillId="0" borderId="8" xfId="4" applyNumberFormat="1" applyFont="1" applyBorder="1" applyProtection="1">
      <alignment vertical="center"/>
      <protection hidden="1"/>
    </xf>
    <xf numFmtId="2" fontId="33" fillId="0" borderId="8" xfId="1" applyNumberFormat="1" applyFont="1" applyBorder="1" applyAlignment="1" applyProtection="1">
      <alignment horizontal="center" vertical="center"/>
      <protection hidden="1"/>
    </xf>
    <xf numFmtId="2" fontId="21" fillId="10" borderId="8" xfId="7" applyNumberFormat="1" applyFont="1" applyFill="1" applyBorder="1" applyAlignment="1" applyProtection="1">
      <alignment vertical="center"/>
      <protection hidden="1"/>
    </xf>
    <xf numFmtId="2" fontId="21" fillId="10" borderId="8" xfId="7" applyNumberFormat="1" applyFont="1" applyFill="1" applyBorder="1" applyAlignment="1" applyProtection="1">
      <alignment horizontal="center" vertical="center"/>
      <protection hidden="1"/>
    </xf>
    <xf numFmtId="2" fontId="21" fillId="7" borderId="8" xfId="4" applyNumberFormat="1" applyFont="1" applyFill="1" applyBorder="1" applyProtection="1">
      <alignment vertical="center"/>
      <protection hidden="1"/>
    </xf>
    <xf numFmtId="2" fontId="21" fillId="11" borderId="8" xfId="4" applyNumberFormat="1" applyFont="1" applyFill="1" applyBorder="1" applyProtection="1">
      <alignment vertical="center"/>
      <protection hidden="1"/>
    </xf>
    <xf numFmtId="1" fontId="4" fillId="3" borderId="0" xfId="6" applyFont="1" applyFill="1" applyAlignment="1" applyProtection="1">
      <alignment horizontal="left" vertical="center" indent="1"/>
      <protection hidden="1"/>
    </xf>
    <xf numFmtId="1" fontId="8" fillId="2" borderId="0" xfId="6" applyFont="1" applyFill="1" applyProtection="1">
      <alignment vertical="center"/>
      <protection hidden="1"/>
    </xf>
    <xf numFmtId="1" fontId="2" fillId="2" borderId="0" xfId="6" applyFill="1" applyProtection="1">
      <alignment vertical="center"/>
      <protection hidden="1"/>
    </xf>
    <xf numFmtId="1" fontId="12" fillId="4" borderId="0" xfId="6" applyFont="1" applyFill="1" applyAlignment="1" applyProtection="1">
      <alignment horizontal="left" vertical="center" indent="1"/>
      <protection hidden="1"/>
    </xf>
    <xf numFmtId="1" fontId="5" fillId="4" borderId="0" xfId="6" applyFont="1" applyFill="1" applyProtection="1">
      <alignment vertical="center"/>
      <protection hidden="1"/>
    </xf>
    <xf numFmtId="3" fontId="14" fillId="2" borderId="0" xfId="3" applyNumberFormat="1" applyFont="1" applyFill="1" applyAlignment="1" applyProtection="1">
      <alignment vertical="center"/>
      <protection hidden="1"/>
    </xf>
    <xf numFmtId="3" fontId="15" fillId="2" borderId="0" xfId="3" applyNumberFormat="1" applyFont="1" applyFill="1" applyAlignment="1" applyProtection="1">
      <alignment vertical="center"/>
      <protection hidden="1"/>
    </xf>
    <xf numFmtId="1" fontId="2" fillId="2" borderId="0" xfId="6" applyFont="1" applyFill="1" applyProtection="1">
      <alignment vertical="center"/>
      <protection hidden="1"/>
    </xf>
    <xf numFmtId="1" fontId="8" fillId="0" borderId="0" xfId="6" applyFont="1">
      <alignment vertical="center"/>
    </xf>
    <xf numFmtId="1" fontId="16" fillId="0" borderId="0" xfId="6" applyFont="1">
      <alignment vertical="center"/>
    </xf>
    <xf numFmtId="1" fontId="2" fillId="0" borderId="0" xfId="6" applyFont="1">
      <alignment vertical="center"/>
    </xf>
    <xf numFmtId="1" fontId="9" fillId="3" borderId="0" xfId="6" applyFont="1" applyFill="1" applyAlignment="1">
      <alignment horizontal="center" vertical="center"/>
    </xf>
    <xf numFmtId="1" fontId="2" fillId="0" borderId="0" xfId="6" applyProtection="1">
      <alignment vertical="center"/>
      <protection hidden="1"/>
    </xf>
    <xf numFmtId="1" fontId="20" fillId="3" borderId="1" xfId="6" applyFont="1" applyFill="1" applyBorder="1" applyAlignment="1" applyProtection="1">
      <alignment horizontal="center" vertical="center"/>
      <protection hidden="1"/>
    </xf>
    <xf numFmtId="1" fontId="20" fillId="3" borderId="2" xfId="6" applyFont="1" applyFill="1" applyBorder="1" applyAlignment="1" applyProtection="1">
      <alignment horizontal="center" vertical="center"/>
      <protection hidden="1"/>
    </xf>
    <xf numFmtId="1" fontId="20" fillId="3" borderId="3" xfId="6" applyFont="1" applyFill="1" applyBorder="1" applyAlignment="1" applyProtection="1">
      <alignment horizontal="center" vertical="center"/>
      <protection hidden="1"/>
    </xf>
    <xf numFmtId="1" fontId="21" fillId="6" borderId="1" xfId="6" applyFont="1" applyFill="1" applyBorder="1" applyAlignment="1" applyProtection="1">
      <alignment horizontal="center" vertical="center"/>
      <protection hidden="1"/>
    </xf>
    <xf numFmtId="17" fontId="21" fillId="6" borderId="4" xfId="6" applyNumberFormat="1" applyFont="1" applyFill="1" applyBorder="1" applyAlignment="1" applyProtection="1">
      <alignment horizontal="center" vertical="center" wrapText="1"/>
      <protection hidden="1"/>
    </xf>
    <xf numFmtId="49" fontId="21" fillId="6" borderId="4" xfId="6" applyNumberFormat="1" applyFont="1" applyFill="1" applyBorder="1" applyAlignment="1" applyProtection="1">
      <alignment horizontal="center" vertical="center" wrapText="1"/>
      <protection hidden="1"/>
    </xf>
    <xf numFmtId="1" fontId="21" fillId="6" borderId="1" xfId="6" applyFont="1" applyFill="1" applyBorder="1" applyProtection="1">
      <alignment vertical="center"/>
      <protection hidden="1"/>
    </xf>
    <xf numFmtId="1" fontId="2" fillId="6" borderId="2" xfId="6" applyFont="1" applyFill="1" applyBorder="1" applyProtection="1">
      <alignment vertical="center"/>
      <protection hidden="1"/>
    </xf>
    <xf numFmtId="1" fontId="2" fillId="6" borderId="3" xfId="6" applyFont="1" applyFill="1" applyBorder="1" applyProtection="1">
      <alignment vertical="center"/>
      <protection hidden="1"/>
    </xf>
    <xf numFmtId="1" fontId="2" fillId="7" borderId="6" xfId="6" applyFont="1" applyFill="1" applyBorder="1" applyAlignment="1" applyProtection="1">
      <alignment horizontal="left"/>
      <protection hidden="1"/>
    </xf>
    <xf numFmtId="164" fontId="2" fillId="7" borderId="6" xfId="6" applyNumberFormat="1" applyFont="1" applyFill="1" applyBorder="1" applyAlignment="1" applyProtection="1">
      <alignment horizontal="right" vertical="center"/>
      <protection hidden="1"/>
    </xf>
    <xf numFmtId="165" fontId="2" fillId="7" borderId="6" xfId="7" applyNumberFormat="1" applyFont="1" applyFill="1" applyBorder="1" applyAlignment="1" applyProtection="1">
      <alignment horizontal="right" vertical="center"/>
      <protection hidden="1"/>
    </xf>
    <xf numFmtId="1" fontId="2" fillId="7" borderId="8" xfId="6" applyFont="1" applyFill="1" applyBorder="1" applyAlignment="1" applyProtection="1">
      <alignment horizontal="left"/>
      <protection hidden="1"/>
    </xf>
    <xf numFmtId="164" fontId="2" fillId="7" borderId="8" xfId="6" applyNumberFormat="1" applyFont="1" applyFill="1" applyBorder="1" applyAlignment="1" applyProtection="1">
      <alignment horizontal="right" vertical="center"/>
      <protection hidden="1"/>
    </xf>
    <xf numFmtId="165" fontId="2" fillId="7" borderId="8" xfId="7" applyNumberFormat="1" applyFont="1" applyFill="1" applyBorder="1" applyAlignment="1" applyProtection="1">
      <alignment horizontal="right" vertical="center"/>
      <protection hidden="1"/>
    </xf>
    <xf numFmtId="1" fontId="2" fillId="7" borderId="9" xfId="6" applyFont="1" applyFill="1" applyBorder="1" applyAlignment="1" applyProtection="1">
      <alignment horizontal="left"/>
      <protection hidden="1"/>
    </xf>
    <xf numFmtId="164" fontId="2" fillId="7" borderId="9" xfId="6" applyNumberFormat="1" applyFont="1" applyFill="1" applyBorder="1" applyAlignment="1" applyProtection="1">
      <alignment horizontal="right" vertical="center"/>
      <protection hidden="1"/>
    </xf>
    <xf numFmtId="165" fontId="2" fillId="7" borderId="9" xfId="7" applyNumberFormat="1" applyFont="1" applyFill="1" applyBorder="1" applyAlignment="1" applyProtection="1">
      <alignment horizontal="right" vertical="center"/>
      <protection hidden="1"/>
    </xf>
    <xf numFmtId="1" fontId="2" fillId="6" borderId="2" xfId="6" applyFont="1" applyFill="1" applyBorder="1" applyAlignment="1" applyProtection="1">
      <alignment horizontal="right" vertical="center"/>
      <protection hidden="1"/>
    </xf>
    <xf numFmtId="165" fontId="2" fillId="6" borderId="3" xfId="6" applyNumberFormat="1" applyFont="1" applyFill="1" applyBorder="1" applyAlignment="1" applyProtection="1">
      <alignment horizontal="right" vertical="center"/>
      <protection hidden="1"/>
    </xf>
    <xf numFmtId="1" fontId="2" fillId="0" borderId="6" xfId="6" applyFont="1" applyBorder="1" applyAlignment="1" applyProtection="1">
      <alignment horizontal="left"/>
      <protection hidden="1"/>
    </xf>
    <xf numFmtId="164" fontId="2" fillId="0" borderId="6" xfId="6" applyNumberFormat="1" applyFont="1" applyBorder="1" applyAlignment="1" applyProtection="1">
      <alignment horizontal="right" vertical="center"/>
      <protection hidden="1"/>
    </xf>
    <xf numFmtId="165" fontId="2" fillId="0" borderId="6" xfId="7" applyNumberFormat="1" applyFont="1" applyBorder="1" applyAlignment="1" applyProtection="1">
      <alignment horizontal="right" vertical="center"/>
      <protection hidden="1"/>
    </xf>
    <xf numFmtId="165" fontId="2" fillId="0" borderId="14" xfId="7" applyNumberFormat="1" applyFont="1" applyBorder="1" applyAlignment="1" applyProtection="1">
      <alignment horizontal="right" vertical="center"/>
      <protection hidden="1"/>
    </xf>
    <xf numFmtId="1" fontId="2" fillId="0" borderId="8" xfId="6" applyFont="1" applyBorder="1" applyAlignment="1" applyProtection="1">
      <alignment horizontal="left"/>
      <protection hidden="1"/>
    </xf>
    <xf numFmtId="164" fontId="2" fillId="0" borderId="8" xfId="6" applyNumberFormat="1" applyFont="1" applyBorder="1" applyAlignment="1" applyProtection="1">
      <alignment horizontal="right" vertical="center"/>
      <protection hidden="1"/>
    </xf>
    <xf numFmtId="165" fontId="2" fillId="0" borderId="8" xfId="7" applyNumberFormat="1" applyFont="1" applyBorder="1" applyAlignment="1" applyProtection="1">
      <alignment horizontal="right" vertical="center"/>
      <protection hidden="1"/>
    </xf>
    <xf numFmtId="165" fontId="2" fillId="0" borderId="15" xfId="7" applyNumberFormat="1" applyFont="1" applyBorder="1" applyAlignment="1" applyProtection="1">
      <alignment horizontal="right" vertical="center"/>
      <protection hidden="1"/>
    </xf>
    <xf numFmtId="164" fontId="2" fillId="0" borderId="9" xfId="6" applyNumberFormat="1" applyFont="1" applyBorder="1" applyAlignment="1" applyProtection="1">
      <alignment horizontal="right" vertical="center"/>
      <protection hidden="1"/>
    </xf>
    <xf numFmtId="165" fontId="2" fillId="0" borderId="9" xfId="7" applyNumberFormat="1" applyFont="1" applyBorder="1" applyAlignment="1" applyProtection="1">
      <alignment horizontal="right" vertical="center"/>
      <protection hidden="1"/>
    </xf>
    <xf numFmtId="1" fontId="23" fillId="0" borderId="1" xfId="6" applyFont="1" applyBorder="1" applyAlignment="1" applyProtection="1">
      <alignment wrapText="1"/>
      <protection hidden="1"/>
    </xf>
    <xf numFmtId="1" fontId="23" fillId="0" borderId="2" xfId="6" applyFont="1" applyBorder="1" applyAlignment="1" applyProtection="1">
      <alignment wrapText="1"/>
      <protection hidden="1"/>
    </xf>
    <xf numFmtId="1" fontId="23" fillId="0" borderId="3" xfId="6" applyFont="1" applyBorder="1" applyAlignment="1" applyProtection="1">
      <alignment wrapText="1"/>
      <protection hidden="1"/>
    </xf>
    <xf numFmtId="1" fontId="2" fillId="0" borderId="0" xfId="6" applyFont="1" applyProtection="1">
      <alignment vertical="center"/>
      <protection hidden="1"/>
    </xf>
    <xf numFmtId="1" fontId="19" fillId="0" borderId="0" xfId="6" applyFont="1">
      <alignment vertical="center"/>
    </xf>
    <xf numFmtId="1" fontId="12" fillId="3" borderId="1" xfId="6" applyFont="1" applyFill="1" applyBorder="1" applyAlignment="1" applyProtection="1">
      <alignment horizontal="center" vertical="center" wrapText="1"/>
      <protection hidden="1"/>
    </xf>
    <xf numFmtId="1" fontId="12" fillId="3" borderId="2" xfId="6" applyFont="1" applyFill="1" applyBorder="1" applyAlignment="1" applyProtection="1">
      <alignment horizontal="center" vertical="center" wrapText="1"/>
      <protection hidden="1"/>
    </xf>
    <xf numFmtId="1" fontId="12" fillId="3" borderId="3" xfId="6" applyFont="1" applyFill="1" applyBorder="1" applyAlignment="1" applyProtection="1">
      <alignment horizontal="center" vertical="center" wrapText="1"/>
      <protection hidden="1"/>
    </xf>
    <xf numFmtId="1" fontId="2" fillId="6" borderId="13" xfId="6" applyFont="1" applyFill="1" applyBorder="1" applyProtection="1">
      <alignment vertical="center"/>
      <protection hidden="1"/>
    </xf>
    <xf numFmtId="1" fontId="2" fillId="6" borderId="14" xfId="6" applyFont="1" applyFill="1" applyBorder="1" applyProtection="1">
      <alignment vertical="center"/>
      <protection hidden="1"/>
    </xf>
    <xf numFmtId="1" fontId="2" fillId="7" borderId="5" xfId="6" applyFont="1" applyFill="1" applyBorder="1" applyAlignment="1" applyProtection="1">
      <alignment horizontal="left"/>
      <protection hidden="1"/>
    </xf>
    <xf numFmtId="164" fontId="2" fillId="7" borderId="6" xfId="6" applyNumberFormat="1" applyFont="1" applyFill="1" applyBorder="1" applyProtection="1">
      <alignment vertical="center"/>
      <protection hidden="1"/>
    </xf>
    <xf numFmtId="165" fontId="2" fillId="7" borderId="6" xfId="7" applyNumberFormat="1" applyFont="1" applyFill="1" applyBorder="1" applyProtection="1">
      <alignment vertical="center"/>
      <protection hidden="1"/>
    </xf>
    <xf numFmtId="165" fontId="2" fillId="6" borderId="13" xfId="6" applyNumberFormat="1" applyFont="1" applyFill="1" applyBorder="1" applyProtection="1">
      <alignment vertical="center"/>
      <protection hidden="1"/>
    </xf>
    <xf numFmtId="165" fontId="2" fillId="6" borderId="14" xfId="6" applyNumberFormat="1" applyFont="1" applyFill="1" applyBorder="1" applyProtection="1">
      <alignment vertical="center"/>
      <protection hidden="1"/>
    </xf>
    <xf numFmtId="164" fontId="2" fillId="0" borderId="13" xfId="6" applyNumberFormat="1" applyFont="1" applyBorder="1" applyProtection="1">
      <alignment vertical="center"/>
      <protection hidden="1"/>
    </xf>
    <xf numFmtId="165" fontId="2" fillId="0" borderId="6" xfId="7" applyNumberFormat="1" applyFont="1" applyBorder="1" applyProtection="1">
      <alignment vertical="center"/>
      <protection hidden="1"/>
    </xf>
    <xf numFmtId="165" fontId="2" fillId="0" borderId="14" xfId="7" applyNumberFormat="1" applyFont="1" applyBorder="1" applyProtection="1">
      <alignment vertical="center"/>
      <protection hidden="1"/>
    </xf>
    <xf numFmtId="164" fontId="2" fillId="0" borderId="0" xfId="6" applyNumberFormat="1" applyFont="1" applyBorder="1" applyProtection="1">
      <alignment vertical="center"/>
      <protection hidden="1"/>
    </xf>
    <xf numFmtId="165" fontId="2" fillId="0" borderId="8" xfId="7" applyNumberFormat="1" applyFont="1" applyBorder="1" applyProtection="1">
      <alignment vertical="center"/>
      <protection hidden="1"/>
    </xf>
    <xf numFmtId="165" fontId="2" fillId="0" borderId="15" xfId="7" applyNumberFormat="1" applyFont="1" applyBorder="1" applyProtection="1">
      <alignment vertical="center"/>
      <protection hidden="1"/>
    </xf>
    <xf numFmtId="165" fontId="2" fillId="6" borderId="2" xfId="6" applyNumberFormat="1" applyFont="1" applyFill="1" applyBorder="1" applyProtection="1">
      <alignment vertical="center"/>
      <protection hidden="1"/>
    </xf>
    <xf numFmtId="165" fontId="2" fillId="6" borderId="3" xfId="6" applyNumberFormat="1" applyFont="1" applyFill="1" applyBorder="1" applyProtection="1">
      <alignment vertical="center"/>
      <protection hidden="1"/>
    </xf>
    <xf numFmtId="1" fontId="2" fillId="0" borderId="11" xfId="6" applyFont="1" applyBorder="1" applyAlignment="1" applyProtection="1">
      <alignment horizontal="left"/>
      <protection hidden="1"/>
    </xf>
    <xf numFmtId="164" fontId="2" fillId="0" borderId="9" xfId="6" applyNumberFormat="1" applyFont="1" applyBorder="1" applyProtection="1">
      <alignment vertical="center"/>
      <protection hidden="1"/>
    </xf>
    <xf numFmtId="165" fontId="2" fillId="0" borderId="9" xfId="7" applyNumberFormat="1" applyFont="1" applyBorder="1" applyProtection="1">
      <alignment vertical="center"/>
      <protection hidden="1"/>
    </xf>
    <xf numFmtId="1" fontId="23" fillId="0" borderId="1" xfId="6" applyFont="1" applyBorder="1" applyAlignment="1" applyProtection="1">
      <alignment horizontal="left"/>
      <protection hidden="1"/>
    </xf>
    <xf numFmtId="1" fontId="23" fillId="0" borderId="2" xfId="6" applyFont="1" applyBorder="1" applyAlignment="1" applyProtection="1">
      <alignment horizontal="left"/>
      <protection hidden="1"/>
    </xf>
    <xf numFmtId="1" fontId="23" fillId="0" borderId="3" xfId="6" applyFont="1" applyBorder="1" applyAlignment="1" applyProtection="1">
      <alignment horizontal="left"/>
      <protection hidden="1"/>
    </xf>
    <xf numFmtId="164" fontId="2" fillId="0" borderId="8" xfId="6" applyNumberFormat="1" applyFont="1" applyBorder="1" applyAlignment="1" applyProtection="1">
      <alignment horizontal="right"/>
      <protection hidden="1"/>
    </xf>
    <xf numFmtId="1" fontId="2" fillId="7" borderId="5" xfId="6" applyFont="1" applyFill="1" applyBorder="1" applyAlignment="1" applyProtection="1">
      <alignment horizontal="left" wrapText="1"/>
      <protection hidden="1"/>
    </xf>
    <xf numFmtId="1" fontId="20" fillId="3" borderId="1" xfId="6" applyFont="1" applyFill="1" applyBorder="1" applyAlignment="1" applyProtection="1">
      <alignment horizontal="center" vertical="center" wrapText="1"/>
      <protection hidden="1"/>
    </xf>
    <xf numFmtId="1" fontId="20" fillId="3" borderId="2" xfId="6" applyFont="1" applyFill="1" applyBorder="1" applyAlignment="1" applyProtection="1">
      <alignment horizontal="center" vertical="center" wrapText="1"/>
      <protection hidden="1"/>
    </xf>
    <xf numFmtId="1" fontId="20" fillId="3" borderId="3" xfId="6" applyFont="1" applyFill="1" applyBorder="1" applyAlignment="1" applyProtection="1">
      <alignment horizontal="center" vertical="center" wrapText="1"/>
      <protection hidden="1"/>
    </xf>
    <xf numFmtId="17" fontId="32" fillId="6" borderId="4" xfId="6" applyNumberFormat="1" applyFont="1" applyFill="1" applyBorder="1" applyAlignment="1" applyProtection="1">
      <alignment horizontal="center" vertical="center" wrapText="1"/>
      <protection hidden="1"/>
    </xf>
    <xf numFmtId="1" fontId="32" fillId="6" borderId="4" xfId="6" applyNumberFormat="1" applyFont="1" applyFill="1" applyBorder="1" applyAlignment="1" applyProtection="1">
      <alignment horizontal="center" vertical="center" wrapText="1"/>
      <protection hidden="1"/>
    </xf>
    <xf numFmtId="1" fontId="2" fillId="6" borderId="13" xfId="6" applyFont="1" applyFill="1" applyBorder="1" applyAlignment="1" applyProtection="1">
      <alignment vertical="center" wrapText="1"/>
      <protection hidden="1"/>
    </xf>
    <xf numFmtId="1" fontId="2" fillId="6" borderId="2" xfId="6" applyFont="1" applyFill="1" applyBorder="1" applyAlignment="1" applyProtection="1">
      <alignment vertical="center" wrapText="1"/>
      <protection hidden="1"/>
    </xf>
    <xf numFmtId="1" fontId="2" fillId="6" borderId="14" xfId="6" applyFont="1" applyFill="1" applyBorder="1" applyAlignment="1" applyProtection="1">
      <alignment vertical="center" wrapText="1"/>
      <protection hidden="1"/>
    </xf>
    <xf numFmtId="10" fontId="2" fillId="7" borderId="6" xfId="7" applyNumberFormat="1" applyFont="1" applyFill="1" applyBorder="1" applyAlignment="1" applyProtection="1">
      <alignment horizontal="center" vertical="center" wrapText="1"/>
      <protection hidden="1"/>
    </xf>
    <xf numFmtId="1" fontId="2" fillId="0" borderId="7" xfId="6" applyFont="1" applyBorder="1" applyAlignment="1" applyProtection="1">
      <alignment horizontal="left" wrapText="1"/>
      <protection hidden="1"/>
    </xf>
    <xf numFmtId="10" fontId="2" fillId="0" borderId="8" xfId="7" applyNumberFormat="1" applyFont="1" applyBorder="1" applyAlignment="1" applyProtection="1">
      <alignment horizontal="center" vertical="center" wrapText="1"/>
      <protection hidden="1"/>
    </xf>
    <xf numFmtId="4" fontId="2" fillId="0" borderId="0" xfId="6" applyNumberFormat="1" applyFont="1" applyAlignment="1">
      <alignment vertical="center" wrapText="1"/>
    </xf>
    <xf numFmtId="1" fontId="2" fillId="0" borderId="11" xfId="6" applyFont="1" applyBorder="1" applyAlignment="1" applyProtection="1">
      <alignment horizontal="left" wrapText="1"/>
      <protection hidden="1"/>
    </xf>
    <xf numFmtId="167" fontId="2" fillId="0" borderId="9" xfId="6" applyNumberFormat="1" applyFont="1" applyBorder="1" applyAlignment="1" applyProtection="1">
      <alignment horizontal="center" vertical="center" wrapText="1"/>
      <protection hidden="1"/>
    </xf>
    <xf numFmtId="10" fontId="2" fillId="0" borderId="9" xfId="7" applyNumberFormat="1" applyFont="1" applyBorder="1" applyAlignment="1" applyProtection="1">
      <alignment horizontal="center" vertical="center" wrapText="1"/>
      <protection hidden="1"/>
    </xf>
    <xf numFmtId="1" fontId="2" fillId="6" borderId="13" xfId="6" applyFont="1" applyFill="1" applyBorder="1" applyAlignment="1" applyProtection="1">
      <alignment horizontal="center" vertical="center" wrapText="1"/>
      <protection hidden="1"/>
    </xf>
    <xf numFmtId="10" fontId="2" fillId="6" borderId="15" xfId="6" applyNumberFormat="1" applyFont="1" applyFill="1" applyBorder="1" applyAlignment="1" applyProtection="1">
      <alignment horizontal="center" vertical="center" wrapText="1"/>
      <protection hidden="1"/>
    </xf>
    <xf numFmtId="167" fontId="2" fillId="0" borderId="9" xfId="6" applyNumberFormat="1" applyFont="1" applyBorder="1" applyAlignment="1" applyProtection="1">
      <alignment horizontal="center" wrapText="1"/>
      <protection hidden="1"/>
    </xf>
    <xf numFmtId="10" fontId="2" fillId="6" borderId="3" xfId="6" applyNumberFormat="1" applyFont="1" applyFill="1" applyBorder="1" applyAlignment="1" applyProtection="1">
      <alignment horizontal="center" vertical="center" wrapText="1"/>
      <protection hidden="1"/>
    </xf>
    <xf numFmtId="1" fontId="23" fillId="0" borderId="4" xfId="6" applyFont="1" applyBorder="1" applyAlignment="1" applyProtection="1">
      <alignment wrapText="1"/>
      <protection hidden="1"/>
    </xf>
    <xf numFmtId="1" fontId="23" fillId="0" borderId="9" xfId="6" applyFont="1" applyBorder="1" applyAlignment="1" applyProtection="1">
      <alignment wrapText="1"/>
      <protection hidden="1"/>
    </xf>
    <xf numFmtId="1" fontId="34" fillId="0" borderId="0" xfId="6" applyFont="1" applyBorder="1" applyAlignment="1">
      <alignment wrapText="1"/>
    </xf>
    <xf numFmtId="1" fontId="2" fillId="0" borderId="0" xfId="6" applyFont="1" applyBorder="1" applyAlignment="1">
      <alignment vertical="center" wrapText="1"/>
    </xf>
    <xf numFmtId="1" fontId="2" fillId="0" borderId="0" xfId="6" applyAlignment="1" applyProtection="1">
      <alignment vertical="center" wrapText="1"/>
      <protection hidden="1"/>
    </xf>
    <xf numFmtId="4" fontId="2" fillId="0" borderId="0" xfId="6" applyNumberFormat="1" applyFont="1">
      <alignment vertical="center"/>
    </xf>
    <xf numFmtId="167" fontId="2" fillId="7" borderId="6" xfId="6" applyNumberFormat="1" applyFont="1" applyFill="1" applyBorder="1" applyProtection="1">
      <alignment vertical="center"/>
      <protection hidden="1"/>
    </xf>
    <xf numFmtId="10" fontId="2" fillId="7" borderId="6" xfId="7" applyNumberFormat="1" applyFont="1" applyFill="1" applyBorder="1" applyProtection="1">
      <alignment vertical="center"/>
      <protection hidden="1"/>
    </xf>
    <xf numFmtId="10" fontId="2" fillId="6" borderId="14" xfId="6" applyNumberFormat="1" applyFont="1" applyFill="1" applyBorder="1" applyProtection="1">
      <alignment vertical="center"/>
      <protection hidden="1"/>
    </xf>
    <xf numFmtId="167" fontId="2" fillId="0" borderId="6" xfId="6" applyNumberFormat="1" applyFont="1" applyBorder="1" applyProtection="1">
      <alignment vertical="center"/>
      <protection hidden="1"/>
    </xf>
    <xf numFmtId="10" fontId="2" fillId="0" borderId="6" xfId="7" applyNumberFormat="1" applyFont="1" applyBorder="1" applyProtection="1">
      <alignment vertical="center"/>
      <protection hidden="1"/>
    </xf>
    <xf numFmtId="167" fontId="2" fillId="0" borderId="8" xfId="6" applyNumberFormat="1" applyFont="1" applyBorder="1" applyProtection="1">
      <alignment vertical="center"/>
      <protection hidden="1"/>
    </xf>
    <xf numFmtId="10" fontId="2" fillId="0" borderId="8" xfId="7" applyNumberFormat="1" applyFont="1" applyBorder="1" applyProtection="1">
      <alignment vertical="center"/>
      <protection hidden="1"/>
    </xf>
    <xf numFmtId="167" fontId="2" fillId="0" borderId="9" xfId="6" applyNumberFormat="1" applyFont="1" applyBorder="1" applyProtection="1">
      <alignment vertical="center"/>
      <protection hidden="1"/>
    </xf>
    <xf numFmtId="10" fontId="2" fillId="0" borderId="9" xfId="7" applyNumberFormat="1" applyFont="1" applyBorder="1" applyProtection="1">
      <alignment vertical="center"/>
      <protection hidden="1"/>
    </xf>
    <xf numFmtId="10" fontId="2" fillId="6" borderId="3" xfId="6" applyNumberFormat="1" applyFont="1" applyFill="1" applyBorder="1" applyProtection="1">
      <alignment vertical="center"/>
      <protection hidden="1"/>
    </xf>
    <xf numFmtId="10" fontId="2" fillId="0" borderId="9" xfId="7" applyNumberFormat="1" applyFont="1" applyBorder="1" applyAlignment="1" applyProtection="1">
      <alignment horizontal="right" vertical="center"/>
      <protection hidden="1"/>
    </xf>
    <xf numFmtId="167" fontId="2" fillId="7" borderId="6" xfId="7" applyNumberFormat="1" applyFont="1" applyFill="1" applyBorder="1" applyAlignment="1" applyProtection="1">
      <alignment horizontal="center" vertical="center"/>
      <protection hidden="1"/>
    </xf>
    <xf numFmtId="1" fontId="2" fillId="0" borderId="7" xfId="6" applyFont="1" applyBorder="1" applyAlignment="1" applyProtection="1">
      <alignment horizontal="left"/>
      <protection hidden="1"/>
    </xf>
    <xf numFmtId="167" fontId="2" fillId="0" borderId="8" xfId="7" applyNumberFormat="1" applyFont="1" applyBorder="1" applyAlignment="1" applyProtection="1">
      <alignment horizontal="center" vertical="center"/>
      <protection hidden="1"/>
    </xf>
    <xf numFmtId="167" fontId="2" fillId="0" borderId="9" xfId="7" applyNumberFormat="1" applyFont="1" applyBorder="1" applyAlignment="1" applyProtection="1">
      <alignment horizontal="center" vertical="center"/>
      <protection hidden="1"/>
    </xf>
    <xf numFmtId="1" fontId="2" fillId="6" borderId="3" xfId="6" applyFont="1" applyFill="1" applyBorder="1" applyAlignment="1" applyProtection="1">
      <alignment horizontal="center" vertical="center"/>
      <protection hidden="1"/>
    </xf>
    <xf numFmtId="2" fontId="2" fillId="7" borderId="6" xfId="1" applyNumberFormat="1" applyFont="1" applyFill="1" applyBorder="1" applyAlignment="1" applyProtection="1">
      <alignment vertical="center"/>
      <protection hidden="1"/>
    </xf>
    <xf numFmtId="2" fontId="2" fillId="7" borderId="6" xfId="7" applyNumberFormat="1" applyFont="1" applyFill="1" applyBorder="1" applyProtection="1">
      <alignment vertical="center"/>
      <protection hidden="1"/>
    </xf>
    <xf numFmtId="2" fontId="2" fillId="6" borderId="14" xfId="1" applyNumberFormat="1" applyFont="1" applyFill="1" applyBorder="1" applyAlignment="1" applyProtection="1">
      <alignment vertical="center"/>
      <protection hidden="1"/>
    </xf>
    <xf numFmtId="2" fontId="2" fillId="0" borderId="6" xfId="1" applyNumberFormat="1" applyFont="1" applyBorder="1" applyAlignment="1" applyProtection="1">
      <alignment vertical="center"/>
      <protection hidden="1"/>
    </xf>
    <xf numFmtId="2" fontId="2" fillId="0" borderId="6" xfId="7" applyNumberFormat="1" applyFont="1" applyBorder="1" applyProtection="1">
      <alignment vertical="center"/>
      <protection hidden="1"/>
    </xf>
    <xf numFmtId="2" fontId="2" fillId="0" borderId="8" xfId="1" applyNumberFormat="1" applyFont="1" applyBorder="1" applyAlignment="1" applyProtection="1">
      <alignment vertical="center"/>
      <protection hidden="1"/>
    </xf>
    <xf numFmtId="2" fontId="2" fillId="0" borderId="8" xfId="7" applyNumberFormat="1" applyFont="1" applyBorder="1" applyProtection="1">
      <alignment vertical="center"/>
      <protection hidden="1"/>
    </xf>
    <xf numFmtId="2" fontId="2" fillId="0" borderId="9" xfId="1" applyNumberFormat="1" applyFont="1" applyBorder="1" applyAlignment="1" applyProtection="1">
      <alignment vertical="center"/>
      <protection hidden="1"/>
    </xf>
    <xf numFmtId="2" fontId="2" fillId="0" borderId="9" xfId="7" applyNumberFormat="1" applyFont="1" applyBorder="1" applyProtection="1">
      <alignment vertical="center"/>
      <protection hidden="1"/>
    </xf>
    <xf numFmtId="2" fontId="2" fillId="6" borderId="3" xfId="1" applyNumberFormat="1" applyFont="1" applyFill="1" applyBorder="1" applyAlignment="1" applyProtection="1">
      <alignment vertical="center"/>
      <protection hidden="1"/>
    </xf>
    <xf numFmtId="49" fontId="2" fillId="0" borderId="0" xfId="6" applyNumberFormat="1" applyFont="1">
      <alignment vertical="center"/>
    </xf>
    <xf numFmtId="1" fontId="33" fillId="0" borderId="0" xfId="6" applyFont="1">
      <alignment vertical="center"/>
    </xf>
    <xf numFmtId="1" fontId="20" fillId="3" borderId="5" xfId="6" applyFont="1" applyFill="1" applyBorder="1" applyAlignment="1" applyProtection="1">
      <alignment horizontal="center" vertical="center" wrapText="1"/>
      <protection hidden="1"/>
    </xf>
    <xf numFmtId="1" fontId="20" fillId="3" borderId="13" xfId="6" applyFont="1" applyFill="1" applyBorder="1" applyAlignment="1" applyProtection="1">
      <alignment horizontal="center" vertical="center" wrapText="1"/>
      <protection hidden="1"/>
    </xf>
    <xf numFmtId="1" fontId="20" fillId="3" borderId="14" xfId="6" applyFont="1" applyFill="1" applyBorder="1" applyAlignment="1" applyProtection="1">
      <alignment horizontal="center" vertical="center" wrapText="1"/>
      <protection hidden="1"/>
    </xf>
    <xf numFmtId="1" fontId="20" fillId="3" borderId="16" xfId="6" applyFont="1" applyFill="1" applyBorder="1" applyAlignment="1" applyProtection="1">
      <alignment horizontal="center" vertical="center" wrapText="1"/>
      <protection hidden="1"/>
    </xf>
    <xf numFmtId="1" fontId="32" fillId="6" borderId="6" xfId="6" applyFont="1" applyFill="1" applyBorder="1" applyAlignment="1" applyProtection="1">
      <alignment horizontal="center" vertical="center"/>
      <protection hidden="1"/>
    </xf>
    <xf numFmtId="1" fontId="32" fillId="6" borderId="11" xfId="6" applyFont="1" applyFill="1" applyBorder="1" applyAlignment="1" applyProtection="1">
      <alignment horizontal="center" vertical="center"/>
      <protection hidden="1"/>
    </xf>
    <xf numFmtId="1" fontId="32" fillId="6" borderId="9" xfId="6" applyFont="1" applyFill="1" applyBorder="1" applyAlignment="1" applyProtection="1">
      <alignment horizontal="center" vertical="center" wrapText="1"/>
      <protection hidden="1"/>
    </xf>
    <xf numFmtId="1" fontId="32" fillId="6" borderId="9" xfId="6" applyFont="1" applyFill="1" applyBorder="1" applyAlignment="1" applyProtection="1">
      <alignment horizontal="center" vertical="center"/>
      <protection hidden="1"/>
    </xf>
    <xf numFmtId="1" fontId="33" fillId="0" borderId="6" xfId="6" applyFont="1" applyFill="1" applyBorder="1" applyAlignment="1" applyProtection="1">
      <alignment horizontal="left" vertical="center"/>
      <protection hidden="1"/>
    </xf>
    <xf numFmtId="3" fontId="33" fillId="0" borderId="6" xfId="7" applyNumberFormat="1" applyFont="1" applyBorder="1" applyAlignment="1" applyProtection="1">
      <alignment vertical="center"/>
      <protection hidden="1"/>
    </xf>
    <xf numFmtId="1" fontId="33" fillId="0" borderId="8" xfId="6" applyFont="1" applyFill="1" applyBorder="1" applyAlignment="1" applyProtection="1">
      <alignment horizontal="left" vertical="center"/>
      <protection hidden="1"/>
    </xf>
    <xf numFmtId="3" fontId="33" fillId="0" borderId="8" xfId="7" applyNumberFormat="1" applyFont="1" applyBorder="1" applyAlignment="1" applyProtection="1">
      <alignment vertical="center"/>
      <protection hidden="1"/>
    </xf>
    <xf numFmtId="1" fontId="35" fillId="0" borderId="8" xfId="6" applyFont="1" applyFill="1" applyBorder="1" applyAlignment="1" applyProtection="1">
      <alignment horizontal="left" vertical="center" indent="1"/>
      <protection hidden="1"/>
    </xf>
    <xf numFmtId="1" fontId="2" fillId="0" borderId="7" xfId="6" applyBorder="1" applyAlignment="1" applyProtection="1">
      <alignment vertical="center" wrapText="1"/>
      <protection hidden="1"/>
    </xf>
    <xf numFmtId="3" fontId="33" fillId="11" borderId="8" xfId="7" applyNumberFormat="1" applyFont="1" applyFill="1" applyBorder="1" applyAlignment="1" applyProtection="1">
      <alignment vertical="center"/>
      <protection hidden="1"/>
    </xf>
    <xf numFmtId="1" fontId="32" fillId="7" borderId="8" xfId="6" applyFont="1" applyFill="1" applyBorder="1" applyAlignment="1" applyProtection="1">
      <alignment horizontal="left" vertical="center"/>
      <protection hidden="1"/>
    </xf>
    <xf numFmtId="3" fontId="32" fillId="7" borderId="9" xfId="7" applyNumberFormat="1" applyFont="1" applyFill="1" applyBorder="1" applyAlignment="1" applyProtection="1">
      <alignment vertical="center"/>
      <protection hidden="1"/>
    </xf>
    <xf numFmtId="1" fontId="23" fillId="0" borderId="1" xfId="6" applyFont="1" applyBorder="1" applyAlignment="1" applyProtection="1">
      <alignment horizontal="left" vertical="center" wrapText="1"/>
      <protection hidden="1"/>
    </xf>
    <xf numFmtId="1" fontId="23" fillId="0" borderId="2" xfId="6" applyFont="1" applyBorder="1" applyAlignment="1" applyProtection="1">
      <alignment horizontal="left" vertical="center"/>
      <protection hidden="1"/>
    </xf>
    <xf numFmtId="1" fontId="23" fillId="0" borderId="3" xfId="6" applyFont="1" applyBorder="1" applyAlignment="1" applyProtection="1">
      <alignment horizontal="left" vertical="center"/>
      <protection hidden="1"/>
    </xf>
    <xf numFmtId="165" fontId="33" fillId="0" borderId="6" xfId="1" applyNumberFormat="1" applyFont="1" applyBorder="1" applyAlignment="1" applyProtection="1">
      <alignment vertical="center"/>
      <protection hidden="1"/>
    </xf>
    <xf numFmtId="165" fontId="33" fillId="0" borderId="8" xfId="1" applyNumberFormat="1" applyFont="1" applyBorder="1" applyAlignment="1" applyProtection="1">
      <alignment vertical="center"/>
      <protection hidden="1"/>
    </xf>
    <xf numFmtId="165" fontId="33" fillId="11" borderId="8" xfId="1" applyNumberFormat="1" applyFont="1" applyFill="1" applyBorder="1" applyAlignment="1" applyProtection="1">
      <alignment vertical="center"/>
      <protection hidden="1"/>
    </xf>
    <xf numFmtId="165" fontId="32" fillId="7" borderId="9" xfId="1" applyNumberFormat="1" applyFont="1" applyFill="1" applyBorder="1" applyAlignment="1" applyProtection="1">
      <alignment vertical="center"/>
      <protection hidden="1"/>
    </xf>
    <xf numFmtId="165" fontId="33" fillId="0" borderId="0" xfId="7" applyNumberFormat="1" applyFont="1" applyBorder="1" applyAlignment="1" applyProtection="1">
      <alignment vertical="center"/>
      <protection hidden="1"/>
    </xf>
    <xf numFmtId="165" fontId="33" fillId="0" borderId="6" xfId="7" applyNumberFormat="1" applyFont="1" applyBorder="1" applyAlignment="1" applyProtection="1">
      <alignment vertical="center"/>
      <protection hidden="1"/>
    </xf>
    <xf numFmtId="165" fontId="33" fillId="0" borderId="8" xfId="7" applyNumberFormat="1" applyFont="1" applyBorder="1" applyAlignment="1" applyProtection="1">
      <alignment vertical="center"/>
      <protection hidden="1"/>
    </xf>
    <xf numFmtId="165" fontId="33" fillId="11" borderId="8" xfId="7" applyNumberFormat="1" applyFont="1" applyFill="1" applyBorder="1" applyAlignment="1" applyProtection="1">
      <alignment vertical="center"/>
      <protection hidden="1"/>
    </xf>
    <xf numFmtId="1" fontId="33" fillId="7" borderId="8" xfId="6" applyFont="1" applyFill="1" applyBorder="1" applyAlignment="1" applyProtection="1">
      <alignment horizontal="left" vertical="center"/>
      <protection hidden="1"/>
    </xf>
    <xf numFmtId="165" fontId="33" fillId="7" borderId="8" xfId="7" applyNumberFormat="1" applyFont="1" applyFill="1" applyBorder="1" applyAlignment="1" applyProtection="1">
      <alignment vertical="center"/>
      <protection hidden="1"/>
    </xf>
    <xf numFmtId="1" fontId="2" fillId="6" borderId="4" xfId="6" applyFont="1" applyFill="1" applyBorder="1" applyProtection="1">
      <alignment vertical="center"/>
      <protection hidden="1"/>
    </xf>
    <xf numFmtId="0" fontId="32" fillId="6" borderId="9" xfId="6" applyNumberFormat="1" applyFont="1" applyFill="1" applyBorder="1" applyAlignment="1" applyProtection="1">
      <alignment horizontal="center" vertical="center" wrapText="1"/>
      <protection hidden="1"/>
    </xf>
    <xf numFmtId="1" fontId="32" fillId="6" borderId="8" xfId="6" applyFont="1" applyFill="1" applyBorder="1" applyAlignment="1" applyProtection="1">
      <alignment horizontal="center" vertical="center" wrapText="1"/>
      <protection hidden="1"/>
    </xf>
    <xf numFmtId="1" fontId="5" fillId="6" borderId="2" xfId="6" applyFont="1" applyFill="1" applyBorder="1" applyProtection="1">
      <alignment vertical="center"/>
      <protection hidden="1"/>
    </xf>
    <xf numFmtId="1" fontId="5" fillId="6" borderId="14" xfId="6" applyFont="1" applyFill="1" applyBorder="1" applyProtection="1">
      <alignment vertical="center"/>
      <protection hidden="1"/>
    </xf>
    <xf numFmtId="1" fontId="5" fillId="6" borderId="3" xfId="6" applyFont="1" applyFill="1" applyBorder="1" applyProtection="1">
      <alignment vertical="center"/>
      <protection hidden="1"/>
    </xf>
    <xf numFmtId="1" fontId="2" fillId="7" borderId="5" xfId="6" applyFont="1" applyFill="1" applyBorder="1" applyAlignment="1" applyProtection="1">
      <alignment horizontal="left" vertical="center" indent="1"/>
      <protection hidden="1"/>
    </xf>
    <xf numFmtId="164" fontId="2" fillId="7" borderId="6" xfId="6" applyNumberFormat="1" applyFont="1" applyFill="1" applyBorder="1" applyAlignment="1" applyProtection="1">
      <alignment horizontal="right" vertical="center" wrapText="1"/>
      <protection hidden="1"/>
    </xf>
    <xf numFmtId="1" fontId="2" fillId="0" borderId="7" xfId="6" applyFont="1" applyFill="1" applyBorder="1" applyAlignment="1" applyProtection="1">
      <alignment horizontal="left" vertical="center" indent="1"/>
      <protection hidden="1"/>
    </xf>
    <xf numFmtId="164" fontId="2" fillId="0" borderId="8" xfId="6" applyNumberFormat="1" applyFont="1" applyBorder="1" applyAlignment="1" applyProtection="1">
      <alignment horizontal="right" vertical="center" wrapText="1"/>
      <protection hidden="1"/>
    </xf>
    <xf numFmtId="1" fontId="2" fillId="0" borderId="7" xfId="6" applyFont="1" applyFill="1" applyBorder="1" applyAlignment="1" applyProtection="1">
      <alignment horizontal="left" indent="1"/>
      <protection hidden="1"/>
    </xf>
    <xf numFmtId="164" fontId="2" fillId="0" borderId="9" xfId="6" applyNumberFormat="1" applyFont="1" applyBorder="1" applyAlignment="1" applyProtection="1">
      <alignment horizontal="right" vertical="center" wrapText="1"/>
      <protection hidden="1"/>
    </xf>
    <xf numFmtId="164" fontId="2" fillId="6" borderId="13" xfId="6" applyNumberFormat="1" applyFont="1" applyFill="1" applyBorder="1" applyAlignment="1" applyProtection="1">
      <alignment horizontal="right" vertical="center" wrapText="1"/>
      <protection hidden="1"/>
    </xf>
    <xf numFmtId="1" fontId="5" fillId="6" borderId="16" xfId="6" applyFont="1" applyFill="1" applyBorder="1" applyProtection="1">
      <alignment vertical="center"/>
      <protection hidden="1"/>
    </xf>
    <xf numFmtId="165" fontId="5" fillId="6" borderId="3" xfId="6" applyNumberFormat="1" applyFont="1" applyFill="1" applyBorder="1" applyProtection="1">
      <alignment vertical="center"/>
      <protection hidden="1"/>
    </xf>
    <xf numFmtId="164" fontId="2" fillId="0" borderId="9" xfId="6" applyNumberFormat="1" applyFont="1" applyBorder="1" applyAlignment="1" applyProtection="1">
      <alignment horizontal="right" wrapText="1"/>
      <protection hidden="1"/>
    </xf>
    <xf numFmtId="165" fontId="2" fillId="0" borderId="9" xfId="7" applyNumberFormat="1" applyFont="1" applyBorder="1" applyAlignment="1" applyProtection="1">
      <alignment horizontal="center" vertical="center"/>
      <protection hidden="1"/>
    </xf>
    <xf numFmtId="165" fontId="2" fillId="0" borderId="8" xfId="6" applyNumberFormat="1" applyFont="1" applyBorder="1" applyAlignment="1" applyProtection="1">
      <alignment horizontal="center" vertical="center"/>
      <protection hidden="1"/>
    </xf>
    <xf numFmtId="164" fontId="2" fillId="6" borderId="2" xfId="6" applyNumberFormat="1" applyFont="1" applyFill="1" applyBorder="1" applyAlignment="1" applyProtection="1">
      <alignment horizontal="right" vertical="center" wrapText="1"/>
      <protection hidden="1"/>
    </xf>
    <xf numFmtId="1" fontId="21" fillId="11" borderId="1" xfId="6" applyFont="1" applyFill="1" applyBorder="1" applyAlignment="1" applyProtection="1">
      <alignment horizontal="left" vertical="center" indent="1"/>
      <protection hidden="1"/>
    </xf>
    <xf numFmtId="164" fontId="2" fillId="11" borderId="13" xfId="6" applyNumberFormat="1" applyFont="1" applyFill="1" applyBorder="1" applyAlignment="1" applyProtection="1">
      <alignment horizontal="right" vertical="center" wrapText="1"/>
      <protection hidden="1"/>
    </xf>
    <xf numFmtId="1" fontId="5" fillId="11" borderId="3" xfId="6" applyFont="1" applyFill="1" applyBorder="1" applyProtection="1">
      <alignment vertical="center"/>
      <protection hidden="1"/>
    </xf>
    <xf numFmtId="1" fontId="5" fillId="11" borderId="2" xfId="6" applyFont="1" applyFill="1" applyBorder="1" applyProtection="1">
      <alignment vertical="center"/>
      <protection hidden="1"/>
    </xf>
    <xf numFmtId="165" fontId="5" fillId="11" borderId="3" xfId="6" applyNumberFormat="1" applyFont="1" applyFill="1" applyBorder="1" applyProtection="1">
      <alignment vertical="center"/>
      <protection hidden="1"/>
    </xf>
    <xf numFmtId="164" fontId="2" fillId="0" borderId="9" xfId="6" applyNumberFormat="1" applyFont="1" applyFill="1" applyBorder="1" applyAlignment="1" applyProtection="1">
      <alignment horizontal="right" vertical="center" wrapText="1"/>
      <protection hidden="1"/>
    </xf>
    <xf numFmtId="165" fontId="2" fillId="0" borderId="8" xfId="7" applyNumberFormat="1" applyFont="1" applyFill="1" applyBorder="1" applyProtection="1">
      <alignment vertical="center"/>
      <protection hidden="1"/>
    </xf>
    <xf numFmtId="1" fontId="23" fillId="0" borderId="1" xfId="6" applyFont="1" applyBorder="1" applyAlignment="1" applyProtection="1">
      <alignment horizontal="left" wrapText="1"/>
      <protection hidden="1"/>
    </xf>
    <xf numFmtId="1" fontId="23" fillId="0" borderId="2" xfId="6" applyFont="1" applyBorder="1" applyAlignment="1" applyProtection="1">
      <alignment horizontal="left" wrapText="1"/>
      <protection hidden="1"/>
    </xf>
    <xf numFmtId="1" fontId="23" fillId="0" borderId="3" xfId="6" applyFont="1" applyBorder="1" applyAlignment="1" applyProtection="1">
      <alignment horizontal="left" wrapText="1"/>
      <protection hidden="1"/>
    </xf>
    <xf numFmtId="1" fontId="21" fillId="7" borderId="5" xfId="6" applyFont="1" applyFill="1" applyBorder="1" applyAlignment="1" applyProtection="1">
      <alignment horizontal="left" vertical="center" indent="1"/>
      <protection hidden="1"/>
    </xf>
    <xf numFmtId="165" fontId="2" fillId="7" borderId="14" xfId="7" applyNumberFormat="1" applyFont="1" applyFill="1" applyBorder="1" applyProtection="1">
      <alignment vertical="center"/>
      <protection hidden="1"/>
    </xf>
    <xf numFmtId="1" fontId="21" fillId="0" borderId="7" xfId="6" applyFont="1" applyFill="1" applyBorder="1" applyAlignment="1" applyProtection="1">
      <alignment horizontal="left" vertical="center" indent="1"/>
      <protection hidden="1"/>
    </xf>
    <xf numFmtId="165" fontId="2" fillId="0" borderId="16" xfId="7" applyNumberFormat="1" applyFont="1" applyBorder="1" applyProtection="1">
      <alignment vertical="center"/>
      <protection hidden="1"/>
    </xf>
    <xf numFmtId="0" fontId="36" fillId="0" borderId="0" xfId="8" applyFont="1" applyAlignment="1" applyProtection="1">
      <alignment vertical="center"/>
      <protection hidden="1"/>
    </xf>
    <xf numFmtId="0" fontId="36" fillId="0" borderId="0" xfId="8" applyFont="1" applyAlignment="1" applyProtection="1">
      <alignment vertical="center" wrapText="1"/>
      <protection hidden="1"/>
    </xf>
    <xf numFmtId="1" fontId="37" fillId="3" borderId="5" xfId="6" applyFont="1" applyFill="1" applyBorder="1" applyAlignment="1" applyProtection="1">
      <alignment horizontal="center" wrapText="1"/>
      <protection hidden="1"/>
    </xf>
    <xf numFmtId="1" fontId="37" fillId="3" borderId="13" xfId="6" applyFont="1" applyFill="1" applyBorder="1" applyAlignment="1" applyProtection="1">
      <alignment horizontal="center" wrapText="1"/>
      <protection hidden="1"/>
    </xf>
    <xf numFmtId="1" fontId="37" fillId="3" borderId="14" xfId="6" applyFont="1" applyFill="1" applyBorder="1" applyAlignment="1" applyProtection="1">
      <alignment horizontal="center" wrapText="1"/>
      <protection hidden="1"/>
    </xf>
    <xf numFmtId="49" fontId="37" fillId="3" borderId="11" xfId="6" applyNumberFormat="1" applyFont="1" applyFill="1" applyBorder="1" applyAlignment="1" applyProtection="1">
      <alignment horizontal="center" wrapText="1"/>
      <protection hidden="1"/>
    </xf>
    <xf numFmtId="49" fontId="37" fillId="3" borderId="12" xfId="6" applyNumberFormat="1" applyFont="1" applyFill="1" applyBorder="1" applyAlignment="1" applyProtection="1">
      <alignment horizontal="center" wrapText="1"/>
      <protection hidden="1"/>
    </xf>
    <xf numFmtId="49" fontId="37" fillId="3" borderId="16" xfId="6" applyNumberFormat="1" applyFont="1" applyFill="1" applyBorder="1" applyAlignment="1" applyProtection="1">
      <alignment horizontal="center" wrapText="1"/>
      <protection hidden="1"/>
    </xf>
    <xf numFmtId="1" fontId="22" fillId="6" borderId="9" xfId="6" applyNumberFormat="1" applyFont="1" applyFill="1" applyBorder="1" applyAlignment="1" applyProtection="1">
      <alignment horizontal="center" vertical="center" wrapText="1"/>
      <protection hidden="1"/>
    </xf>
    <xf numFmtId="1" fontId="22" fillId="6" borderId="4" xfId="6" applyNumberFormat="1" applyFont="1" applyFill="1" applyBorder="1" applyAlignment="1" applyProtection="1">
      <alignment horizontal="center" vertical="center" wrapText="1"/>
      <protection hidden="1"/>
    </xf>
    <xf numFmtId="1" fontId="22" fillId="6" borderId="7" xfId="6" applyNumberFormat="1" applyFont="1" applyFill="1" applyBorder="1" applyAlignment="1" applyProtection="1">
      <alignment horizontal="center" vertical="center" wrapText="1"/>
      <protection hidden="1"/>
    </xf>
    <xf numFmtId="1" fontId="22" fillId="6" borderId="4" xfId="6" applyNumberFormat="1" applyFont="1" applyFill="1" applyBorder="1" applyAlignment="1" applyProtection="1">
      <alignment horizontal="center" vertical="center" wrapText="1"/>
      <protection hidden="1"/>
    </xf>
    <xf numFmtId="1" fontId="2" fillId="0" borderId="5" xfId="6" applyBorder="1" applyProtection="1">
      <alignment vertical="center"/>
      <protection hidden="1"/>
    </xf>
    <xf numFmtId="1" fontId="2" fillId="0" borderId="7" xfId="6" applyBorder="1" applyProtection="1">
      <alignment vertical="center"/>
      <protection hidden="1"/>
    </xf>
    <xf numFmtId="0" fontId="36" fillId="0" borderId="0" xfId="8" applyFont="1" applyFill="1" applyBorder="1" applyAlignment="1" applyProtection="1">
      <alignment vertical="center"/>
      <protection hidden="1"/>
    </xf>
    <xf numFmtId="0" fontId="26" fillId="0" borderId="0" xfId="9" applyFont="1" applyFill="1" applyBorder="1" applyAlignment="1" applyProtection="1">
      <alignment horizontal="center"/>
      <protection hidden="1"/>
    </xf>
    <xf numFmtId="3" fontId="26" fillId="0" borderId="0" xfId="9" applyNumberFormat="1" applyFont="1" applyFill="1" applyBorder="1" applyAlignment="1" applyProtection="1">
      <alignment horizontal="right" wrapText="1"/>
      <protection hidden="1"/>
    </xf>
    <xf numFmtId="0" fontId="38" fillId="7" borderId="4" xfId="8" applyFont="1" applyFill="1" applyBorder="1" applyAlignment="1" applyProtection="1">
      <alignment vertical="center"/>
      <protection hidden="1"/>
    </xf>
    <xf numFmtId="164" fontId="21" fillId="7" borderId="4" xfId="6" applyNumberFormat="1" applyFont="1" applyFill="1" applyBorder="1" applyProtection="1">
      <alignment vertical="center"/>
      <protection hidden="1"/>
    </xf>
    <xf numFmtId="1" fontId="23" fillId="0" borderId="4" xfId="6" applyFont="1" applyBorder="1" applyAlignment="1" applyProtection="1">
      <alignment horizontal="left" wrapText="1"/>
      <protection hidden="1"/>
    </xf>
    <xf numFmtId="1" fontId="34" fillId="0" borderId="0" xfId="6" applyFont="1" applyBorder="1" applyAlignment="1" applyProtection="1">
      <alignment wrapText="1"/>
      <protection hidden="1"/>
    </xf>
    <xf numFmtId="0" fontId="26" fillId="0" borderId="0" xfId="9" applyFont="1" applyFill="1" applyBorder="1" applyAlignment="1" applyProtection="1">
      <alignment horizontal="left" wrapText="1"/>
      <protection hidden="1"/>
    </xf>
    <xf numFmtId="0" fontId="26" fillId="0" borderId="0" xfId="9" applyFont="1" applyFill="1" applyBorder="1" applyAlignment="1" applyProtection="1">
      <alignment horizontal="center" wrapText="1"/>
      <protection hidden="1"/>
    </xf>
    <xf numFmtId="1" fontId="32" fillId="6" borderId="6" xfId="6" applyNumberFormat="1" applyFont="1" applyFill="1" applyBorder="1" applyAlignment="1" applyProtection="1">
      <alignment horizontal="center" vertical="center"/>
      <protection hidden="1"/>
    </xf>
    <xf numFmtId="1" fontId="32" fillId="6" borderId="9" xfId="6" applyFont="1" applyFill="1" applyBorder="1" applyAlignment="1" applyProtection="1">
      <alignment horizontal="center" vertical="center"/>
      <protection hidden="1"/>
    </xf>
    <xf numFmtId="1" fontId="32" fillId="6" borderId="8" xfId="6" applyNumberFormat="1" applyFont="1" applyFill="1" applyBorder="1" applyAlignment="1" applyProtection="1">
      <alignment horizontal="center" vertical="center"/>
      <protection hidden="1"/>
    </xf>
    <xf numFmtId="49" fontId="21" fillId="6" borderId="9" xfId="6" applyNumberFormat="1" applyFont="1" applyFill="1" applyBorder="1" applyAlignment="1" applyProtection="1">
      <alignment horizontal="center" vertical="center" wrapText="1"/>
      <protection hidden="1"/>
    </xf>
    <xf numFmtId="1" fontId="32" fillId="6" borderId="6" xfId="6" applyNumberFormat="1" applyFont="1" applyFill="1" applyBorder="1" applyAlignment="1" applyProtection="1">
      <alignment horizontal="center" vertical="center" wrapText="1"/>
      <protection hidden="1"/>
    </xf>
    <xf numFmtId="17" fontId="32" fillId="6" borderId="6" xfId="6" applyNumberFormat="1" applyFont="1" applyFill="1" applyBorder="1" applyAlignment="1" applyProtection="1">
      <alignment horizontal="center" vertical="center" wrapText="1"/>
      <protection hidden="1"/>
    </xf>
    <xf numFmtId="0" fontId="39" fillId="0" borderId="5" xfId="8" applyFont="1" applyBorder="1" applyAlignment="1" applyProtection="1">
      <alignment vertical="center"/>
      <protection hidden="1"/>
    </xf>
    <xf numFmtId="3" fontId="39" fillId="12" borderId="6" xfId="8" applyNumberFormat="1" applyFont="1" applyFill="1" applyBorder="1" applyAlignment="1" applyProtection="1">
      <alignment horizontal="right" vertical="center" wrapText="1"/>
      <protection hidden="1"/>
    </xf>
    <xf numFmtId="10" fontId="39" fillId="12" borderId="13" xfId="7" applyNumberFormat="1" applyFont="1" applyFill="1" applyBorder="1" applyProtection="1">
      <alignment vertical="center"/>
      <protection hidden="1"/>
    </xf>
    <xf numFmtId="10" fontId="39" fillId="12" borderId="0" xfId="7" applyNumberFormat="1" applyFont="1" applyFill="1" applyBorder="1" applyProtection="1">
      <alignment vertical="center"/>
      <protection hidden="1"/>
    </xf>
    <xf numFmtId="3" fontId="39" fillId="12" borderId="8" xfId="8" applyNumberFormat="1" applyFont="1" applyFill="1" applyBorder="1" applyAlignment="1" applyProtection="1">
      <alignment horizontal="right" vertical="center" wrapText="1"/>
      <protection hidden="1"/>
    </xf>
    <xf numFmtId="165" fontId="39" fillId="12" borderId="15" xfId="7" applyNumberFormat="1" applyFont="1" applyFill="1" applyBorder="1" applyProtection="1">
      <alignment vertical="center"/>
      <protection hidden="1"/>
    </xf>
    <xf numFmtId="0" fontId="36" fillId="12" borderId="0" xfId="8" applyFont="1" applyFill="1" applyAlignment="1" applyProtection="1">
      <alignment vertical="center"/>
      <protection hidden="1"/>
    </xf>
    <xf numFmtId="0" fontId="39" fillId="0" borderId="7" xfId="8" applyFont="1" applyBorder="1" applyAlignment="1" applyProtection="1">
      <alignment vertical="center"/>
      <protection hidden="1"/>
    </xf>
    <xf numFmtId="3" fontId="39" fillId="12" borderId="8" xfId="8" quotePrefix="1" applyNumberFormat="1" applyFont="1" applyFill="1" applyBorder="1" applyAlignment="1" applyProtection="1">
      <alignment horizontal="right" vertical="center" wrapText="1"/>
      <protection hidden="1"/>
    </xf>
    <xf numFmtId="165" fontId="39" fillId="12" borderId="15" xfId="7" applyNumberFormat="1" applyFont="1" applyFill="1" applyBorder="1" applyAlignment="1" applyProtection="1">
      <alignment horizontal="center" vertical="center"/>
      <protection hidden="1"/>
    </xf>
    <xf numFmtId="0" fontId="38" fillId="7" borderId="11" xfId="8" applyFont="1" applyFill="1" applyBorder="1" applyAlignment="1" applyProtection="1">
      <alignment vertical="center"/>
      <protection hidden="1"/>
    </xf>
    <xf numFmtId="3" fontId="38" fillId="7" borderId="9" xfId="8" applyNumberFormat="1" applyFont="1" applyFill="1" applyBorder="1" applyAlignment="1" applyProtection="1">
      <alignment horizontal="right" vertical="center" wrapText="1"/>
      <protection hidden="1"/>
    </xf>
    <xf numFmtId="165" fontId="38" fillId="7" borderId="12" xfId="7" applyNumberFormat="1" applyFont="1" applyFill="1" applyBorder="1" applyProtection="1">
      <alignment vertical="center"/>
      <protection hidden="1"/>
    </xf>
    <xf numFmtId="10" fontId="38" fillId="7" borderId="12" xfId="7" applyNumberFormat="1" applyFont="1" applyFill="1" applyBorder="1" applyProtection="1">
      <alignment vertical="center"/>
      <protection hidden="1"/>
    </xf>
    <xf numFmtId="165" fontId="38" fillId="7" borderId="9" xfId="7" applyNumberFormat="1" applyFont="1" applyFill="1" applyBorder="1" applyProtection="1">
      <alignment vertical="center"/>
      <protection hidden="1"/>
    </xf>
    <xf numFmtId="0" fontId="26" fillId="0" borderId="1" xfId="8" applyFont="1" applyBorder="1" applyAlignment="1" applyProtection="1">
      <alignment horizontal="left" wrapText="1"/>
      <protection hidden="1"/>
    </xf>
    <xf numFmtId="0" fontId="26" fillId="0" borderId="12" xfId="8" applyFont="1" applyBorder="1" applyAlignment="1" applyProtection="1">
      <alignment horizontal="left" wrapText="1"/>
      <protection hidden="1"/>
    </xf>
    <xf numFmtId="0" fontId="26" fillId="0" borderId="2" xfId="8" applyFont="1" applyBorder="1" applyAlignment="1" applyProtection="1">
      <alignment horizontal="left" wrapText="1"/>
      <protection hidden="1"/>
    </xf>
    <xf numFmtId="0" fontId="26" fillId="0" borderId="3" xfId="8" applyFont="1" applyBorder="1" applyAlignment="1" applyProtection="1">
      <alignment horizontal="left" wrapText="1"/>
      <protection hidden="1"/>
    </xf>
    <xf numFmtId="0" fontId="26" fillId="0" borderId="0" xfId="8" applyFont="1" applyAlignment="1" applyProtection="1">
      <alignment vertical="center"/>
      <protection hidden="1"/>
    </xf>
    <xf numFmtId="1" fontId="12" fillId="0" borderId="0" xfId="6" applyFont="1" applyFill="1" applyBorder="1" applyAlignment="1" applyProtection="1">
      <alignment vertical="center" wrapText="1"/>
      <protection hidden="1"/>
    </xf>
    <xf numFmtId="0" fontId="21" fillId="6" borderId="9" xfId="6" applyNumberFormat="1" applyFont="1" applyFill="1" applyBorder="1" applyAlignment="1" applyProtection="1">
      <alignment horizontal="center" vertical="center" wrapText="1"/>
      <protection hidden="1"/>
    </xf>
    <xf numFmtId="1" fontId="21" fillId="7" borderId="6" xfId="6" applyFont="1" applyFill="1" applyBorder="1" applyAlignment="1" applyProtection="1">
      <alignment horizontal="left" vertical="center" wrapText="1"/>
      <protection hidden="1"/>
    </xf>
    <xf numFmtId="3" fontId="21" fillId="7" borderId="0" xfId="6" applyNumberFormat="1" applyFont="1" applyFill="1" applyAlignment="1" applyProtection="1">
      <alignment horizontal="right" vertical="center"/>
      <protection hidden="1"/>
    </xf>
    <xf numFmtId="165" fontId="40" fillId="7" borderId="6" xfId="7" applyNumberFormat="1" applyFont="1" applyFill="1" applyBorder="1" applyAlignment="1" applyProtection="1">
      <alignment horizontal="right" vertical="center" wrapText="1"/>
      <protection hidden="1"/>
    </xf>
    <xf numFmtId="1" fontId="21" fillId="0" borderId="8" xfId="6" applyFont="1" applyFill="1" applyBorder="1" applyAlignment="1" applyProtection="1">
      <alignment horizontal="left" vertical="center" wrapText="1"/>
      <protection hidden="1"/>
    </xf>
    <xf numFmtId="3" fontId="21" fillId="0" borderId="0" xfId="6" applyNumberFormat="1" applyFont="1" applyAlignment="1" applyProtection="1">
      <alignment horizontal="right" vertical="center"/>
      <protection hidden="1"/>
    </xf>
    <xf numFmtId="165" fontId="40" fillId="0" borderId="8" xfId="7" applyNumberFormat="1" applyFont="1" applyBorder="1" applyAlignment="1" applyProtection="1">
      <alignment horizontal="right" vertical="center" wrapText="1"/>
      <protection hidden="1"/>
    </xf>
    <xf numFmtId="1" fontId="2" fillId="0" borderId="8" xfId="6" applyFont="1" applyFill="1" applyBorder="1" applyAlignment="1" applyProtection="1">
      <alignment horizontal="left" indent="1"/>
      <protection hidden="1"/>
    </xf>
    <xf numFmtId="3" fontId="2" fillId="0" borderId="0" xfId="6" applyNumberFormat="1" applyFont="1" applyAlignment="1" applyProtection="1">
      <alignment horizontal="right" vertical="center"/>
      <protection hidden="1"/>
    </xf>
    <xf numFmtId="165" fontId="36" fillId="0" borderId="8" xfId="7" applyNumberFormat="1" applyFont="1" applyBorder="1" applyAlignment="1" applyProtection="1">
      <alignment horizontal="right" vertical="center" wrapText="1"/>
      <protection hidden="1"/>
    </xf>
    <xf numFmtId="3" fontId="2" fillId="0" borderId="0" xfId="6" applyNumberFormat="1" applyAlignment="1" applyProtection="1">
      <alignment horizontal="right" vertical="center"/>
      <protection hidden="1"/>
    </xf>
    <xf numFmtId="3" fontId="40" fillId="0" borderId="8" xfId="8" applyNumberFormat="1" applyFont="1" applyBorder="1" applyAlignment="1" applyProtection="1">
      <alignment horizontal="right" vertical="center" wrapText="1"/>
      <protection hidden="1"/>
    </xf>
    <xf numFmtId="3" fontId="21" fillId="0" borderId="15" xfId="6" applyNumberFormat="1" applyFont="1" applyBorder="1" applyAlignment="1" applyProtection="1">
      <alignment horizontal="right" vertical="center"/>
      <protection hidden="1"/>
    </xf>
    <xf numFmtId="3" fontId="36" fillId="0" borderId="8" xfId="8" applyNumberFormat="1" applyFont="1" applyBorder="1" applyAlignment="1" applyProtection="1">
      <alignment horizontal="right" vertical="center" wrapText="1"/>
      <protection hidden="1"/>
    </xf>
    <xf numFmtId="1" fontId="41" fillId="0" borderId="0" xfId="6" applyFont="1" applyBorder="1" applyAlignment="1" applyProtection="1">
      <alignment vertical="center" wrapText="1"/>
      <protection hidden="1"/>
    </xf>
    <xf numFmtId="1" fontId="41" fillId="0" borderId="1" xfId="6" applyFont="1" applyBorder="1" applyAlignment="1" applyProtection="1">
      <alignment horizontal="left" vertical="center" wrapText="1"/>
      <protection hidden="1"/>
    </xf>
    <xf numFmtId="1" fontId="41" fillId="0" borderId="2" xfId="6" applyFont="1" applyBorder="1" applyAlignment="1" applyProtection="1">
      <alignment horizontal="left" vertical="center" wrapText="1"/>
      <protection hidden="1"/>
    </xf>
    <xf numFmtId="1" fontId="41" fillId="0" borderId="3" xfId="6" applyFont="1" applyBorder="1" applyAlignment="1" applyProtection="1">
      <alignment horizontal="left" vertical="center" wrapText="1"/>
      <protection hidden="1"/>
    </xf>
    <xf numFmtId="1" fontId="21" fillId="14" borderId="1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33" fillId="14" borderId="13" xfId="2" applyFont="1" applyFill="1" applyBorder="1" applyAlignment="1">
      <alignment vertical="center"/>
    </xf>
    <xf numFmtId="1" fontId="21" fillId="14" borderId="15" xfId="2" applyFont="1" applyFill="1" applyBorder="1" applyAlignment="1">
      <alignment horizontal="center" vertical="center"/>
    </xf>
    <xf numFmtId="1" fontId="2" fillId="0" borderId="7" xfId="2" applyFont="1" applyBorder="1" applyAlignment="1" applyProtection="1">
      <alignment horizontal="left"/>
    </xf>
    <xf numFmtId="1" fontId="21" fillId="14" borderId="16" xfId="2" applyFont="1" applyFill="1" applyBorder="1" applyAlignment="1">
      <alignment horizontal="center" vertical="center"/>
    </xf>
    <xf numFmtId="1" fontId="2" fillId="0" borderId="11" xfId="2" applyFont="1" applyBorder="1" applyAlignment="1" applyProtection="1">
      <alignment horizontal="left"/>
    </xf>
    <xf numFmtId="1" fontId="22" fillId="14" borderId="1" xfId="2" applyNumberFormat="1" applyFont="1" applyFill="1" applyBorder="1" applyAlignment="1">
      <alignment horizontal="center" vertical="center" wrapText="1"/>
    </xf>
    <xf numFmtId="1" fontId="21" fillId="14" borderId="1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1" fillId="14" borderId="15" xfId="2" applyFont="1" applyFill="1" applyBorder="1" applyAlignment="1">
      <alignment horizontal="center" vertical="center" wrapText="1"/>
    </xf>
    <xf numFmtId="1" fontId="2" fillId="0" borderId="7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2" fillId="14" borderId="6" xfId="2" applyNumberFormat="1" applyFont="1" applyFill="1" applyBorder="1" applyAlignment="1" applyProtection="1">
      <alignment horizontal="center" vertical="center" wrapText="1"/>
      <protection hidden="1"/>
    </xf>
    <xf numFmtId="1" fontId="20" fillId="15" borderId="1" xfId="2" applyFont="1" applyFill="1" applyBorder="1" applyAlignment="1">
      <alignment horizontal="center" vertical="center" wrapText="1"/>
    </xf>
    <xf numFmtId="1" fontId="20" fillId="15" borderId="2" xfId="2" applyFont="1" applyFill="1" applyBorder="1" applyAlignment="1">
      <alignment horizontal="center" vertical="center" wrapText="1"/>
    </xf>
    <xf numFmtId="1" fontId="20" fillId="15" borderId="3" xfId="2" applyFont="1" applyFill="1" applyBorder="1" applyAlignment="1">
      <alignment horizontal="center" vertical="center" wrapText="1"/>
    </xf>
    <xf numFmtId="0" fontId="21" fillId="14" borderId="4" xfId="2" applyNumberFormat="1" applyFont="1" applyFill="1" applyBorder="1" applyAlignment="1" applyProtection="1">
      <alignment horizontal="center" vertical="center"/>
      <protection hidden="1"/>
    </xf>
    <xf numFmtId="1" fontId="21" fillId="14" borderId="6" xfId="2" applyNumberFormat="1" applyFont="1" applyFill="1" applyBorder="1" applyAlignment="1">
      <alignment horizontal="center" vertical="center" wrapText="1"/>
    </xf>
  </cellXfs>
  <cellStyles count="188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6"/>
    <cellStyle name="Normal 3" xfId="147"/>
    <cellStyle name="Normal 3 2" xfId="148"/>
    <cellStyle name="Normal_Hoja1" xfId="9"/>
    <cellStyle name="Normal_PlazasEstablecimientosMunicipioAutAños" xfId="8"/>
    <cellStyle name="Normal_Series anuales Estadísticas de Turismo" xfId="5"/>
    <cellStyle name="Notas 2" xfId="149"/>
    <cellStyle name="Notas 3" xfId="150"/>
    <cellStyle name="Notas 4" xfId="151"/>
    <cellStyle name="Notas 5" xfId="152"/>
    <cellStyle name="Porcentaje" xfId="153"/>
    <cellStyle name="Porcentual" xfId="1" builtinId="5"/>
    <cellStyle name="Porcentual 2" xfId="4"/>
    <cellStyle name="Porcentual 2 2" xfId="7"/>
    <cellStyle name="Punto" xfId="154"/>
    <cellStyle name="Punto0" xfId="155"/>
    <cellStyle name="Salida 2" xfId="156"/>
    <cellStyle name="Salida 3" xfId="157"/>
    <cellStyle name="Salida 4" xfId="158"/>
    <cellStyle name="Salida 5" xfId="159"/>
    <cellStyle name="Texto de advertencia 2" xfId="160"/>
    <cellStyle name="Texto de advertencia 3" xfId="161"/>
    <cellStyle name="Texto de advertencia 4" xfId="162"/>
    <cellStyle name="Texto de advertencia 5" xfId="163"/>
    <cellStyle name="Texto explicativo 2" xfId="164"/>
    <cellStyle name="Texto explicativo 3" xfId="165"/>
    <cellStyle name="Texto explicativo 4" xfId="166"/>
    <cellStyle name="Texto explicativo 5" xfId="167"/>
    <cellStyle name="Título 1 2" xfId="168"/>
    <cellStyle name="Título 1 3" xfId="169"/>
    <cellStyle name="Título 1 4" xfId="170"/>
    <cellStyle name="Título 1 5" xfId="171"/>
    <cellStyle name="Título 2 2" xfId="172"/>
    <cellStyle name="Título 2 3" xfId="173"/>
    <cellStyle name="Título 2 4" xfId="174"/>
    <cellStyle name="Título 2 5" xfId="175"/>
    <cellStyle name="Título 3 2" xfId="176"/>
    <cellStyle name="Título 3 3" xfId="177"/>
    <cellStyle name="Título 3 4" xfId="178"/>
    <cellStyle name="Título 3 5" xfId="179"/>
    <cellStyle name="Título 4" xfId="180"/>
    <cellStyle name="Título 5" xfId="181"/>
    <cellStyle name="Título 6" xfId="182"/>
    <cellStyle name="Título 7" xfId="183"/>
    <cellStyle name="Total 2" xfId="184"/>
    <cellStyle name="Total 3" xfId="185"/>
    <cellStyle name="Total 4" xfId="186"/>
    <cellStyle name="Total 5" xfId="18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customXml" Target="../customXml/item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externalLink" Target="externalLinks/externalLink3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.xml"/><Relationship Id="rId114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styles" Target="styles.xml"/><Relationship Id="rId115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tip'!$C$3:$F$3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tip'!$D$4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tip'!$C$69,'tab. Turistas alojados tip'!$C$56,'tab. Turistas alojados tip'!$C$43,'tab. Turistas alojados tip'!$C$30)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tip'!$D$69,'tab. Turistas alojados tip'!$D$56,'tab. Turistas alojados tip'!$D$43,'tab. Turistas alojados tip'!$D$30)</c:f>
              <c:numCache>
                <c:formatCode>#,##0</c:formatCode>
                <c:ptCount val="4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tip'!$E$4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tip'!$C$69,'tab. Turistas alojados tip'!$C$56,'tab. Turistas alojados tip'!$C$43,'tab. Turistas alojados tip'!$C$30)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tip'!$E$69,'tab. Turistas alojados tip'!$E$56,'tab. Turistas alojados tip'!$E$43,'tab. Turistas alojados tip'!$E$30)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tip'!$F$4</c:f>
              <c:strCache>
                <c:ptCount val="1"/>
                <c:pt idx="0">
                  <c:v> TOTAL GENERAL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tip'!$C$69,'tab. Turistas alojados tip'!$C$56,'tab. Turistas alojados tip'!$C$43,'tab. Turistas alojados tip'!$C$30)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tip'!$F$69,'tab. Turistas alojados tip'!$F$56,'tab. Turistas alojados tip'!$F$43,'tab. Turistas alojados tip'!$F$30)</c:f>
              <c:numCache>
                <c:formatCode>#,##0</c:formatCode>
                <c:ptCount val="4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</c:numCache>
            </c:numRef>
          </c:val>
        </c:ser>
        <c:marker val="1"/>
        <c:axId val="192910848"/>
        <c:axId val="192912768"/>
      </c:lineChart>
      <c:catAx>
        <c:axId val="192910848"/>
        <c:scaling>
          <c:orientation val="minMax"/>
        </c:scaling>
        <c:axPos val="b"/>
        <c:numFmt formatCode="General" sourceLinked="1"/>
        <c:tickLblPos val="nextTo"/>
        <c:crossAx val="192912768"/>
        <c:crosses val="autoZero"/>
        <c:auto val="1"/>
        <c:lblAlgn val="ctr"/>
        <c:lblOffset val="100"/>
        <c:tickLblSkip val="1"/>
      </c:catAx>
      <c:valAx>
        <c:axId val="192912768"/>
        <c:scaling>
          <c:orientation val="minMax"/>
        </c:scaling>
        <c:axPos val="l"/>
        <c:numFmt formatCode="#,##0" sourceLinked="1"/>
        <c:tickLblPos val="nextTo"/>
        <c:crossAx val="192910848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827059161774465"/>
          <c:w val="0.84763751506150764"/>
          <c:h val="0.43958932695250608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merc'!$C$42:$C$53</c:f>
              <c:numCache>
                <c:formatCode>#,##0</c:formatCode>
                <c:ptCount val="12"/>
                <c:pt idx="0">
                  <c:v>14198</c:v>
                </c:pt>
                <c:pt idx="1">
                  <c:v>16399</c:v>
                </c:pt>
                <c:pt idx="2">
                  <c:v>13318</c:v>
                </c:pt>
                <c:pt idx="3">
                  <c:v>15192</c:v>
                </c:pt>
                <c:pt idx="4">
                  <c:v>15275</c:v>
                </c:pt>
                <c:pt idx="5">
                  <c:v>13617</c:v>
                </c:pt>
                <c:pt idx="6">
                  <c:v>14383</c:v>
                </c:pt>
                <c:pt idx="7">
                  <c:v>9618</c:v>
                </c:pt>
                <c:pt idx="8">
                  <c:v>12814</c:v>
                </c:pt>
                <c:pt idx="9">
                  <c:v>15287</c:v>
                </c:pt>
                <c:pt idx="10">
                  <c:v>14430</c:v>
                </c:pt>
                <c:pt idx="11">
                  <c:v>12528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merc'!$D$42:$D$53</c:f>
              <c:numCache>
                <c:formatCode>#,##0</c:formatCode>
                <c:ptCount val="12"/>
                <c:pt idx="0">
                  <c:v>10846</c:v>
                </c:pt>
                <c:pt idx="1">
                  <c:v>12703</c:v>
                </c:pt>
                <c:pt idx="2">
                  <c:v>12934</c:v>
                </c:pt>
                <c:pt idx="3">
                  <c:v>10795</c:v>
                </c:pt>
                <c:pt idx="4">
                  <c:v>11456</c:v>
                </c:pt>
                <c:pt idx="5">
                  <c:v>11084</c:v>
                </c:pt>
                <c:pt idx="6">
                  <c:v>9952</c:v>
                </c:pt>
                <c:pt idx="7">
                  <c:v>6016</c:v>
                </c:pt>
                <c:pt idx="8">
                  <c:v>9249</c:v>
                </c:pt>
                <c:pt idx="9">
                  <c:v>10689</c:v>
                </c:pt>
                <c:pt idx="10">
                  <c:v>11166</c:v>
                </c:pt>
                <c:pt idx="11">
                  <c:v>10029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merc'!$E$42:$E$47,'graficas evol mensual merc'!$E$48)</c:f>
              <c:numCache>
                <c:formatCode>#,##0</c:formatCode>
                <c:ptCount val="7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</c:numCache>
            </c:numRef>
          </c:val>
        </c:ser>
        <c:marker val="1"/>
        <c:axId val="196913024"/>
        <c:axId val="196937984"/>
      </c:lineChart>
      <c:catAx>
        <c:axId val="196913024"/>
        <c:scaling>
          <c:orientation val="minMax"/>
        </c:scaling>
        <c:axPos val="b"/>
        <c:numFmt formatCode="General" sourceLinked="1"/>
        <c:tickLblPos val="nextTo"/>
        <c:crossAx val="196937984"/>
        <c:crosses val="autoZero"/>
        <c:auto val="1"/>
        <c:lblAlgn val="ctr"/>
        <c:lblOffset val="100"/>
      </c:catAx>
      <c:valAx>
        <c:axId val="196937984"/>
        <c:scaling>
          <c:orientation val="minMax"/>
        </c:scaling>
        <c:axPos val="l"/>
        <c:numFmt formatCode="#,##0" sourceLinked="1"/>
        <c:tickLblPos val="nextTo"/>
        <c:crossAx val="1969130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336"/>
          <c:y val="0.2120141342756184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6000204038099478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merc'!$C$60:$C$71</c:f>
              <c:numCache>
                <c:formatCode>#,##0</c:formatCode>
                <c:ptCount val="12"/>
                <c:pt idx="0">
                  <c:v>483</c:v>
                </c:pt>
                <c:pt idx="1">
                  <c:v>453</c:v>
                </c:pt>
                <c:pt idx="2">
                  <c:v>571</c:v>
                </c:pt>
                <c:pt idx="3">
                  <c:v>381</c:v>
                </c:pt>
                <c:pt idx="4">
                  <c:v>249</c:v>
                </c:pt>
                <c:pt idx="5">
                  <c:v>189</c:v>
                </c:pt>
                <c:pt idx="6">
                  <c:v>178</c:v>
                </c:pt>
                <c:pt idx="7">
                  <c:v>225</c:v>
                </c:pt>
                <c:pt idx="8">
                  <c:v>246</c:v>
                </c:pt>
                <c:pt idx="9">
                  <c:v>337</c:v>
                </c:pt>
                <c:pt idx="10">
                  <c:v>415</c:v>
                </c:pt>
                <c:pt idx="11">
                  <c:v>542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merc'!$D$60:$D$71</c:f>
              <c:numCache>
                <c:formatCode>#,##0</c:formatCode>
                <c:ptCount val="12"/>
                <c:pt idx="0">
                  <c:v>415</c:v>
                </c:pt>
                <c:pt idx="1">
                  <c:v>362</c:v>
                </c:pt>
                <c:pt idx="2">
                  <c:v>366</c:v>
                </c:pt>
                <c:pt idx="3">
                  <c:v>218</c:v>
                </c:pt>
                <c:pt idx="4">
                  <c:v>226</c:v>
                </c:pt>
                <c:pt idx="5">
                  <c:v>153</c:v>
                </c:pt>
                <c:pt idx="6">
                  <c:v>125</c:v>
                </c:pt>
                <c:pt idx="7">
                  <c:v>128</c:v>
                </c:pt>
                <c:pt idx="8">
                  <c:v>198</c:v>
                </c:pt>
                <c:pt idx="9">
                  <c:v>319</c:v>
                </c:pt>
                <c:pt idx="10">
                  <c:v>564</c:v>
                </c:pt>
                <c:pt idx="11">
                  <c:v>546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merc'!$E$60:$E$65,'graficas evol mensual merc'!$E$66)</c:f>
              <c:numCache>
                <c:formatCode>#,##0</c:formatCode>
                <c:ptCount val="7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</c:numCache>
            </c:numRef>
          </c:val>
        </c:ser>
        <c:marker val="1"/>
        <c:axId val="196964352"/>
        <c:axId val="196983424"/>
      </c:lineChart>
      <c:catAx>
        <c:axId val="196964352"/>
        <c:scaling>
          <c:orientation val="minMax"/>
        </c:scaling>
        <c:axPos val="b"/>
        <c:numFmt formatCode="General" sourceLinked="1"/>
        <c:tickLblPos val="nextTo"/>
        <c:crossAx val="196983424"/>
        <c:crosses val="autoZero"/>
        <c:auto val="1"/>
        <c:lblAlgn val="ctr"/>
        <c:lblOffset val="100"/>
      </c:catAx>
      <c:valAx>
        <c:axId val="196983424"/>
        <c:scaling>
          <c:orientation val="minMax"/>
        </c:scaling>
        <c:axPos val="l"/>
        <c:numFmt formatCode="#,##0" sourceLinked="1"/>
        <c:tickLblPos val="nextTo"/>
        <c:crossAx val="196964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34"/>
          <c:y val="0.1978798586572438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8927340488135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merc'!$C$78:$C$89</c:f>
              <c:numCache>
                <c:formatCode>#,##0</c:formatCode>
                <c:ptCount val="12"/>
                <c:pt idx="0">
                  <c:v>33</c:v>
                </c:pt>
                <c:pt idx="1">
                  <c:v>98</c:v>
                </c:pt>
                <c:pt idx="2">
                  <c:v>56</c:v>
                </c:pt>
                <c:pt idx="3">
                  <c:v>28</c:v>
                </c:pt>
                <c:pt idx="4">
                  <c:v>23</c:v>
                </c:pt>
                <c:pt idx="5">
                  <c:v>15</c:v>
                </c:pt>
                <c:pt idx="6">
                  <c:v>7</c:v>
                </c:pt>
                <c:pt idx="7">
                  <c:v>10</c:v>
                </c:pt>
                <c:pt idx="8">
                  <c:v>11</c:v>
                </c:pt>
                <c:pt idx="9">
                  <c:v>49</c:v>
                </c:pt>
                <c:pt idx="10">
                  <c:v>46</c:v>
                </c:pt>
                <c:pt idx="11">
                  <c:v>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merc'!$D$78:$D$89</c:f>
              <c:numCache>
                <c:formatCode>#,##0</c:formatCode>
                <c:ptCount val="12"/>
                <c:pt idx="0">
                  <c:v>54</c:v>
                </c:pt>
                <c:pt idx="1">
                  <c:v>66</c:v>
                </c:pt>
                <c:pt idx="2">
                  <c:v>51</c:v>
                </c:pt>
                <c:pt idx="3">
                  <c:v>29</c:v>
                </c:pt>
                <c:pt idx="4">
                  <c:v>13</c:v>
                </c:pt>
                <c:pt idx="5">
                  <c:v>6</c:v>
                </c:pt>
                <c:pt idx="6">
                  <c:v>19</c:v>
                </c:pt>
                <c:pt idx="7">
                  <c:v>7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31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merc'!$E$78:$E$83,'graficas evol mensual merc'!$E$84)</c:f>
              <c:numCache>
                <c:formatCode>#,##0</c:formatCode>
                <c:ptCount val="7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</c:numCache>
            </c:numRef>
          </c:val>
        </c:ser>
        <c:marker val="1"/>
        <c:axId val="194558208"/>
        <c:axId val="197094016"/>
      </c:lineChart>
      <c:catAx>
        <c:axId val="194558208"/>
        <c:scaling>
          <c:orientation val="minMax"/>
        </c:scaling>
        <c:axPos val="b"/>
        <c:numFmt formatCode="General" sourceLinked="1"/>
        <c:tickLblPos val="nextTo"/>
        <c:crossAx val="197094016"/>
        <c:crosses val="autoZero"/>
        <c:auto val="1"/>
        <c:lblAlgn val="ctr"/>
        <c:lblOffset val="100"/>
      </c:catAx>
      <c:valAx>
        <c:axId val="197094016"/>
        <c:scaling>
          <c:orientation val="minMax"/>
        </c:scaling>
        <c:axPos val="l"/>
        <c:numFmt formatCode="#,##0" sourceLinked="1"/>
        <c:tickLblPos val="nextTo"/>
        <c:crossAx val="194558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7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merc'!$C$96:$C$107</c:f>
              <c:numCache>
                <c:formatCode>#,##0</c:formatCode>
                <c:ptCount val="12"/>
                <c:pt idx="0">
                  <c:v>33</c:v>
                </c:pt>
                <c:pt idx="1">
                  <c:v>52</c:v>
                </c:pt>
                <c:pt idx="2">
                  <c:v>51</c:v>
                </c:pt>
                <c:pt idx="3">
                  <c:v>40</c:v>
                </c:pt>
                <c:pt idx="4">
                  <c:v>26</c:v>
                </c:pt>
                <c:pt idx="5">
                  <c:v>33</c:v>
                </c:pt>
                <c:pt idx="6">
                  <c:v>19</c:v>
                </c:pt>
                <c:pt idx="7">
                  <c:v>12</c:v>
                </c:pt>
                <c:pt idx="8">
                  <c:v>39</c:v>
                </c:pt>
                <c:pt idx="9">
                  <c:v>48</c:v>
                </c:pt>
                <c:pt idx="10">
                  <c:v>88</c:v>
                </c:pt>
                <c:pt idx="11">
                  <c:v>79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merc'!$D$96:$D$107</c:f>
              <c:numCache>
                <c:formatCode>#,##0</c:formatCode>
                <c:ptCount val="12"/>
                <c:pt idx="0">
                  <c:v>115</c:v>
                </c:pt>
                <c:pt idx="1">
                  <c:v>50</c:v>
                </c:pt>
                <c:pt idx="2">
                  <c:v>72</c:v>
                </c:pt>
                <c:pt idx="3">
                  <c:v>40</c:v>
                </c:pt>
                <c:pt idx="4">
                  <c:v>22</c:v>
                </c:pt>
                <c:pt idx="5">
                  <c:v>5</c:v>
                </c:pt>
                <c:pt idx="6">
                  <c:v>14</c:v>
                </c:pt>
                <c:pt idx="7">
                  <c:v>25</c:v>
                </c:pt>
                <c:pt idx="8">
                  <c:v>15</c:v>
                </c:pt>
                <c:pt idx="9">
                  <c:v>8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merc'!$E$96:$E$101,'graficas evol mensual merc'!$E$102)</c:f>
              <c:numCache>
                <c:formatCode>#,##0</c:formatCode>
                <c:ptCount val="7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</c:numCache>
            </c:numRef>
          </c:val>
        </c:ser>
        <c:marker val="1"/>
        <c:axId val="197130496"/>
        <c:axId val="197133824"/>
      </c:lineChart>
      <c:catAx>
        <c:axId val="197130496"/>
        <c:scaling>
          <c:orientation val="minMax"/>
        </c:scaling>
        <c:axPos val="b"/>
        <c:numFmt formatCode="General" sourceLinked="1"/>
        <c:tickLblPos val="nextTo"/>
        <c:crossAx val="197133824"/>
        <c:crosses val="autoZero"/>
        <c:auto val="1"/>
        <c:lblAlgn val="ctr"/>
        <c:lblOffset val="100"/>
      </c:catAx>
      <c:valAx>
        <c:axId val="197133824"/>
        <c:scaling>
          <c:orientation val="minMax"/>
        </c:scaling>
        <c:axPos val="l"/>
        <c:numFmt formatCode="#,##0" sourceLinked="1"/>
        <c:tickLblPos val="nextTo"/>
        <c:crossAx val="197130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007"/>
          <c:y val="0.21672555948174324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17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merc'!$C$114:$C$125</c:f>
              <c:numCache>
                <c:formatCode>#,##0</c:formatCode>
                <c:ptCount val="12"/>
                <c:pt idx="0">
                  <c:v>48</c:v>
                </c:pt>
                <c:pt idx="1">
                  <c:v>61</c:v>
                </c:pt>
                <c:pt idx="2">
                  <c:v>80</c:v>
                </c:pt>
                <c:pt idx="3">
                  <c:v>10</c:v>
                </c:pt>
                <c:pt idx="4">
                  <c:v>21</c:v>
                </c:pt>
                <c:pt idx="5">
                  <c:v>13</c:v>
                </c:pt>
                <c:pt idx="6">
                  <c:v>20</c:v>
                </c:pt>
                <c:pt idx="7">
                  <c:v>23</c:v>
                </c:pt>
                <c:pt idx="8">
                  <c:v>23</c:v>
                </c:pt>
                <c:pt idx="9">
                  <c:v>51</c:v>
                </c:pt>
                <c:pt idx="10">
                  <c:v>67</c:v>
                </c:pt>
                <c:pt idx="11">
                  <c:v>77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merc'!$D$114:$D$125</c:f>
              <c:numCache>
                <c:formatCode>#,##0</c:formatCode>
                <c:ptCount val="12"/>
                <c:pt idx="0">
                  <c:v>46</c:v>
                </c:pt>
                <c:pt idx="1">
                  <c:v>54</c:v>
                </c:pt>
                <c:pt idx="2">
                  <c:v>40</c:v>
                </c:pt>
                <c:pt idx="3">
                  <c:v>18</c:v>
                </c:pt>
                <c:pt idx="4">
                  <c:v>21</c:v>
                </c:pt>
                <c:pt idx="5">
                  <c:v>11</c:v>
                </c:pt>
                <c:pt idx="6">
                  <c:v>46</c:v>
                </c:pt>
                <c:pt idx="7">
                  <c:v>13</c:v>
                </c:pt>
                <c:pt idx="8">
                  <c:v>11</c:v>
                </c:pt>
                <c:pt idx="9">
                  <c:v>22</c:v>
                </c:pt>
                <c:pt idx="10">
                  <c:v>45</c:v>
                </c:pt>
                <c:pt idx="11">
                  <c:v>56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merc'!$E$114:$E$119,'graficas evol mensual merc'!$E$120)</c:f>
              <c:numCache>
                <c:formatCode>#,##0</c:formatCode>
                <c:ptCount val="7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</c:numCache>
            </c:numRef>
          </c:val>
        </c:ser>
        <c:marker val="1"/>
        <c:axId val="197200512"/>
        <c:axId val="197223936"/>
      </c:lineChart>
      <c:catAx>
        <c:axId val="197200512"/>
        <c:scaling>
          <c:orientation val="minMax"/>
        </c:scaling>
        <c:axPos val="b"/>
        <c:numFmt formatCode="General" sourceLinked="1"/>
        <c:tickLblPos val="nextTo"/>
        <c:crossAx val="197223936"/>
        <c:crosses val="autoZero"/>
        <c:auto val="1"/>
        <c:lblAlgn val="ctr"/>
        <c:lblOffset val="100"/>
      </c:catAx>
      <c:valAx>
        <c:axId val="197223936"/>
        <c:scaling>
          <c:orientation val="minMax"/>
        </c:scaling>
        <c:axPos val="l"/>
        <c:numFmt formatCode="#,##0" sourceLinked="1"/>
        <c:tickLblPos val="nextTo"/>
        <c:crossAx val="197200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34"/>
          <c:y val="0.22143698468786846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45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merc'!$C$132:$C$143</c:f>
              <c:numCache>
                <c:formatCode>#,##0</c:formatCode>
                <c:ptCount val="12"/>
                <c:pt idx="0">
                  <c:v>73</c:v>
                </c:pt>
                <c:pt idx="1">
                  <c:v>117</c:v>
                </c:pt>
                <c:pt idx="2">
                  <c:v>102</c:v>
                </c:pt>
                <c:pt idx="3">
                  <c:v>34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11</c:v>
                </c:pt>
                <c:pt idx="8">
                  <c:v>15</c:v>
                </c:pt>
                <c:pt idx="9">
                  <c:v>57</c:v>
                </c:pt>
                <c:pt idx="10">
                  <c:v>108</c:v>
                </c:pt>
                <c:pt idx="11">
                  <c:v>35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merc'!$D$132:$D$143</c:f>
              <c:numCache>
                <c:formatCode>#,##0</c:formatCode>
                <c:ptCount val="12"/>
                <c:pt idx="0">
                  <c:v>35</c:v>
                </c:pt>
                <c:pt idx="1">
                  <c:v>68</c:v>
                </c:pt>
                <c:pt idx="2">
                  <c:v>65</c:v>
                </c:pt>
                <c:pt idx="3">
                  <c:v>23</c:v>
                </c:pt>
                <c:pt idx="4">
                  <c:v>15</c:v>
                </c:pt>
                <c:pt idx="5">
                  <c:v>13</c:v>
                </c:pt>
                <c:pt idx="6">
                  <c:v>18</c:v>
                </c:pt>
                <c:pt idx="7">
                  <c:v>2</c:v>
                </c:pt>
                <c:pt idx="8">
                  <c:v>22</c:v>
                </c:pt>
                <c:pt idx="9">
                  <c:v>41</c:v>
                </c:pt>
                <c:pt idx="10">
                  <c:v>42</c:v>
                </c:pt>
                <c:pt idx="11">
                  <c:v>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merc'!$E$132:$E$137,'graficas evol mensual merc'!$E$138)</c:f>
              <c:numCache>
                <c:formatCode>#,##0</c:formatCode>
                <c:ptCount val="7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</c:numCache>
            </c:numRef>
          </c:val>
        </c:ser>
        <c:marker val="1"/>
        <c:axId val="197344640"/>
        <c:axId val="197354624"/>
      </c:lineChart>
      <c:catAx>
        <c:axId val="197344640"/>
        <c:scaling>
          <c:orientation val="minMax"/>
        </c:scaling>
        <c:axPos val="b"/>
        <c:numFmt formatCode="General" sourceLinked="1"/>
        <c:tickLblPos val="nextTo"/>
        <c:crossAx val="197354624"/>
        <c:crosses val="autoZero"/>
        <c:auto val="1"/>
        <c:lblAlgn val="ctr"/>
        <c:lblOffset val="100"/>
      </c:catAx>
      <c:valAx>
        <c:axId val="197354624"/>
        <c:scaling>
          <c:orientation val="minMax"/>
        </c:scaling>
        <c:axPos val="l"/>
        <c:numFmt formatCode="#,##0" sourceLinked="1"/>
        <c:tickLblPos val="nextTo"/>
        <c:crossAx val="197344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43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55916641161905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merc'!$C$150:$C$161</c:f>
              <c:numCache>
                <c:formatCode>#,##0</c:formatCode>
                <c:ptCount val="12"/>
                <c:pt idx="0">
                  <c:v>166</c:v>
                </c:pt>
                <c:pt idx="1">
                  <c:v>280</c:v>
                </c:pt>
                <c:pt idx="2">
                  <c:v>260</c:v>
                </c:pt>
                <c:pt idx="3">
                  <c:v>243</c:v>
                </c:pt>
                <c:pt idx="4">
                  <c:v>211</c:v>
                </c:pt>
                <c:pt idx="5">
                  <c:v>169</c:v>
                </c:pt>
                <c:pt idx="6">
                  <c:v>232</c:v>
                </c:pt>
                <c:pt idx="7">
                  <c:v>399</c:v>
                </c:pt>
                <c:pt idx="8">
                  <c:v>193</c:v>
                </c:pt>
                <c:pt idx="9">
                  <c:v>215</c:v>
                </c:pt>
                <c:pt idx="10">
                  <c:v>270</c:v>
                </c:pt>
                <c:pt idx="11">
                  <c:v>293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merc'!$D$150:$D$161</c:f>
              <c:numCache>
                <c:formatCode>#,##0</c:formatCode>
                <c:ptCount val="12"/>
                <c:pt idx="0">
                  <c:v>178</c:v>
                </c:pt>
                <c:pt idx="1">
                  <c:v>228</c:v>
                </c:pt>
                <c:pt idx="2">
                  <c:v>302</c:v>
                </c:pt>
                <c:pt idx="3">
                  <c:v>313</c:v>
                </c:pt>
                <c:pt idx="4">
                  <c:v>177</c:v>
                </c:pt>
                <c:pt idx="5">
                  <c:v>146</c:v>
                </c:pt>
                <c:pt idx="6">
                  <c:v>193</c:v>
                </c:pt>
                <c:pt idx="7">
                  <c:v>236</c:v>
                </c:pt>
                <c:pt idx="8">
                  <c:v>166</c:v>
                </c:pt>
                <c:pt idx="9">
                  <c:v>169</c:v>
                </c:pt>
                <c:pt idx="10">
                  <c:v>194</c:v>
                </c:pt>
                <c:pt idx="11">
                  <c:v>227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merc'!$E$150:$E$155,'graficas evol mensual merc'!$E$156)</c:f>
              <c:numCache>
                <c:formatCode>#,##0</c:formatCode>
                <c:ptCount val="7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</c:numCache>
            </c:numRef>
          </c:val>
        </c:ser>
        <c:marker val="1"/>
        <c:axId val="197385600"/>
        <c:axId val="197428352"/>
      </c:lineChart>
      <c:catAx>
        <c:axId val="197385600"/>
        <c:scaling>
          <c:orientation val="minMax"/>
        </c:scaling>
        <c:axPos val="b"/>
        <c:numFmt formatCode="General" sourceLinked="1"/>
        <c:tickLblPos val="nextTo"/>
        <c:crossAx val="197428352"/>
        <c:crosses val="autoZero"/>
        <c:auto val="1"/>
        <c:lblAlgn val="ctr"/>
        <c:lblOffset val="100"/>
      </c:catAx>
      <c:valAx>
        <c:axId val="197428352"/>
        <c:scaling>
          <c:orientation val="minMax"/>
        </c:scaling>
        <c:axPos val="l"/>
        <c:numFmt formatCode="#,##0" sourceLinked="1"/>
        <c:tickLblPos val="nextTo"/>
        <c:crossAx val="197385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357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merc'!$C$168:$C$179</c:f>
              <c:numCache>
                <c:formatCode>#,##0</c:formatCode>
                <c:ptCount val="12"/>
                <c:pt idx="0">
                  <c:v>49</c:v>
                </c:pt>
                <c:pt idx="1">
                  <c:v>60</c:v>
                </c:pt>
                <c:pt idx="2">
                  <c:v>67</c:v>
                </c:pt>
                <c:pt idx="3">
                  <c:v>52</c:v>
                </c:pt>
                <c:pt idx="4">
                  <c:v>53</c:v>
                </c:pt>
                <c:pt idx="5">
                  <c:v>23</c:v>
                </c:pt>
                <c:pt idx="6">
                  <c:v>29</c:v>
                </c:pt>
                <c:pt idx="7">
                  <c:v>24</c:v>
                </c:pt>
                <c:pt idx="8">
                  <c:v>38</c:v>
                </c:pt>
                <c:pt idx="9">
                  <c:v>48</c:v>
                </c:pt>
                <c:pt idx="10">
                  <c:v>60</c:v>
                </c:pt>
                <c:pt idx="11">
                  <c:v>108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merc'!$D$168:$D$179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50</c:v>
                </c:pt>
                <c:pt idx="3">
                  <c:v>37</c:v>
                </c:pt>
                <c:pt idx="4">
                  <c:v>50</c:v>
                </c:pt>
                <c:pt idx="5">
                  <c:v>30</c:v>
                </c:pt>
                <c:pt idx="6">
                  <c:v>55</c:v>
                </c:pt>
                <c:pt idx="7">
                  <c:v>39</c:v>
                </c:pt>
                <c:pt idx="8">
                  <c:v>36</c:v>
                </c:pt>
                <c:pt idx="9">
                  <c:v>54</c:v>
                </c:pt>
                <c:pt idx="10">
                  <c:v>50</c:v>
                </c:pt>
                <c:pt idx="11">
                  <c:v>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merc'!$E$168:$E$173,'graficas evol mensual merc'!$E$174)</c:f>
              <c:numCache>
                <c:formatCode>#,##0</c:formatCode>
                <c:ptCount val="7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</c:numCache>
            </c:numRef>
          </c:val>
        </c:ser>
        <c:marker val="1"/>
        <c:axId val="197434368"/>
        <c:axId val="197469312"/>
      </c:lineChart>
      <c:catAx>
        <c:axId val="197434368"/>
        <c:scaling>
          <c:orientation val="minMax"/>
        </c:scaling>
        <c:axPos val="b"/>
        <c:numFmt formatCode="General" sourceLinked="1"/>
        <c:tickLblPos val="nextTo"/>
        <c:crossAx val="197469312"/>
        <c:crosses val="autoZero"/>
        <c:auto val="1"/>
        <c:lblAlgn val="ctr"/>
        <c:lblOffset val="100"/>
      </c:catAx>
      <c:valAx>
        <c:axId val="197469312"/>
        <c:scaling>
          <c:orientation val="minMax"/>
        </c:scaling>
        <c:axPos val="l"/>
        <c:numFmt formatCode="#,##0" sourceLinked="1"/>
        <c:tickLblPos val="nextTo"/>
        <c:crossAx val="197434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55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merc'!$C$186:$C$197</c:f>
              <c:numCache>
                <c:formatCode>#,##0</c:formatCode>
                <c:ptCount val="12"/>
                <c:pt idx="0">
                  <c:v>48</c:v>
                </c:pt>
                <c:pt idx="1">
                  <c:v>46</c:v>
                </c:pt>
                <c:pt idx="2">
                  <c:v>87</c:v>
                </c:pt>
                <c:pt idx="3">
                  <c:v>50</c:v>
                </c:pt>
                <c:pt idx="4">
                  <c:v>39</c:v>
                </c:pt>
                <c:pt idx="5">
                  <c:v>37</c:v>
                </c:pt>
                <c:pt idx="6">
                  <c:v>46</c:v>
                </c:pt>
                <c:pt idx="7">
                  <c:v>32</c:v>
                </c:pt>
                <c:pt idx="8">
                  <c:v>23</c:v>
                </c:pt>
                <c:pt idx="9">
                  <c:v>35</c:v>
                </c:pt>
                <c:pt idx="10">
                  <c:v>42</c:v>
                </c:pt>
                <c:pt idx="11">
                  <c:v>52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merc'!$D$186:$D$197</c:f>
              <c:numCache>
                <c:formatCode>#,##0</c:formatCode>
                <c:ptCount val="12"/>
                <c:pt idx="0">
                  <c:v>71</c:v>
                </c:pt>
                <c:pt idx="1">
                  <c:v>37</c:v>
                </c:pt>
                <c:pt idx="2">
                  <c:v>63</c:v>
                </c:pt>
                <c:pt idx="3">
                  <c:v>62</c:v>
                </c:pt>
                <c:pt idx="4">
                  <c:v>49</c:v>
                </c:pt>
                <c:pt idx="5">
                  <c:v>22</c:v>
                </c:pt>
                <c:pt idx="6">
                  <c:v>22</c:v>
                </c:pt>
                <c:pt idx="7">
                  <c:v>41</c:v>
                </c:pt>
                <c:pt idx="8">
                  <c:v>31</c:v>
                </c:pt>
                <c:pt idx="9">
                  <c:v>24</c:v>
                </c:pt>
                <c:pt idx="10">
                  <c:v>56</c:v>
                </c:pt>
                <c:pt idx="11">
                  <c:v>96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merc'!$E$186:$E$191,'graficas evol mensual merc'!$E$192)</c:f>
              <c:numCache>
                <c:formatCode>#,##0</c:formatCode>
                <c:ptCount val="7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</c:numCache>
            </c:numRef>
          </c:val>
        </c:ser>
        <c:marker val="1"/>
        <c:axId val="197537152"/>
        <c:axId val="197547136"/>
      </c:lineChart>
      <c:catAx>
        <c:axId val="197537152"/>
        <c:scaling>
          <c:orientation val="minMax"/>
        </c:scaling>
        <c:axPos val="b"/>
        <c:numFmt formatCode="General" sourceLinked="1"/>
        <c:tickLblPos val="nextTo"/>
        <c:crossAx val="197547136"/>
        <c:crosses val="autoZero"/>
        <c:auto val="1"/>
        <c:lblAlgn val="ctr"/>
        <c:lblOffset val="100"/>
      </c:catAx>
      <c:valAx>
        <c:axId val="197547136"/>
        <c:scaling>
          <c:orientation val="minMax"/>
        </c:scaling>
        <c:axPos val="l"/>
        <c:numFmt formatCode="#,##0" sourceLinked="1"/>
        <c:tickLblPos val="nextTo"/>
        <c:crossAx val="197537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664"/>
          <c:y val="0.22143698468786846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merc'!$C$204:$C$215</c:f>
              <c:numCache>
                <c:formatCode>#,##0</c:formatCode>
                <c:ptCount val="12"/>
                <c:pt idx="0">
                  <c:v>304</c:v>
                </c:pt>
                <c:pt idx="1">
                  <c:v>295</c:v>
                </c:pt>
                <c:pt idx="2">
                  <c:v>286</c:v>
                </c:pt>
                <c:pt idx="3">
                  <c:v>223</c:v>
                </c:pt>
                <c:pt idx="4">
                  <c:v>201</c:v>
                </c:pt>
                <c:pt idx="5">
                  <c:v>163</c:v>
                </c:pt>
                <c:pt idx="6">
                  <c:v>230</c:v>
                </c:pt>
                <c:pt idx="7">
                  <c:v>362</c:v>
                </c:pt>
                <c:pt idx="8">
                  <c:v>201</c:v>
                </c:pt>
                <c:pt idx="9">
                  <c:v>301</c:v>
                </c:pt>
                <c:pt idx="10">
                  <c:v>297</c:v>
                </c:pt>
                <c:pt idx="11">
                  <c:v>263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merc'!$D$204:$D$215</c:f>
              <c:numCache>
                <c:formatCode>#,##0</c:formatCode>
                <c:ptCount val="12"/>
                <c:pt idx="0">
                  <c:v>294</c:v>
                </c:pt>
                <c:pt idx="1">
                  <c:v>223</c:v>
                </c:pt>
                <c:pt idx="2">
                  <c:v>309</c:v>
                </c:pt>
                <c:pt idx="3">
                  <c:v>164</c:v>
                </c:pt>
                <c:pt idx="4">
                  <c:v>134</c:v>
                </c:pt>
                <c:pt idx="5">
                  <c:v>197</c:v>
                </c:pt>
                <c:pt idx="6">
                  <c:v>218</c:v>
                </c:pt>
                <c:pt idx="7">
                  <c:v>279</c:v>
                </c:pt>
                <c:pt idx="8">
                  <c:v>195</c:v>
                </c:pt>
                <c:pt idx="9">
                  <c:v>176</c:v>
                </c:pt>
                <c:pt idx="10">
                  <c:v>205</c:v>
                </c:pt>
                <c:pt idx="11">
                  <c:v>272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merc'!$E$204:$E$209,'graficas evol mensual merc'!$E$210)</c:f>
              <c:numCache>
                <c:formatCode>#,##0</c:formatCode>
                <c:ptCount val="7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</c:numCache>
            </c:numRef>
          </c:val>
        </c:ser>
        <c:marker val="1"/>
        <c:axId val="197565824"/>
        <c:axId val="197629056"/>
      </c:lineChart>
      <c:catAx>
        <c:axId val="197565824"/>
        <c:scaling>
          <c:orientation val="minMax"/>
        </c:scaling>
        <c:axPos val="b"/>
        <c:numFmt formatCode="General" sourceLinked="1"/>
        <c:tickLblPos val="nextTo"/>
        <c:crossAx val="197629056"/>
        <c:crosses val="autoZero"/>
        <c:auto val="1"/>
        <c:lblAlgn val="ctr"/>
        <c:lblOffset val="100"/>
      </c:catAx>
      <c:valAx>
        <c:axId val="197629056"/>
        <c:scaling>
          <c:orientation val="minMax"/>
        </c:scaling>
        <c:axPos val="l"/>
        <c:numFmt formatCode="#,##0" sourceLinked="1"/>
        <c:tickLblPos val="nextTo"/>
        <c:crossAx val="197565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357"/>
          <c:y val="0.19316843345111923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261038158062337"/>
          <c:y val="0.14084507042253541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7928"/>
          <c:w val="0.91263650546021846"/>
          <c:h val="0.3088418173080492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tipología'!$F$4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tipología'!$F$6:$F$8,'Alojados zona tipología'!$F$10:$F$12)</c:f>
              <c:numCache>
                <c:formatCode>#,##0_)</c:formatCode>
                <c:ptCount val="6"/>
                <c:pt idx="0">
                  <c:v>2766193</c:v>
                </c:pt>
                <c:pt idx="1">
                  <c:v>1677828</c:v>
                </c:pt>
                <c:pt idx="2">
                  <c:v>1088365</c:v>
                </c:pt>
                <c:pt idx="3">
                  <c:v>92816</c:v>
                </c:pt>
                <c:pt idx="4">
                  <c:v>92816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93839104"/>
        <c:axId val="193841024"/>
      </c:barChart>
      <c:catAx>
        <c:axId val="1938391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841024"/>
        <c:crosses val="autoZero"/>
        <c:auto val="1"/>
        <c:lblAlgn val="ctr"/>
        <c:lblOffset val="100"/>
        <c:tickLblSkip val="1"/>
        <c:tickMarkSkip val="1"/>
      </c:catAx>
      <c:valAx>
        <c:axId val="193841024"/>
        <c:scaling>
          <c:orientation val="minMax"/>
        </c:scaling>
        <c:delete val="1"/>
        <c:axPos val="l"/>
        <c:numFmt formatCode="#,##0_)" sourceLinked="1"/>
        <c:tickLblPos val="none"/>
        <c:crossAx val="193839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7"/>
          <c:y val="0.25529061517487045"/>
          <c:w val="0.84763751506150764"/>
          <c:h val="0.47256930339537995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merc'!$C$222:$C$233</c:f>
              <c:numCache>
                <c:formatCode>#,##0</c:formatCode>
                <c:ptCount val="12"/>
                <c:pt idx="0">
                  <c:v>49</c:v>
                </c:pt>
                <c:pt idx="1">
                  <c:v>36</c:v>
                </c:pt>
                <c:pt idx="2">
                  <c:v>28</c:v>
                </c:pt>
                <c:pt idx="3">
                  <c:v>47</c:v>
                </c:pt>
                <c:pt idx="4">
                  <c:v>40</c:v>
                </c:pt>
                <c:pt idx="5">
                  <c:v>16</c:v>
                </c:pt>
                <c:pt idx="6">
                  <c:v>41</c:v>
                </c:pt>
                <c:pt idx="7">
                  <c:v>386</c:v>
                </c:pt>
                <c:pt idx="8">
                  <c:v>32</c:v>
                </c:pt>
                <c:pt idx="9">
                  <c:v>67</c:v>
                </c:pt>
                <c:pt idx="10">
                  <c:v>104</c:v>
                </c:pt>
                <c:pt idx="11">
                  <c:v>97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merc'!$D$222:$D$233</c:f>
              <c:numCache>
                <c:formatCode>#,##0</c:formatCode>
                <c:ptCount val="12"/>
                <c:pt idx="0">
                  <c:v>67</c:v>
                </c:pt>
                <c:pt idx="1">
                  <c:v>22</c:v>
                </c:pt>
                <c:pt idx="2">
                  <c:v>36</c:v>
                </c:pt>
                <c:pt idx="3">
                  <c:v>48</c:v>
                </c:pt>
                <c:pt idx="4">
                  <c:v>38</c:v>
                </c:pt>
                <c:pt idx="5">
                  <c:v>25</c:v>
                </c:pt>
                <c:pt idx="6">
                  <c:v>20</c:v>
                </c:pt>
                <c:pt idx="7">
                  <c:v>29</c:v>
                </c:pt>
                <c:pt idx="8">
                  <c:v>22</c:v>
                </c:pt>
                <c:pt idx="9">
                  <c:v>43</c:v>
                </c:pt>
                <c:pt idx="10">
                  <c:v>34</c:v>
                </c:pt>
                <c:pt idx="11">
                  <c:v>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merc'!$E$222:$E$227,'graficas evol mensual merc'!$E$228)</c:f>
              <c:numCache>
                <c:formatCode>#,##0</c:formatCode>
                <c:ptCount val="7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</c:numCache>
            </c:numRef>
          </c:val>
        </c:ser>
        <c:marker val="1"/>
        <c:axId val="197639552"/>
        <c:axId val="197674112"/>
      </c:lineChart>
      <c:catAx>
        <c:axId val="197639552"/>
        <c:scaling>
          <c:orientation val="minMax"/>
        </c:scaling>
        <c:axPos val="b"/>
        <c:numFmt formatCode="General" sourceLinked="1"/>
        <c:tickLblPos val="nextTo"/>
        <c:crossAx val="197674112"/>
        <c:crosses val="autoZero"/>
        <c:auto val="1"/>
        <c:lblAlgn val="ctr"/>
        <c:lblOffset val="100"/>
      </c:catAx>
      <c:valAx>
        <c:axId val="197674112"/>
        <c:scaling>
          <c:orientation val="minMax"/>
        </c:scaling>
        <c:axPos val="l"/>
        <c:numFmt formatCode="#,##0" sourceLinked="1"/>
        <c:tickLblPos val="nextTo"/>
        <c:crossAx val="197639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34"/>
          <c:y val="0.22614840989399324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000204038099478"/>
          <c:w val="0.84763751506150764"/>
          <c:h val="0.46785787818925562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merc'!$C$240:$C$251</c:f>
              <c:numCache>
                <c:formatCode>#,##0</c:formatCode>
                <c:ptCount val="12"/>
                <c:pt idx="0">
                  <c:v>69</c:v>
                </c:pt>
                <c:pt idx="1">
                  <c:v>40</c:v>
                </c:pt>
                <c:pt idx="2">
                  <c:v>115</c:v>
                </c:pt>
                <c:pt idx="3">
                  <c:v>59</c:v>
                </c:pt>
                <c:pt idx="4">
                  <c:v>100</c:v>
                </c:pt>
                <c:pt idx="5">
                  <c:v>46</c:v>
                </c:pt>
                <c:pt idx="6">
                  <c:v>81</c:v>
                </c:pt>
                <c:pt idx="7">
                  <c:v>64</c:v>
                </c:pt>
                <c:pt idx="8">
                  <c:v>67</c:v>
                </c:pt>
                <c:pt idx="9">
                  <c:v>128</c:v>
                </c:pt>
                <c:pt idx="10">
                  <c:v>89</c:v>
                </c:pt>
                <c:pt idx="11">
                  <c:v>96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merc'!$D$240:$D$251</c:f>
              <c:numCache>
                <c:formatCode>#,##0</c:formatCode>
                <c:ptCount val="12"/>
                <c:pt idx="0">
                  <c:v>75</c:v>
                </c:pt>
                <c:pt idx="1">
                  <c:v>69</c:v>
                </c:pt>
                <c:pt idx="2">
                  <c:v>110</c:v>
                </c:pt>
                <c:pt idx="3">
                  <c:v>68</c:v>
                </c:pt>
                <c:pt idx="4">
                  <c:v>108</c:v>
                </c:pt>
                <c:pt idx="5">
                  <c:v>71</c:v>
                </c:pt>
                <c:pt idx="6">
                  <c:v>79</c:v>
                </c:pt>
                <c:pt idx="7">
                  <c:v>37</c:v>
                </c:pt>
                <c:pt idx="8">
                  <c:v>82</c:v>
                </c:pt>
                <c:pt idx="9">
                  <c:v>70</c:v>
                </c:pt>
                <c:pt idx="10">
                  <c:v>103</c:v>
                </c:pt>
                <c:pt idx="11">
                  <c:v>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merc'!$E$240:$E$245,'graficas evol mensual merc'!$E$246)</c:f>
              <c:numCache>
                <c:formatCode>#,##0</c:formatCode>
                <c:ptCount val="7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</c:numCache>
            </c:numRef>
          </c:val>
        </c:ser>
        <c:marker val="1"/>
        <c:axId val="197680128"/>
        <c:axId val="197719168"/>
      </c:lineChart>
      <c:catAx>
        <c:axId val="197680128"/>
        <c:scaling>
          <c:orientation val="minMax"/>
        </c:scaling>
        <c:axPos val="b"/>
        <c:numFmt formatCode="General" sourceLinked="1"/>
        <c:tickLblPos val="nextTo"/>
        <c:crossAx val="197719168"/>
        <c:crosses val="autoZero"/>
        <c:auto val="1"/>
        <c:lblAlgn val="ctr"/>
        <c:lblOffset val="100"/>
      </c:catAx>
      <c:valAx>
        <c:axId val="197719168"/>
        <c:scaling>
          <c:orientation val="minMax"/>
        </c:scaling>
        <c:axPos val="l"/>
        <c:numFmt formatCode="#,##0" sourceLinked="1"/>
        <c:tickLblPos val="nextTo"/>
        <c:crossAx val="197680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43"/>
          <c:y val="0.22614840989399324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merc'!$C$258:$C$269</c:f>
              <c:numCache>
                <c:formatCode>#,##0</c:formatCode>
                <c:ptCount val="12"/>
                <c:pt idx="0">
                  <c:v>30</c:v>
                </c:pt>
                <c:pt idx="1">
                  <c:v>39</c:v>
                </c:pt>
                <c:pt idx="2">
                  <c:v>54</c:v>
                </c:pt>
                <c:pt idx="3">
                  <c:v>24</c:v>
                </c:pt>
                <c:pt idx="4">
                  <c:v>16</c:v>
                </c:pt>
                <c:pt idx="5">
                  <c:v>39</c:v>
                </c:pt>
                <c:pt idx="6">
                  <c:v>22</c:v>
                </c:pt>
                <c:pt idx="7">
                  <c:v>23</c:v>
                </c:pt>
                <c:pt idx="8">
                  <c:v>26</c:v>
                </c:pt>
                <c:pt idx="9">
                  <c:v>40</c:v>
                </c:pt>
                <c:pt idx="10">
                  <c:v>30</c:v>
                </c:pt>
                <c:pt idx="11">
                  <c:v>67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merc'!$D$258:$D$269</c:f>
              <c:numCache>
                <c:formatCode>#,##0</c:formatCode>
                <c:ptCount val="12"/>
                <c:pt idx="0">
                  <c:v>49</c:v>
                </c:pt>
                <c:pt idx="1">
                  <c:v>45</c:v>
                </c:pt>
                <c:pt idx="2">
                  <c:v>52</c:v>
                </c:pt>
                <c:pt idx="3">
                  <c:v>32</c:v>
                </c:pt>
                <c:pt idx="4">
                  <c:v>22</c:v>
                </c:pt>
                <c:pt idx="5">
                  <c:v>8</c:v>
                </c:pt>
                <c:pt idx="6">
                  <c:v>29</c:v>
                </c:pt>
                <c:pt idx="7">
                  <c:v>17</c:v>
                </c:pt>
                <c:pt idx="8">
                  <c:v>30</c:v>
                </c:pt>
                <c:pt idx="9">
                  <c:v>24</c:v>
                </c:pt>
                <c:pt idx="10">
                  <c:v>26</c:v>
                </c:pt>
                <c:pt idx="11">
                  <c:v>44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merc'!$E$258:$E$263,'graficas evol mensual merc'!$E$264)</c:f>
              <c:numCache>
                <c:formatCode>#,##0</c:formatCode>
                <c:ptCount val="7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</c:numCache>
            </c:numRef>
          </c:val>
        </c:ser>
        <c:marker val="1"/>
        <c:axId val="197770624"/>
        <c:axId val="197792896"/>
      </c:lineChart>
      <c:catAx>
        <c:axId val="197770624"/>
        <c:scaling>
          <c:orientation val="minMax"/>
        </c:scaling>
        <c:axPos val="b"/>
        <c:numFmt formatCode="General" sourceLinked="1"/>
        <c:tickLblPos val="nextTo"/>
        <c:crossAx val="197792896"/>
        <c:crosses val="autoZero"/>
        <c:auto val="1"/>
        <c:lblAlgn val="ctr"/>
        <c:lblOffset val="100"/>
      </c:catAx>
      <c:valAx>
        <c:axId val="197792896"/>
        <c:scaling>
          <c:orientation val="minMax"/>
        </c:scaling>
        <c:axPos val="l"/>
        <c:numFmt formatCode="#,##0" sourceLinked="1"/>
        <c:tickLblPos val="nextTo"/>
        <c:crossAx val="197770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663"/>
          <c:y val="0.21672555948174324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merc'!$C$276:$C$287</c:f>
              <c:numCache>
                <c:formatCode>#,##0</c:formatCode>
                <c:ptCount val="12"/>
                <c:pt idx="0">
                  <c:v>60</c:v>
                </c:pt>
                <c:pt idx="1">
                  <c:v>57</c:v>
                </c:pt>
                <c:pt idx="2">
                  <c:v>53</c:v>
                </c:pt>
                <c:pt idx="3">
                  <c:v>57</c:v>
                </c:pt>
                <c:pt idx="4">
                  <c:v>44</c:v>
                </c:pt>
                <c:pt idx="5">
                  <c:v>28</c:v>
                </c:pt>
                <c:pt idx="6">
                  <c:v>23</c:v>
                </c:pt>
                <c:pt idx="7">
                  <c:v>7</c:v>
                </c:pt>
                <c:pt idx="8">
                  <c:v>61</c:v>
                </c:pt>
                <c:pt idx="9">
                  <c:v>107</c:v>
                </c:pt>
                <c:pt idx="10">
                  <c:v>65</c:v>
                </c:pt>
                <c:pt idx="11">
                  <c:v>59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merc'!$D$276:$D$287</c:f>
              <c:numCache>
                <c:formatCode>#,##0</c:formatCode>
                <c:ptCount val="12"/>
                <c:pt idx="0">
                  <c:v>61</c:v>
                </c:pt>
                <c:pt idx="1">
                  <c:v>64</c:v>
                </c:pt>
                <c:pt idx="2">
                  <c:v>49</c:v>
                </c:pt>
                <c:pt idx="3">
                  <c:v>59</c:v>
                </c:pt>
                <c:pt idx="4">
                  <c:v>40</c:v>
                </c:pt>
                <c:pt idx="5">
                  <c:v>18</c:v>
                </c:pt>
                <c:pt idx="6">
                  <c:v>32</c:v>
                </c:pt>
                <c:pt idx="7">
                  <c:v>12</c:v>
                </c:pt>
                <c:pt idx="8">
                  <c:v>30</c:v>
                </c:pt>
                <c:pt idx="9">
                  <c:v>54</c:v>
                </c:pt>
                <c:pt idx="10">
                  <c:v>47</c:v>
                </c:pt>
                <c:pt idx="11">
                  <c:v>91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merc'!$E$276:$E$281,'graficas evol mensual merc'!$E$282)</c:f>
              <c:numCache>
                <c:formatCode>#,##0</c:formatCode>
                <c:ptCount val="7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</c:numCache>
            </c:numRef>
          </c:val>
        </c:ser>
        <c:marker val="1"/>
        <c:axId val="197819776"/>
        <c:axId val="197932160"/>
      </c:lineChart>
      <c:catAx>
        <c:axId val="197819776"/>
        <c:scaling>
          <c:orientation val="minMax"/>
        </c:scaling>
        <c:axPos val="b"/>
        <c:numFmt formatCode="General" sourceLinked="1"/>
        <c:tickLblPos val="nextTo"/>
        <c:crossAx val="197932160"/>
        <c:crosses val="autoZero"/>
        <c:auto val="1"/>
        <c:lblAlgn val="ctr"/>
        <c:lblOffset val="100"/>
      </c:catAx>
      <c:valAx>
        <c:axId val="197932160"/>
        <c:scaling>
          <c:orientation val="minMax"/>
        </c:scaling>
        <c:axPos val="l"/>
        <c:numFmt formatCode="#,##0" sourceLinked="1"/>
        <c:tickLblPos val="nextTo"/>
        <c:crossAx val="197819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2143698468786846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0"/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7790444997794279"/>
          <c:y val="5.6440326207840327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90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45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495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84"/>
              <c:y val="1.29294166337724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69"/>
              <c:y val="2.585883326754495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6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27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3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55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54"/>
              <c:y val="-1.642035912489078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1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687"/>
              <c:y val="-1.642035912489078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332E-2"/>
          <c:w val="0.79230350479693945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'[1]tabla dinámica nacionalidades'!$K$55</c:f>
              <c:strCache>
                <c:ptCount val="1"/>
                <c:pt idx="0">
                  <c:v>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'[1]tabla dinámica nacionalidades'!$H$57:$H$76</c:f>
              <c:strCache>
                <c:ptCount val="20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Holanda</c:v>
                </c:pt>
                <c:pt idx="7">
                  <c:v>Bélgica</c:v>
                </c:pt>
                <c:pt idx="8">
                  <c:v>Suiza</c:v>
                </c:pt>
                <c:pt idx="9">
                  <c:v>Finlandia</c:v>
                </c:pt>
                <c:pt idx="10">
                  <c:v>Rusia</c:v>
                </c:pt>
                <c:pt idx="11">
                  <c:v>Noruega</c:v>
                </c:pt>
                <c:pt idx="12">
                  <c:v>Irlanda</c:v>
                </c:pt>
                <c:pt idx="13">
                  <c:v>Suecia</c:v>
                </c:pt>
                <c:pt idx="14">
                  <c:v>Austria</c:v>
                </c:pt>
                <c:pt idx="15">
                  <c:v>Dinamarca</c:v>
                </c:pt>
                <c:pt idx="16">
                  <c:v>Resto de Europa</c:v>
                </c:pt>
                <c:pt idx="17">
                  <c:v>USA</c:v>
                </c:pt>
                <c:pt idx="18">
                  <c:v>Resto de América</c:v>
                </c:pt>
                <c:pt idx="19">
                  <c:v>Resto del Mundo</c:v>
                </c:pt>
              </c:strCache>
            </c:strRef>
          </c:cat>
          <c:val>
            <c:numRef>
              <c:f>'[1]tabla dinámica nacionalidades'!$K$57:$K$76</c:f>
              <c:numCache>
                <c:formatCode>#,##0</c:formatCode>
                <c:ptCount val="20"/>
                <c:pt idx="0">
                  <c:v>126919</c:v>
                </c:pt>
                <c:pt idx="1">
                  <c:v>3620</c:v>
                </c:pt>
                <c:pt idx="2">
                  <c:v>2710</c:v>
                </c:pt>
                <c:pt idx="3">
                  <c:v>2666</c:v>
                </c:pt>
                <c:pt idx="4">
                  <c:v>2529</c:v>
                </c:pt>
                <c:pt idx="5">
                  <c:v>947</c:v>
                </c:pt>
                <c:pt idx="6">
                  <c:v>674</c:v>
                </c:pt>
                <c:pt idx="7">
                  <c:v>574</c:v>
                </c:pt>
                <c:pt idx="8">
                  <c:v>557</c:v>
                </c:pt>
                <c:pt idx="9">
                  <c:v>466</c:v>
                </c:pt>
                <c:pt idx="10">
                  <c:v>405</c:v>
                </c:pt>
                <c:pt idx="11">
                  <c:v>383</c:v>
                </c:pt>
                <c:pt idx="12">
                  <c:v>378</c:v>
                </c:pt>
                <c:pt idx="13">
                  <c:v>365</c:v>
                </c:pt>
                <c:pt idx="14">
                  <c:v>362</c:v>
                </c:pt>
                <c:pt idx="15">
                  <c:v>323</c:v>
                </c:pt>
                <c:pt idx="16">
                  <c:v>1701</c:v>
                </c:pt>
                <c:pt idx="17">
                  <c:v>931</c:v>
                </c:pt>
                <c:pt idx="18">
                  <c:v>4688</c:v>
                </c:pt>
                <c:pt idx="19">
                  <c:v>3175</c:v>
                </c:pt>
              </c:numCache>
            </c:numRef>
          </c:val>
        </c:ser>
        <c:gapWidth val="26"/>
        <c:overlap val="-35"/>
        <c:axId val="196418944"/>
        <c:axId val="198018176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2.8726781053194767E-3"/>
                  <c:y val="2.9896539682386486E-3"/>
                </c:manualLayout>
              </c:layout>
              <c:showVal val="1"/>
            </c:dLbl>
            <c:dLbl>
              <c:idx val="3"/>
              <c:layout>
                <c:manualLayout>
                  <c:x val="6.3574904376622384E-3"/>
                  <c:y val="2.9896539682386486E-3"/>
                </c:manualLayout>
              </c:layout>
              <c:showVal val="1"/>
            </c:dLbl>
            <c:dLbl>
              <c:idx val="4"/>
              <c:layout>
                <c:manualLayout>
                  <c:x val="1.8996343405792225E-3"/>
                  <c:y val="1.176982783448949E-7"/>
                </c:manualLayout>
              </c:layout>
              <c:showVal val="1"/>
            </c:dLbl>
            <c:dLbl>
              <c:idx val="5"/>
              <c:layout>
                <c:manualLayout>
                  <c:x val="-7.4450734980441691E-2"/>
                  <c:y val="2.3539655668978843E-7"/>
                </c:manualLayout>
              </c:layout>
              <c:showVal val="1"/>
            </c:dLbl>
            <c:dLbl>
              <c:idx val="6"/>
              <c:layout>
                <c:manualLayout>
                  <c:x val="4.9932105594238815E-2"/>
                  <c:y val="1.1769827834489439E-7"/>
                </c:manualLayout>
              </c:layout>
              <c:showVal val="1"/>
            </c:dLbl>
            <c:dLbl>
              <c:idx val="7"/>
              <c:layout>
                <c:manualLayout>
                  <c:x val="5.1549134870537867E-2"/>
                  <c:y val="3.5309483503468241E-7"/>
                </c:manualLayout>
              </c:layout>
              <c:showVal val="1"/>
            </c:dLbl>
            <c:dLbl>
              <c:idx val="9"/>
              <c:layout>
                <c:manualLayout>
                  <c:x val="6.5457726875049931E-3"/>
                  <c:y val="-1.4945327384234641E-3"/>
                </c:manualLayout>
              </c:layout>
              <c:showVal val="1"/>
            </c:dLbl>
            <c:dLbl>
              <c:idx val="11"/>
              <c:layout>
                <c:manualLayout>
                  <c:x val="1.0361308142267408E-3"/>
                  <c:y val="1.4948858332585015E-3"/>
                </c:manualLayout>
              </c:layout>
              <c:showVal val="1"/>
            </c:dLbl>
            <c:dLbl>
              <c:idx val="12"/>
              <c:layout>
                <c:manualLayout>
                  <c:x val="9.7337006427915512E-4"/>
                  <c:y val="2.3539655668978888E-7"/>
                </c:manualLayout>
              </c:layout>
              <c:showVal val="1"/>
            </c:dLbl>
            <c:dLbl>
              <c:idx val="13"/>
              <c:layout>
                <c:manualLayout>
                  <c:x val="3.2023889575786496E-3"/>
                  <c:y val="1.1769827834489439E-7"/>
                </c:manualLayout>
              </c:layout>
              <c:showVal val="1"/>
            </c:dLbl>
            <c:dLbl>
              <c:idx val="14"/>
              <c:layout>
                <c:manualLayout>
                  <c:x val="4.6965430974020832E-2"/>
                  <c:y val="2.3539655668978843E-7"/>
                </c:manualLayout>
              </c:layout>
              <c:showVal val="1"/>
            </c:dLbl>
            <c:dLbl>
              <c:idx val="15"/>
              <c:layout>
                <c:manualLayout>
                  <c:x val="5.6983048059163549E-3"/>
                  <c:y val="1.176982783448949E-7"/>
                </c:manualLayout>
              </c:layout>
              <c:showVal val="1"/>
            </c:dLbl>
            <c:dLbl>
              <c:idx val="16"/>
              <c:layout>
                <c:manualLayout>
                  <c:x val="1.8994847866239E-3"/>
                  <c:y val="1.176982783448949E-7"/>
                </c:manualLayout>
              </c:layout>
              <c:showVal val="1"/>
            </c:dLbl>
            <c:dLbl>
              <c:idx val="17"/>
              <c:layout>
                <c:manualLayout>
                  <c:x val="6.1220653203473505E-3"/>
                  <c:y val="3.5309483492506782E-7"/>
                </c:manualLayout>
              </c:layout>
              <c:showVal val="1"/>
            </c:dLbl>
            <c:dLbl>
              <c:idx val="18"/>
              <c:layout>
                <c:manualLayout>
                  <c:x val="2.3233046282437842E-3"/>
                  <c:y val="1.1769827823527926E-7"/>
                </c:manualLayout>
              </c:layout>
              <c:showVal val="1"/>
            </c:dLbl>
            <c:dLbl>
              <c:idx val="19"/>
              <c:layout>
                <c:manualLayout>
                  <c:x val="6.1849706803178894E-3"/>
                  <c:y val="-1.4945327384234641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Ref>
              <c:f>'[1]tabla dinámica nacionalidades'!$H$57:$H$76</c:f>
              <c:strCache>
                <c:ptCount val="20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Holanda</c:v>
                </c:pt>
                <c:pt idx="7">
                  <c:v>Bélgica</c:v>
                </c:pt>
                <c:pt idx="8">
                  <c:v>Suiza</c:v>
                </c:pt>
                <c:pt idx="9">
                  <c:v>Finlandia</c:v>
                </c:pt>
                <c:pt idx="10">
                  <c:v>Rusia</c:v>
                </c:pt>
                <c:pt idx="11">
                  <c:v>Noruega</c:v>
                </c:pt>
                <c:pt idx="12">
                  <c:v>Irlanda</c:v>
                </c:pt>
                <c:pt idx="13">
                  <c:v>Suecia</c:v>
                </c:pt>
                <c:pt idx="14">
                  <c:v>Austria</c:v>
                </c:pt>
                <c:pt idx="15">
                  <c:v>Dinamarca</c:v>
                </c:pt>
                <c:pt idx="16">
                  <c:v>Resto de Europa</c:v>
                </c:pt>
                <c:pt idx="17">
                  <c:v>USA</c:v>
                </c:pt>
                <c:pt idx="18">
                  <c:v>Resto de América</c:v>
                </c:pt>
                <c:pt idx="19">
                  <c:v>Resto del Mundo</c:v>
                </c:pt>
              </c:strCache>
            </c:strRef>
          </c:cat>
          <c:val>
            <c:numRef>
              <c:f>'[1]tabla dinámica nacionalidades'!$L$57:$L$76</c:f>
              <c:numCache>
                <c:formatCode>0.00%</c:formatCode>
                <c:ptCount val="20"/>
                <c:pt idx="0">
                  <c:v>-0.24027439407634429</c:v>
                </c:pt>
                <c:pt idx="1">
                  <c:v>-0.15202623565237761</c:v>
                </c:pt>
                <c:pt idx="2">
                  <c:v>-0.2174415246895755</c:v>
                </c:pt>
                <c:pt idx="3">
                  <c:v>-0.1471529110684581</c:v>
                </c:pt>
                <c:pt idx="4">
                  <c:v>-0.13715455475946775</c:v>
                </c:pt>
                <c:pt idx="5">
                  <c:v>-7.3375262054507341E-3</c:v>
                </c:pt>
                <c:pt idx="6">
                  <c:v>0.10310965630114566</c:v>
                </c:pt>
                <c:pt idx="7">
                  <c:v>6.8901303538175043E-2</c:v>
                </c:pt>
                <c:pt idx="8">
                  <c:v>-0.10305958132045089</c:v>
                </c:pt>
                <c:pt idx="9">
                  <c:v>-0.10384615384615385</c:v>
                </c:pt>
                <c:pt idx="10">
                  <c:v>-0.57051961823966069</c:v>
                </c:pt>
                <c:pt idx="11">
                  <c:v>-0.22469635627530365</c:v>
                </c:pt>
                <c:pt idx="12">
                  <c:v>-7.8048780487804878E-2</c:v>
                </c:pt>
                <c:pt idx="13">
                  <c:v>-0.39065108514190316</c:v>
                </c:pt>
                <c:pt idx="14">
                  <c:v>0.13479623824451412</c:v>
                </c:pt>
                <c:pt idx="15">
                  <c:v>-0.20638820638820637</c:v>
                </c:pt>
                <c:pt idx="16">
                  <c:v>-0.25979112271540472</c:v>
                </c:pt>
                <c:pt idx="17">
                  <c:v>-2.3084994753410283E-2</c:v>
                </c:pt>
                <c:pt idx="18">
                  <c:v>-0.187380828566476</c:v>
                </c:pt>
                <c:pt idx="19">
                  <c:v>-0.10183875530410184</c:v>
                </c:pt>
              </c:numCache>
            </c:numRef>
          </c:val>
        </c:ser>
        <c:gapWidth val="0"/>
        <c:axId val="198021504"/>
        <c:axId val="198019712"/>
      </c:barChart>
      <c:catAx>
        <c:axId val="196418944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8018176"/>
        <c:crosses val="autoZero"/>
        <c:auto val="1"/>
        <c:lblAlgn val="ctr"/>
        <c:lblOffset val="100"/>
      </c:catAx>
      <c:valAx>
        <c:axId val="198018176"/>
        <c:scaling>
          <c:orientation val="minMax"/>
        </c:scaling>
        <c:delete val="1"/>
        <c:axPos val="t"/>
        <c:numFmt formatCode="#,##0" sourceLinked="1"/>
        <c:tickLblPos val="none"/>
        <c:crossAx val="196418944"/>
        <c:crosses val="autoZero"/>
        <c:crossBetween val="between"/>
      </c:valAx>
      <c:valAx>
        <c:axId val="198019712"/>
        <c:scaling>
          <c:orientation val="minMax"/>
        </c:scaling>
        <c:delete val="1"/>
        <c:axPos val="t"/>
        <c:numFmt formatCode="0.00%" sourceLinked="1"/>
        <c:tickLblPos val="none"/>
        <c:crossAx val="198021504"/>
        <c:crosses val="autoZero"/>
        <c:crossBetween val="between"/>
      </c:valAx>
      <c:catAx>
        <c:axId val="198021504"/>
        <c:scaling>
          <c:orientation val="maxMin"/>
        </c:scaling>
        <c:delete val="1"/>
        <c:axPos val="r"/>
        <c:tickLblPos val="none"/>
        <c:crossAx val="19801971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0966" l="0.70000000000000062" r="0.70000000000000062" t="0.75000000000000966" header="0.30000000000000032" footer="0.30000000000000032"/>
    <c:pageSetup orientation="portrait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acumulado julio 2010 </c:v>
            </c:pt>
          </c:strCache>
        </c:strRef>
      </c:tx>
      <c:layout>
        <c:manualLayout>
          <c:xMode val="edge"/>
          <c:yMode val="edge"/>
          <c:x val="0.40057486126042413"/>
          <c:y val="5.6440326207840327E-2"/>
        </c:manualLayout>
      </c:layout>
      <c:txPr>
        <a:bodyPr/>
        <a:lstStyle/>
        <a:p>
          <a:pPr>
            <a:defRPr sz="1200" b="0"/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89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3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4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49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4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8"/>
              <c:y val="1.292941663377244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65"/>
              <c:y val="2.58588332675449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628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14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2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5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48"/>
              <c:y val="-1.6420359124890776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09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665"/>
              <c:y val="-1.6420359124890776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388E-2"/>
          <c:w val="0.79230350479693978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'[1]tabla dinámica nacionalidades'!$J$6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'[1]tabla dinámica nacionalidades'!$G$8:$G$27</c:f>
              <c:strCache>
                <c:ptCount val="20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Suiza</c:v>
                </c:pt>
                <c:pt idx="9">
                  <c:v>Finlandia</c:v>
                </c:pt>
                <c:pt idx="10">
                  <c:v>Suecia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USA</c:v>
                </c:pt>
                <c:pt idx="18">
                  <c:v>Resto de América</c:v>
                </c:pt>
                <c:pt idx="19">
                  <c:v>Resto del Mundo</c:v>
                </c:pt>
              </c:strCache>
            </c:strRef>
          </c:cat>
          <c:val>
            <c:numRef>
              <c:f>'[1]tabla dinámica nacionalidades'!$J$8:$J$27</c:f>
              <c:numCache>
                <c:formatCode>#,##0</c:formatCode>
                <c:ptCount val="20"/>
                <c:pt idx="0">
                  <c:v>76373</c:v>
                </c:pt>
                <c:pt idx="1">
                  <c:v>1950</c:v>
                </c:pt>
                <c:pt idx="2">
                  <c:v>1735</c:v>
                </c:pt>
                <c:pt idx="3">
                  <c:v>1493</c:v>
                </c:pt>
                <c:pt idx="4">
                  <c:v>1375</c:v>
                </c:pt>
                <c:pt idx="5">
                  <c:v>506</c:v>
                </c:pt>
                <c:pt idx="6">
                  <c:v>468</c:v>
                </c:pt>
                <c:pt idx="7">
                  <c:v>340</c:v>
                </c:pt>
                <c:pt idx="8">
                  <c:v>309</c:v>
                </c:pt>
                <c:pt idx="9">
                  <c:v>283</c:v>
                </c:pt>
                <c:pt idx="10">
                  <c:v>254</c:v>
                </c:pt>
                <c:pt idx="11">
                  <c:v>247</c:v>
                </c:pt>
                <c:pt idx="12">
                  <c:v>238</c:v>
                </c:pt>
                <c:pt idx="13">
                  <c:v>209</c:v>
                </c:pt>
                <c:pt idx="14">
                  <c:v>201</c:v>
                </c:pt>
                <c:pt idx="15">
                  <c:v>171</c:v>
                </c:pt>
                <c:pt idx="16">
                  <c:v>984</c:v>
                </c:pt>
                <c:pt idx="17">
                  <c:v>786</c:v>
                </c:pt>
                <c:pt idx="18">
                  <c:v>2741</c:v>
                </c:pt>
                <c:pt idx="19">
                  <c:v>2153</c:v>
                </c:pt>
              </c:numCache>
            </c:numRef>
          </c:val>
        </c:ser>
        <c:gapWidth val="26"/>
        <c:overlap val="-35"/>
        <c:axId val="198949504"/>
        <c:axId val="198959488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7.5645756457564467E-2"/>
                  <c:y val="1.4947681349801545E-3"/>
                </c:manualLayout>
              </c:layout>
              <c:showVal val="1"/>
            </c:dLbl>
            <c:dLbl>
              <c:idx val="2"/>
              <c:layout>
                <c:manualLayout>
                  <c:x val="7.0110701107011175E-2"/>
                  <c:y val="1.1769827834489439E-7"/>
                </c:manualLayout>
              </c:layout>
              <c:showVal val="1"/>
            </c:dLbl>
            <c:dLbl>
              <c:idx val="4"/>
              <c:layout>
                <c:manualLayout>
                  <c:x val="-5.4478891245605531E-4"/>
                  <c:y val="1.4948858332584998E-3"/>
                </c:manualLayout>
              </c:layout>
              <c:showVal val="1"/>
            </c:dLbl>
            <c:dLbl>
              <c:idx val="5"/>
              <c:layout>
                <c:manualLayout>
                  <c:x val="5.4865182903797563E-2"/>
                  <c:y val="2.3539655668978843E-7"/>
                </c:manualLayout>
              </c:layout>
              <c:showVal val="1"/>
            </c:dLbl>
            <c:dLbl>
              <c:idx val="7"/>
              <c:layout>
                <c:manualLayout>
                  <c:x val="-7.233750762704487E-2"/>
                  <c:y val="1.4953566263718788E-3"/>
                </c:manualLayout>
              </c:layout>
              <c:showVal val="1"/>
            </c:dLbl>
            <c:dLbl>
              <c:idx val="9"/>
              <c:layout>
                <c:manualLayout>
                  <c:x val="6.7861812476392482E-3"/>
                  <c:y val="1.1769827834489451E-7"/>
                </c:manualLayout>
              </c:layout>
              <c:showVal val="1"/>
            </c:dLbl>
            <c:dLbl>
              <c:idx val="10"/>
              <c:layout>
                <c:manualLayout>
                  <c:x val="4.6125461254612553E-2"/>
                  <c:y val="1.4948858332584991E-3"/>
                </c:manualLayout>
              </c:layout>
              <c:showVal val="1"/>
            </c:dLbl>
            <c:dLbl>
              <c:idx val="11"/>
              <c:layout>
                <c:manualLayout>
                  <c:x val="-7.3800738007380073E-2"/>
                  <c:y val="1.4948858332584991E-3"/>
                </c:manualLayout>
              </c:layout>
              <c:showVal val="1"/>
            </c:dLbl>
            <c:dLbl>
              <c:idx val="12"/>
              <c:layout>
                <c:manualLayout>
                  <c:x val="3.9507510823139781E-2"/>
                  <c:y val="4.4845398014971474E-3"/>
                </c:manualLayout>
              </c:layout>
              <c:showVal val="1"/>
            </c:dLbl>
            <c:dLbl>
              <c:idx val="13"/>
              <c:layout>
                <c:manualLayout>
                  <c:x val="1.4527704332161477E-7"/>
                  <c:y val="1.4948858332584991E-3"/>
                </c:manualLayout>
              </c:layout>
              <c:showVal val="1"/>
            </c:dLbl>
            <c:dLbl>
              <c:idx val="14"/>
              <c:layout>
                <c:manualLayout>
                  <c:x val="4.6453060987302792E-2"/>
                  <c:y val="-1.4945327384234639E-3"/>
                </c:manualLayout>
              </c:layout>
              <c:showVal val="1"/>
            </c:dLbl>
            <c:dLbl>
              <c:idx val="15"/>
              <c:layout>
                <c:manualLayout>
                  <c:x val="7.1069529592933814E-3"/>
                  <c:y val="1.4948858332584998E-3"/>
                </c:manualLayout>
              </c:layout>
              <c:showVal val="1"/>
            </c:dLbl>
            <c:dLbl>
              <c:idx val="16"/>
              <c:layout>
                <c:manualLayout>
                  <c:x val="2.9332887817067194E-3"/>
                  <c:y val="1.1769827834489451E-7"/>
                </c:manualLayout>
              </c:layout>
              <c:showVal val="1"/>
            </c:dLbl>
            <c:dLbl>
              <c:idx val="17"/>
              <c:layout>
                <c:manualLayout>
                  <c:x val="5.7197460557282837E-2"/>
                  <c:y val="4.7079311337957623E-7"/>
                </c:manualLayout>
              </c:layout>
              <c:showVal val="1"/>
            </c:dLbl>
            <c:dLbl>
              <c:idx val="18"/>
              <c:layout>
                <c:manualLayout>
                  <c:x val="7.5645756457564467E-2"/>
                  <c:y val="4.707931132699618E-7"/>
                </c:manualLayout>
              </c:layout>
              <c:showVal val="1"/>
            </c:dLbl>
            <c:dLbl>
              <c:idx val="19"/>
              <c:layout>
                <c:manualLayout>
                  <c:x val="7.2174738841405503E-2"/>
                  <c:y val="0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Ref>
              <c:f>'[1]tabla dinámica nacionalidades'!$G$8:$G$27</c:f>
              <c:strCache>
                <c:ptCount val="20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Suiza</c:v>
                </c:pt>
                <c:pt idx="9">
                  <c:v>Finlandia</c:v>
                </c:pt>
                <c:pt idx="10">
                  <c:v>Suecia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USA</c:v>
                </c:pt>
                <c:pt idx="18">
                  <c:v>Resto de América</c:v>
                </c:pt>
                <c:pt idx="19">
                  <c:v>Resto del Mundo</c:v>
                </c:pt>
              </c:strCache>
            </c:strRef>
          </c:cat>
          <c:val>
            <c:numRef>
              <c:f>'[1]tabla dinámica nacionalidades'!$K$8:$K$27</c:f>
              <c:numCache>
                <c:formatCode>0.00%</c:formatCode>
                <c:ptCount val="20"/>
                <c:pt idx="0">
                  <c:v>-4.2584931678575903E-2</c:v>
                </c:pt>
                <c:pt idx="1">
                  <c:v>4.5576407506702415E-2</c:v>
                </c:pt>
                <c:pt idx="2">
                  <c:v>6.6379840196681014E-2</c:v>
                </c:pt>
                <c:pt idx="3">
                  <c:v>-2.9889538661468484E-2</c:v>
                </c:pt>
                <c:pt idx="4">
                  <c:v>-0.10540013012361743</c:v>
                </c:pt>
                <c:pt idx="5">
                  <c:v>0.27777777777777779</c:v>
                </c:pt>
                <c:pt idx="6">
                  <c:v>-0.19310344827586207</c:v>
                </c:pt>
                <c:pt idx="7">
                  <c:v>4.2944785276073622E-2</c:v>
                </c:pt>
                <c:pt idx="8">
                  <c:v>-4.3343653250773995E-2</c:v>
                </c:pt>
                <c:pt idx="9">
                  <c:v>-0.11006289308176101</c:v>
                </c:pt>
                <c:pt idx="10">
                  <c:v>7.1729957805907171E-2</c:v>
                </c:pt>
                <c:pt idx="11">
                  <c:v>-3.515625E-2</c:v>
                </c:pt>
                <c:pt idx="12">
                  <c:v>4.2194092827004216E-3</c:v>
                </c:pt>
                <c:pt idx="13">
                  <c:v>-0.12184873949579832</c:v>
                </c:pt>
                <c:pt idx="14">
                  <c:v>1.5151515151515152E-2</c:v>
                </c:pt>
                <c:pt idx="15">
                  <c:v>-0.27542372881355931</c:v>
                </c:pt>
                <c:pt idx="16">
                  <c:v>-9.8901098901098897E-2</c:v>
                </c:pt>
                <c:pt idx="17">
                  <c:v>0.41366906474820142</c:v>
                </c:pt>
                <c:pt idx="18">
                  <c:v>0.11332250203086922</c:v>
                </c:pt>
                <c:pt idx="19">
                  <c:v>0.19944289693593314</c:v>
                </c:pt>
              </c:numCache>
            </c:numRef>
          </c:val>
        </c:ser>
        <c:gapWidth val="0"/>
        <c:axId val="198962560"/>
        <c:axId val="198961024"/>
      </c:barChart>
      <c:catAx>
        <c:axId val="198949504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8959488"/>
        <c:crosses val="autoZero"/>
        <c:auto val="1"/>
        <c:lblAlgn val="ctr"/>
        <c:lblOffset val="100"/>
      </c:catAx>
      <c:valAx>
        <c:axId val="198959488"/>
        <c:scaling>
          <c:orientation val="minMax"/>
        </c:scaling>
        <c:delete val="1"/>
        <c:axPos val="t"/>
        <c:numFmt formatCode="#,##0" sourceLinked="1"/>
        <c:tickLblPos val="none"/>
        <c:crossAx val="198949504"/>
        <c:crosses val="autoZero"/>
        <c:crossBetween val="between"/>
      </c:valAx>
      <c:valAx>
        <c:axId val="198961024"/>
        <c:scaling>
          <c:orientation val="minMax"/>
        </c:scaling>
        <c:delete val="1"/>
        <c:axPos val="t"/>
        <c:numFmt formatCode="0.00%" sourceLinked="1"/>
        <c:tickLblPos val="none"/>
        <c:crossAx val="198962560"/>
        <c:crosses val="autoZero"/>
        <c:crossBetween val="between"/>
      </c:valAx>
      <c:catAx>
        <c:axId val="198962560"/>
        <c:scaling>
          <c:orientation val="maxMin"/>
        </c:scaling>
        <c:delete val="1"/>
        <c:axPos val="r"/>
        <c:tickLblPos val="none"/>
        <c:crossAx val="19896102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mensual'!$B$6:$F$6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387"/>
          <c:y val="2.37333236571235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288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men'!$B$20:$B$31</c:f>
              <c:numCache>
                <c:formatCode>#,##0</c:formatCode>
                <c:ptCount val="12"/>
                <c:pt idx="0">
                  <c:v>14266</c:v>
                </c:pt>
                <c:pt idx="1">
                  <c:v>15692</c:v>
                </c:pt>
                <c:pt idx="2">
                  <c:v>17429</c:v>
                </c:pt>
                <c:pt idx="3">
                  <c:v>13849</c:v>
                </c:pt>
                <c:pt idx="4">
                  <c:v>14751</c:v>
                </c:pt>
                <c:pt idx="5">
                  <c:v>15747</c:v>
                </c:pt>
                <c:pt idx="6">
                  <c:v>14758</c:v>
                </c:pt>
                <c:pt idx="7">
                  <c:v>11231</c:v>
                </c:pt>
                <c:pt idx="8">
                  <c:v>14403</c:v>
                </c:pt>
                <c:pt idx="9">
                  <c:v>15731</c:v>
                </c:pt>
                <c:pt idx="10">
                  <c:v>18087</c:v>
                </c:pt>
                <c:pt idx="11">
                  <c:v>16829</c:v>
                </c:pt>
              </c:numCache>
            </c:numRef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men'!$C$20:$C$31</c:f>
              <c:numCache>
                <c:formatCode>#,##0</c:formatCode>
                <c:ptCount val="12"/>
                <c:pt idx="0">
                  <c:v>14507</c:v>
                </c:pt>
                <c:pt idx="1">
                  <c:v>15222</c:v>
                </c:pt>
                <c:pt idx="2">
                  <c:v>19006</c:v>
                </c:pt>
                <c:pt idx="3">
                  <c:v>15492</c:v>
                </c:pt>
                <c:pt idx="4">
                  <c:v>14726</c:v>
                </c:pt>
                <c:pt idx="5">
                  <c:v>13171</c:v>
                </c:pt>
                <c:pt idx="6">
                  <c:v>14360</c:v>
                </c:pt>
                <c:pt idx="7">
                  <c:v>9967</c:v>
                </c:pt>
                <c:pt idx="8">
                  <c:v>14065</c:v>
                </c:pt>
                <c:pt idx="9">
                  <c:v>17346</c:v>
                </c:pt>
                <c:pt idx="10">
                  <c:v>18909</c:v>
                </c:pt>
                <c:pt idx="11">
                  <c:v>16894</c:v>
                </c:pt>
              </c:numCache>
            </c:numRef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men'!$D$20:$D$31</c:f>
              <c:numCache>
                <c:formatCode>#,##0</c:formatCode>
                <c:ptCount val="12"/>
                <c:pt idx="0">
                  <c:v>16982</c:v>
                </c:pt>
                <c:pt idx="1">
                  <c:v>19355</c:v>
                </c:pt>
                <c:pt idx="2">
                  <c:v>16551</c:v>
                </c:pt>
                <c:pt idx="3">
                  <c:v>17593</c:v>
                </c:pt>
                <c:pt idx="4">
                  <c:v>17437</c:v>
                </c:pt>
                <c:pt idx="5">
                  <c:v>15440</c:v>
                </c:pt>
                <c:pt idx="6">
                  <c:v>16337</c:v>
                </c:pt>
                <c:pt idx="7">
                  <c:v>12308</c:v>
                </c:pt>
                <c:pt idx="8">
                  <c:v>15134</c:v>
                </c:pt>
                <c:pt idx="9">
                  <c:v>18706</c:v>
                </c:pt>
                <c:pt idx="10">
                  <c:v>17843</c:v>
                </c:pt>
                <c:pt idx="11">
                  <c:v>16132</c:v>
                </c:pt>
              </c:numCache>
            </c:numRef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'[1]tabla dinámica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men'!$E$20:$E$31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8"/>
          <c:order val="4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'[1]tabla dinámica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men'!$F$20:$F$31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</c:numCache>
            </c:numRef>
          </c:val>
        </c:ser>
        <c:dLbls>
          <c:showVal val="1"/>
        </c:dLbls>
        <c:marker val="1"/>
        <c:axId val="200347008"/>
        <c:axId val="200353664"/>
      </c:lineChart>
      <c:catAx>
        <c:axId val="2003470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0353664"/>
        <c:crosses val="autoZero"/>
        <c:auto val="1"/>
        <c:lblAlgn val="ctr"/>
        <c:lblOffset val="100"/>
        <c:tickLblSkip val="1"/>
        <c:tickMarkSkip val="1"/>
      </c:catAx>
      <c:valAx>
        <c:axId val="20035366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03470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1"/>
          <c:w val="0.9"/>
          <c:h val="4.96994327321988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categ'!$B$7:$G$7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8797086368366286"/>
          <c:y val="1.25051627429820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7682721131939773"/>
          <c:w val="0.90468819022231306"/>
          <c:h val="0.46463620981387482"/>
        </c:manualLayout>
      </c:layout>
      <c:barChart>
        <c:barDir val="col"/>
        <c:grouping val="clustered"/>
        <c:ser>
          <c:idx val="0"/>
          <c:order val="0"/>
          <c:tx>
            <c:strRef>
              <c:f>'Pernoctaciones  tipolog y categ'!$C$8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categ'!$B$12:$B$16,'Pernoctaciones  tipolog y categ'!$B$18)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categ'!$C$10,'Pernoctaciones  tipolog y categ'!$C$12:$C$16,'Pernoctaciones  tipolog y categ'!$C$18)</c:f>
              <c:numCache>
                <c:formatCode>#,##0_)</c:formatCode>
                <c:ptCount val="7"/>
                <c:pt idx="0">
                  <c:v>224256</c:v>
                </c:pt>
                <c:pt idx="1">
                  <c:v>224256</c:v>
                </c:pt>
                <c:pt idx="2">
                  <c:v>71618</c:v>
                </c:pt>
                <c:pt idx="3">
                  <c:v>57372</c:v>
                </c:pt>
                <c:pt idx="4">
                  <c:v>75411</c:v>
                </c:pt>
                <c:pt idx="5">
                  <c:v>19855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'Pernoctaciones  tipolog y categ'!$E$8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categ'!$B$12:$B$16,'Pernoctaciones  tipolog y categ'!$B$18)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categ'!$E$10,'Pernoctaciones  tipolog y categ'!$E$12:$E$16,'Pernoctaciones  tipolog y categ'!$E$18)</c:f>
              <c:numCache>
                <c:formatCode>#,##0_)</c:formatCode>
                <c:ptCount val="7"/>
                <c:pt idx="0">
                  <c:v>193668</c:v>
                </c:pt>
                <c:pt idx="1">
                  <c:v>193668</c:v>
                </c:pt>
                <c:pt idx="2">
                  <c:v>55034</c:v>
                </c:pt>
                <c:pt idx="3">
                  <c:v>58666</c:v>
                </c:pt>
                <c:pt idx="4">
                  <c:v>61775</c:v>
                </c:pt>
                <c:pt idx="5">
                  <c:v>18193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01470720"/>
        <c:axId val="201472640"/>
      </c:barChart>
      <c:lineChart>
        <c:grouping val="standard"/>
        <c:ser>
          <c:idx val="1"/>
          <c:order val="2"/>
          <c:tx>
            <c:strRef>
              <c:f>'Pernoctaciones  tipolog y categ'!$G$8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372282809081828E-2"/>
                  <c:y val="-0.4386810024381470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4288258257057972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27E-2"/>
                  <c:y val="-0.2968693126557149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3447524314406E-2"/>
                  <c:y val="0.1452109729938578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272091899022512E-2"/>
                  <c:y val="-0.1958881916410195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83E-2"/>
                  <c:y val="4.465539523295629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6929215793915446E-2"/>
                  <c:y val="0.2948473826558488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categ'!$G$10,'Pernoctaciones  tipolog y categ'!$G$12:$G$16,'Pernoctaciones  tipolog y categ'!$G$18)</c:f>
              <c:numCache>
                <c:formatCode>0.00%</c:formatCode>
                <c:ptCount val="7"/>
                <c:pt idx="0">
                  <c:v>-0.13639768835616439</c:v>
                </c:pt>
                <c:pt idx="1">
                  <c:v>-0.13639768835616439</c:v>
                </c:pt>
                <c:pt idx="2">
                  <c:v>-0.23156189784691</c:v>
                </c:pt>
                <c:pt idx="3">
                  <c:v>2.2554556229519625E-2</c:v>
                </c:pt>
                <c:pt idx="4">
                  <c:v>-0.18082242643646151</c:v>
                </c:pt>
                <c:pt idx="5">
                  <c:v>-8.3706874842608914E-2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01523584"/>
        <c:axId val="201525120"/>
      </c:lineChart>
      <c:catAx>
        <c:axId val="2014707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1.5667734561275581E-3"/>
              <c:y val="0.961371757464328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472640"/>
        <c:crosses val="autoZero"/>
        <c:auto val="1"/>
        <c:lblAlgn val="ctr"/>
        <c:lblOffset val="100"/>
        <c:tickLblSkip val="1"/>
        <c:tickMarkSkip val="1"/>
      </c:catAx>
      <c:valAx>
        <c:axId val="2014726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01470720"/>
        <c:crosses val="autoZero"/>
        <c:crossBetween val="between"/>
      </c:valAx>
      <c:catAx>
        <c:axId val="201523584"/>
        <c:scaling>
          <c:orientation val="minMax"/>
        </c:scaling>
        <c:delete val="1"/>
        <c:axPos val="b"/>
        <c:tickLblPos val="none"/>
        <c:crossAx val="201525120"/>
        <c:crosses val="autoZero"/>
        <c:auto val="1"/>
        <c:lblAlgn val="ctr"/>
        <c:lblOffset val="100"/>
      </c:catAx>
      <c:valAx>
        <c:axId val="201525120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01523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525510663953"/>
          <c:y val="0.10329323047817032"/>
          <c:w val="0.62760465879265093"/>
          <c:h val="8.048789586580855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mensual'!$B$6:$F$6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468"/>
          <c:y val="0.24875682320046091"/>
          <c:w val="0.83717483495168965"/>
          <c:h val="0.50995148756094422"/>
        </c:manualLayout>
      </c:layout>
      <c:lineChart>
        <c:grouping val="standard"/>
        <c:ser>
          <c:idx val="2"/>
          <c:order val="0"/>
          <c:tx>
            <c:strRef>
              <c:f>'[1]tabla dinámica pernocta men'!$B$19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pernocta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pernocta men'!$B$20:$B$31</c:f>
              <c:numCache>
                <c:formatCode>#,##0</c:formatCode>
                <c:ptCount val="12"/>
                <c:pt idx="0">
                  <c:v>33816</c:v>
                </c:pt>
                <c:pt idx="1">
                  <c:v>43193</c:v>
                </c:pt>
                <c:pt idx="2">
                  <c:v>43839</c:v>
                </c:pt>
                <c:pt idx="3">
                  <c:v>37211</c:v>
                </c:pt>
                <c:pt idx="4">
                  <c:v>34564</c:v>
                </c:pt>
                <c:pt idx="5">
                  <c:v>35179</c:v>
                </c:pt>
                <c:pt idx="6">
                  <c:v>36392</c:v>
                </c:pt>
                <c:pt idx="7">
                  <c:v>32936</c:v>
                </c:pt>
                <c:pt idx="8">
                  <c:v>38098</c:v>
                </c:pt>
                <c:pt idx="9">
                  <c:v>40563</c:v>
                </c:pt>
                <c:pt idx="10">
                  <c:v>45792</c:v>
                </c:pt>
                <c:pt idx="11">
                  <c:v>45766</c:v>
                </c:pt>
              </c:numCache>
            </c:numRef>
          </c:val>
        </c:ser>
        <c:ser>
          <c:idx val="4"/>
          <c:order val="1"/>
          <c:tx>
            <c:strRef>
              <c:f>'[1]tabla dinámica pernocta men'!$C$19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pernocta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pernocta men'!$C$20:$C$31</c:f>
              <c:numCache>
                <c:formatCode>#,##0</c:formatCode>
                <c:ptCount val="12"/>
                <c:pt idx="0">
                  <c:v>38851</c:v>
                </c:pt>
                <c:pt idx="1">
                  <c:v>40231</c:v>
                </c:pt>
                <c:pt idx="2">
                  <c:v>49531</c:v>
                </c:pt>
                <c:pt idx="3">
                  <c:v>44433</c:v>
                </c:pt>
                <c:pt idx="4">
                  <c:v>43900</c:v>
                </c:pt>
                <c:pt idx="5">
                  <c:v>42274</c:v>
                </c:pt>
                <c:pt idx="6">
                  <c:v>41948</c:v>
                </c:pt>
                <c:pt idx="7">
                  <c:v>27092</c:v>
                </c:pt>
                <c:pt idx="8">
                  <c:v>36895</c:v>
                </c:pt>
                <c:pt idx="9">
                  <c:v>43633</c:v>
                </c:pt>
                <c:pt idx="10">
                  <c:v>43269</c:v>
                </c:pt>
                <c:pt idx="11">
                  <c:v>41680</c:v>
                </c:pt>
              </c:numCache>
            </c:numRef>
          </c:val>
        </c:ser>
        <c:ser>
          <c:idx val="5"/>
          <c:order val="2"/>
          <c:tx>
            <c:strRef>
              <c:f>'[1]tabla dinámica pernocta men'!$D$19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pernocta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pernocta men'!$D$20:$D$31</c:f>
              <c:numCache>
                <c:formatCode>#,##0</c:formatCode>
                <c:ptCount val="12"/>
                <c:pt idx="0">
                  <c:v>43024</c:v>
                </c:pt>
                <c:pt idx="1">
                  <c:v>48549</c:v>
                </c:pt>
                <c:pt idx="2">
                  <c:v>48080</c:v>
                </c:pt>
                <c:pt idx="3">
                  <c:v>42222</c:v>
                </c:pt>
                <c:pt idx="4">
                  <c:v>47422</c:v>
                </c:pt>
                <c:pt idx="5">
                  <c:v>39136</c:v>
                </c:pt>
                <c:pt idx="6">
                  <c:v>42255</c:v>
                </c:pt>
                <c:pt idx="7">
                  <c:v>31889</c:v>
                </c:pt>
                <c:pt idx="8">
                  <c:v>34144</c:v>
                </c:pt>
                <c:pt idx="9">
                  <c:v>43114</c:v>
                </c:pt>
                <c:pt idx="10">
                  <c:v>42442</c:v>
                </c:pt>
                <c:pt idx="11">
                  <c:v>38168</c:v>
                </c:pt>
              </c:numCache>
            </c:numRef>
          </c:val>
        </c:ser>
        <c:ser>
          <c:idx val="6"/>
          <c:order val="3"/>
          <c:tx>
            <c:strRef>
              <c:f>'[1]tabla dinámica pernocta men'!$E$19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'[1]tabla dinámica pernocta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pernocta men'!$E$20:$E$31</c:f>
              <c:numCache>
                <c:formatCode>#,##0</c:formatCode>
                <c:ptCount val="12"/>
                <c:pt idx="0">
                  <c:v>32979</c:v>
                </c:pt>
                <c:pt idx="1">
                  <c:v>39273</c:v>
                </c:pt>
                <c:pt idx="2">
                  <c:v>36664</c:v>
                </c:pt>
                <c:pt idx="3">
                  <c:v>29837</c:v>
                </c:pt>
                <c:pt idx="4">
                  <c:v>30141</c:v>
                </c:pt>
                <c:pt idx="5">
                  <c:v>28102</c:v>
                </c:pt>
                <c:pt idx="6">
                  <c:v>27260</c:v>
                </c:pt>
                <c:pt idx="7">
                  <c:v>21384</c:v>
                </c:pt>
                <c:pt idx="8">
                  <c:v>25861</c:v>
                </c:pt>
                <c:pt idx="9">
                  <c:v>28970</c:v>
                </c:pt>
                <c:pt idx="10">
                  <c:v>27704</c:v>
                </c:pt>
                <c:pt idx="11">
                  <c:v>36076</c:v>
                </c:pt>
              </c:numCache>
            </c:numRef>
          </c:val>
        </c:ser>
        <c:ser>
          <c:idx val="7"/>
          <c:order val="4"/>
          <c:tx>
            <c:strRef>
              <c:f>'[1]tabla dinámica pernocta men'!$F$19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Ref>
              <c:f>'[1]tabla dinámica pernocta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pernocta men'!$F$20:$F$31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</c:numCache>
            </c:numRef>
          </c:val>
        </c:ser>
        <c:dLbls>
          <c:showVal val="1"/>
        </c:dLbls>
        <c:marker val="1"/>
        <c:axId val="201593600"/>
        <c:axId val="201595904"/>
      </c:lineChart>
      <c:catAx>
        <c:axId val="2015936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595904"/>
        <c:crosses val="autoZero"/>
        <c:auto val="1"/>
        <c:lblAlgn val="ctr"/>
        <c:lblOffset val="100"/>
        <c:tickLblSkip val="1"/>
        <c:tickMarkSkip val="1"/>
      </c:catAx>
      <c:valAx>
        <c:axId val="20159590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5936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662E-2"/>
          <c:w val="0.87417508295334556"/>
          <c:h val="5.361115278982835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 horizontalDpi="1200" verticalDpi="12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657808398950293"/>
          <c:y val="0.13072434517113973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211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'!$D$7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'!$D$9:$D$11,'IO zona y Tipología '!$D$13:$D$15)</c:f>
              <c:numCache>
                <c:formatCode>#,##0.00_)</c:formatCode>
                <c:ptCount val="6"/>
                <c:pt idx="0">
                  <c:v>54.358202977071883</c:v>
                </c:pt>
                <c:pt idx="1">
                  <c:v>63.816408769433401</c:v>
                </c:pt>
                <c:pt idx="2">
                  <c:v>45.442623699464505</c:v>
                </c:pt>
                <c:pt idx="3">
                  <c:v>37.709338935825123</c:v>
                </c:pt>
                <c:pt idx="4">
                  <c:v>37.709338935825123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203277824"/>
        <c:axId val="203279744"/>
      </c:barChart>
      <c:catAx>
        <c:axId val="203277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948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279744"/>
        <c:crosses val="autoZero"/>
        <c:auto val="1"/>
        <c:lblAlgn val="ctr"/>
        <c:lblOffset val="100"/>
        <c:tickLblSkip val="1"/>
        <c:tickMarkSkip val="1"/>
      </c:catAx>
      <c:valAx>
        <c:axId val="203279744"/>
        <c:scaling>
          <c:orientation val="minMax"/>
        </c:scaling>
        <c:delete val="1"/>
        <c:axPos val="l"/>
        <c:numFmt formatCode="#,##0.00_)" sourceLinked="1"/>
        <c:tickLblPos val="none"/>
        <c:crossAx val="203277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'!$C$3:$J$3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097"/>
          <c:y val="0.25962782429974723"/>
          <c:w val="0.83325053642039226"/>
          <c:h val="0.47650548004266757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'!$D$5:$D$16</c:f>
              <c:numCache>
                <c:formatCode>#,##0</c:formatCode>
                <c:ptCount val="12"/>
                <c:pt idx="0">
                  <c:v>14507</c:v>
                </c:pt>
                <c:pt idx="1">
                  <c:v>15222</c:v>
                </c:pt>
                <c:pt idx="2">
                  <c:v>19006</c:v>
                </c:pt>
                <c:pt idx="3">
                  <c:v>15492</c:v>
                </c:pt>
                <c:pt idx="4">
                  <c:v>14726</c:v>
                </c:pt>
                <c:pt idx="5">
                  <c:v>13171</c:v>
                </c:pt>
                <c:pt idx="6">
                  <c:v>14360</c:v>
                </c:pt>
                <c:pt idx="7">
                  <c:v>9967</c:v>
                </c:pt>
                <c:pt idx="8">
                  <c:v>14065</c:v>
                </c:pt>
                <c:pt idx="9">
                  <c:v>17346</c:v>
                </c:pt>
                <c:pt idx="10">
                  <c:v>18909</c:v>
                </c:pt>
                <c:pt idx="11">
                  <c:v>16894</c:v>
                </c:pt>
              </c:numCache>
            </c:numRef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'!$E$5:$E$16</c:f>
              <c:numCache>
                <c:formatCode>#,##0</c:formatCode>
                <c:ptCount val="12"/>
                <c:pt idx="0">
                  <c:v>16982</c:v>
                </c:pt>
                <c:pt idx="1">
                  <c:v>19355</c:v>
                </c:pt>
                <c:pt idx="2">
                  <c:v>16551</c:v>
                </c:pt>
                <c:pt idx="3">
                  <c:v>17593</c:v>
                </c:pt>
                <c:pt idx="4">
                  <c:v>17437</c:v>
                </c:pt>
                <c:pt idx="5">
                  <c:v>15440</c:v>
                </c:pt>
                <c:pt idx="6">
                  <c:v>16337</c:v>
                </c:pt>
                <c:pt idx="7">
                  <c:v>12308</c:v>
                </c:pt>
                <c:pt idx="8">
                  <c:v>15134</c:v>
                </c:pt>
                <c:pt idx="9">
                  <c:v>18706</c:v>
                </c:pt>
                <c:pt idx="10">
                  <c:v>17843</c:v>
                </c:pt>
                <c:pt idx="11">
                  <c:v>16132</c:v>
                </c:pt>
              </c:numCache>
            </c:numRef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'!$F$5:$F$16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3"/>
          <c:order val="3"/>
          <c:tx>
            <c:strRef>
              <c:f>'tablas Zonas mensual '!$G$4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'!$G$5:$G$10,'tablas Zonas mensual '!$G$11)</c:f>
              <c:numCache>
                <c:formatCode>#,##0</c:formatCode>
                <c:ptCount val="7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</c:numCache>
            </c:numRef>
          </c:val>
        </c:ser>
        <c:marker val="1"/>
        <c:axId val="194425216"/>
        <c:axId val="194427136"/>
      </c:lineChart>
      <c:catAx>
        <c:axId val="1944252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94427136"/>
        <c:crosses val="autoZero"/>
        <c:auto val="1"/>
        <c:lblAlgn val="ctr"/>
        <c:lblOffset val="100"/>
      </c:catAx>
      <c:valAx>
        <c:axId val="1944271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94425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774"/>
          <c:y val="0.16367086189697985"/>
          <c:w val="0.4774077352250885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categoría'!$B$7:$E$7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494"/>
          <c:w val="0.90049538618993386"/>
          <c:h val="0.4431372549019601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categoría'!$B$12:$B$16,'IO tipología y categoría'!$B$18)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categoría'!$C$10,'IO tipología y categoría'!$C$12:$C$16,'IO tipología y categoría'!$C$18)</c:f>
              <c:numCache>
                <c:formatCode>#,##0.00_)</c:formatCode>
                <c:ptCount val="7"/>
                <c:pt idx="0">
                  <c:v>41.859501432611275</c:v>
                </c:pt>
                <c:pt idx="1">
                  <c:v>41.859501432611275</c:v>
                </c:pt>
                <c:pt idx="2">
                  <c:v>32.173405211141059</c:v>
                </c:pt>
                <c:pt idx="3">
                  <c:v>46.6590761223162</c:v>
                </c:pt>
                <c:pt idx="4">
                  <c:v>52.776300319131067</c:v>
                </c:pt>
                <c:pt idx="5">
                  <c:v>41.988284306469012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categoría'!$B$12:$B$16,'IO tipología y categoría'!$B$18)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categoría'!$D$10,'IO tipología y categoría'!$D$12:$D$16,'IO tipología y categoría'!$D$18)</c:f>
              <c:numCache>
                <c:formatCode>#,##0.00_)</c:formatCode>
                <c:ptCount val="7"/>
                <c:pt idx="0">
                  <c:v>37.709338935825123</c:v>
                </c:pt>
                <c:pt idx="1">
                  <c:v>37.709338935825123</c:v>
                </c:pt>
                <c:pt idx="2">
                  <c:v>26.802316237526359</c:v>
                </c:pt>
                <c:pt idx="3">
                  <c:v>47.711450878334418</c:v>
                </c:pt>
                <c:pt idx="4">
                  <c:v>43.23316163708639</c:v>
                </c:pt>
                <c:pt idx="5">
                  <c:v>42.908018867924532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03888896"/>
        <c:axId val="203891072"/>
      </c:barChart>
      <c:lineChart>
        <c:grouping val="standard"/>
        <c:ser>
          <c:idx val="1"/>
          <c:order val="2"/>
          <c:tx>
            <c:strRef>
              <c:f>'IO tipología y categoría'!$E$8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19417619967333E-2"/>
                  <c:y val="-0.2823601909096412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207613199293524E-2"/>
                  <c:y val="-0.2774768243483636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57922712491117E-2"/>
                  <c:y val="-0.3384929952809618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4481916175564E-2"/>
                  <c:y val="-0.1400651133442079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68573267964147E-2"/>
                  <c:y val="-0.4158973222976283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086E-2"/>
                  <c:y val="-0.1154356216981829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3554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categoría'!$E$10,'IO tipología y categoría'!$E$12:$E$16,'IO tipología y categoría'!$E$18)</c:f>
              <c:numCache>
                <c:formatCode>0.00%</c:formatCode>
                <c:ptCount val="7"/>
                <c:pt idx="0">
                  <c:v>-9.9145053207750466E-2</c:v>
                </c:pt>
                <c:pt idx="1">
                  <c:v>-9.9145053207750466E-2</c:v>
                </c:pt>
                <c:pt idx="2">
                  <c:v>-0.16694188688969702</c:v>
                </c:pt>
                <c:pt idx="3">
                  <c:v>2.2554556229519518E-2</c:v>
                </c:pt>
                <c:pt idx="4">
                  <c:v>-0.18082242643646151</c:v>
                </c:pt>
                <c:pt idx="5">
                  <c:v>2.190455210654596E-2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03892608"/>
        <c:axId val="203894144"/>
      </c:lineChart>
      <c:catAx>
        <c:axId val="2038888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1.0908070453457734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891072"/>
        <c:crosses val="autoZero"/>
        <c:auto val="1"/>
        <c:lblAlgn val="ctr"/>
        <c:lblOffset val="100"/>
        <c:tickLblSkip val="1"/>
        <c:tickMarkSkip val="1"/>
      </c:catAx>
      <c:valAx>
        <c:axId val="20389107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03888896"/>
        <c:crosses val="autoZero"/>
        <c:crossBetween val="between"/>
      </c:valAx>
      <c:catAx>
        <c:axId val="203892608"/>
        <c:scaling>
          <c:orientation val="minMax"/>
        </c:scaling>
        <c:delete val="1"/>
        <c:axPos val="b"/>
        <c:tickLblPos val="none"/>
        <c:crossAx val="203894144"/>
        <c:crosses val="autoZero"/>
        <c:auto val="1"/>
        <c:lblAlgn val="ctr"/>
        <c:lblOffset val="100"/>
      </c:catAx>
      <c:valAx>
        <c:axId val="203894144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03892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396"/>
          <c:y val="0.17800296702042709"/>
          <c:w val="0.62565228874692558"/>
          <c:h val="4.979734310704793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mensual'!$B$6:$F$6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437"/>
          <c:h val="0.52764976958525345"/>
        </c:manualLayout>
      </c:layout>
      <c:lineChart>
        <c:grouping val="standard"/>
        <c:ser>
          <c:idx val="2"/>
          <c:order val="0"/>
          <c:tx>
            <c:strRef>
              <c:f>'[1]tabla dinámica IO men'!$B$97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IO men'!$A$514:$A$525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('[1]tabla dinámica IO men'!$B$105,'[1]tabla dinámica IO men'!$B$113,'[1]tabla dinámica IO men'!$B$121,'[1]tabla dinámica IO men'!$B$129,'[1]tabla dinámica IO men'!$B$137,'[1]tabla dinámica IO men'!$B$145,'[1]tabla dinámica IO men'!$B$153,'[1]tabla dinámica IO men'!$B$161,'[1]tabla dinámica IO men'!$B$169,'[1]tabla dinámica IO men'!$B$177,'[1]tabla dinámica IO men'!$B$185,'[1]tabla dinámica IO men'!$B$193)</c:f>
              <c:numCache>
                <c:formatCode>#,##0.00</c:formatCode>
                <c:ptCount val="12"/>
                <c:pt idx="0">
                  <c:v>41.49</c:v>
                </c:pt>
                <c:pt idx="1">
                  <c:v>58.68</c:v>
                </c:pt>
                <c:pt idx="2">
                  <c:v>53.79</c:v>
                </c:pt>
                <c:pt idx="3">
                  <c:v>47.18</c:v>
                </c:pt>
                <c:pt idx="4">
                  <c:v>42.41</c:v>
                </c:pt>
                <c:pt idx="5">
                  <c:v>44.6</c:v>
                </c:pt>
                <c:pt idx="6">
                  <c:v>44.65</c:v>
                </c:pt>
                <c:pt idx="7">
                  <c:v>40.409999999999997</c:v>
                </c:pt>
                <c:pt idx="8">
                  <c:v>48.3</c:v>
                </c:pt>
                <c:pt idx="9">
                  <c:v>49.77</c:v>
                </c:pt>
                <c:pt idx="10">
                  <c:v>58.06</c:v>
                </c:pt>
                <c:pt idx="11">
                  <c:v>56.16</c:v>
                </c:pt>
              </c:numCache>
            </c:numRef>
          </c:val>
        </c:ser>
        <c:ser>
          <c:idx val="4"/>
          <c:order val="1"/>
          <c:tx>
            <c:strRef>
              <c:f>'[1]tabla dinámica IO men'!$C$97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IO men'!$A$514:$A$525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('[1]tabla dinámica IO men'!$C$105,'[1]tabla dinámica IO men'!$C$113,'[1]tabla dinámica IO men'!$C$121,'[1]tabla dinámica IO men'!$C$129,'[1]tabla dinámica IO men'!$C$137,'[1]tabla dinámica IO men'!$C$145,'[1]tabla dinámica IO men'!$C$153,'[1]tabla dinámica IO men'!$C$161,'[1]tabla dinámica IO men'!$C$169,'[1]tabla dinámica IO men'!$C$177,'[1]tabla dinámica IO men'!$C$185,'[1]tabla dinámica IO men'!$C$193)</c:f>
              <c:numCache>
                <c:formatCode>#,##0.00</c:formatCode>
                <c:ptCount val="12"/>
                <c:pt idx="0">
                  <c:v>47.67</c:v>
                </c:pt>
                <c:pt idx="1">
                  <c:v>54.65</c:v>
                </c:pt>
                <c:pt idx="2">
                  <c:v>60.77</c:v>
                </c:pt>
                <c:pt idx="3">
                  <c:v>56.34</c:v>
                </c:pt>
                <c:pt idx="4">
                  <c:v>53.87</c:v>
                </c:pt>
                <c:pt idx="5">
                  <c:v>53.6</c:v>
                </c:pt>
                <c:pt idx="6">
                  <c:v>50.91</c:v>
                </c:pt>
                <c:pt idx="7">
                  <c:v>32.880000000000003</c:v>
                </c:pt>
                <c:pt idx="8">
                  <c:v>46.27</c:v>
                </c:pt>
                <c:pt idx="9">
                  <c:v>52.95</c:v>
                </c:pt>
                <c:pt idx="10">
                  <c:v>54.26</c:v>
                </c:pt>
                <c:pt idx="11">
                  <c:v>50.58</c:v>
                </c:pt>
              </c:numCache>
            </c:numRef>
          </c:val>
        </c:ser>
        <c:ser>
          <c:idx val="5"/>
          <c:order val="2"/>
          <c:tx>
            <c:strRef>
              <c:f>'[1]tabla dinámica IO men'!$D$97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IO men'!$A$514:$A$525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('[1]tabla dinámica IO men'!$D$105,'[1]tabla dinámica IO men'!$D$113,'[1]tabla dinámica IO men'!$D$121,'[1]tabla dinámica IO men'!$D$129,'[1]tabla dinámica IO men'!$D$137,'[1]tabla dinámica IO men'!$D$145,'[1]tabla dinámica IO men'!$D$153,'[1]tabla dinámica IO men'!$D$161,'[1]tabla dinámica IO men'!$D$169,'[1]tabla dinámica IO men'!$D$177,'[1]tabla dinámica IO men'!$D$185,'[1]tabla dinámica IO men'!$D$193)</c:f>
              <c:numCache>
                <c:formatCode>#,##0.00</c:formatCode>
                <c:ptCount val="12"/>
                <c:pt idx="0">
                  <c:v>49.78</c:v>
                </c:pt>
                <c:pt idx="1">
                  <c:v>60.05</c:v>
                </c:pt>
                <c:pt idx="2">
                  <c:v>55.63</c:v>
                </c:pt>
                <c:pt idx="3">
                  <c:v>50.48</c:v>
                </c:pt>
                <c:pt idx="4">
                  <c:v>54.87</c:v>
                </c:pt>
                <c:pt idx="5">
                  <c:v>46.79</c:v>
                </c:pt>
                <c:pt idx="6">
                  <c:v>48.89</c:v>
                </c:pt>
                <c:pt idx="7">
                  <c:v>36.9</c:v>
                </c:pt>
                <c:pt idx="8">
                  <c:v>40.82</c:v>
                </c:pt>
                <c:pt idx="9">
                  <c:v>49.88</c:v>
                </c:pt>
                <c:pt idx="10">
                  <c:v>50.74</c:v>
                </c:pt>
                <c:pt idx="11">
                  <c:v>44.16</c:v>
                </c:pt>
              </c:numCache>
            </c:numRef>
          </c:val>
        </c:ser>
        <c:ser>
          <c:idx val="6"/>
          <c:order val="3"/>
          <c:tx>
            <c:strRef>
              <c:f>'[1]tabla dinámica IO men'!$E$97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'[1]tabla dinámica IO men'!$A$514:$A$525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('[1]tabla dinámica IO men'!$E$105,'[1]tabla dinámica IO men'!$E$113,'[1]tabla dinámica IO men'!$E$121,'[1]tabla dinámica IO men'!$E$129,'[1]tabla dinámica IO men'!$E$137,'[1]tabla dinámica IO men'!$E$145,'[1]tabla dinámica IO men'!$E$153,'[1]tabla dinámica IO men'!$E$161,'[1]tabla dinámica IO men'!$E$169,'[1]tabla dinámica IO men'!$E$177,'[1]tabla dinámica IO men'!$E$185,'[1]tabla dinámica IO men'!$E$193)</c:f>
              <c:numCache>
                <c:formatCode>#,##0.00</c:formatCode>
                <c:ptCount val="12"/>
                <c:pt idx="0">
                  <c:v>42.03</c:v>
                </c:pt>
                <c:pt idx="1">
                  <c:v>55.42</c:v>
                </c:pt>
                <c:pt idx="2">
                  <c:v>46.73</c:v>
                </c:pt>
                <c:pt idx="3">
                  <c:v>39.299999999999997</c:v>
                </c:pt>
                <c:pt idx="4">
                  <c:v>38.42</c:v>
                </c:pt>
                <c:pt idx="5">
                  <c:v>37.010404319768206</c:v>
                </c:pt>
                <c:pt idx="6">
                  <c:v>35.119999999999997</c:v>
                </c:pt>
                <c:pt idx="7">
                  <c:v>27.55</c:v>
                </c:pt>
                <c:pt idx="8">
                  <c:v>34.43</c:v>
                </c:pt>
                <c:pt idx="9">
                  <c:v>37.320931670617334</c:v>
                </c:pt>
                <c:pt idx="10">
                  <c:v>36.879659211927581</c:v>
                </c:pt>
                <c:pt idx="11">
                  <c:v>46.475316912295163</c:v>
                </c:pt>
              </c:numCache>
            </c:numRef>
          </c:val>
        </c:ser>
        <c:ser>
          <c:idx val="7"/>
          <c:order val="4"/>
          <c:tx>
            <c:strRef>
              <c:f>'[1]tabla dinámica IO men'!$F$97</c:f>
              <c:strCache>
                <c:ptCount val="1"/>
                <c:pt idx="0">
                  <c:v>2010</c:v>
                </c:pt>
              </c:strCache>
            </c:strRef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'[1]tabla dinámica IO men'!$A$514:$A$525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('[1]tabla dinámica IO men'!$F$105,'[1]tabla dinámica IO men'!$F$113,'[1]tabla dinámica IO men'!$F$121,'[1]tabla dinámica IO men'!$F$129,'[1]tabla dinámica IO men'!$F$137,'[1]tabla dinámica IO men'!$F$145,'[1]tabla dinámica IO men'!$F$153,'[1]tabla dinámica IO men'!$F$161,'[1]tabla dinámica IO men'!$F$169,'[1]tabla dinámica IO men'!$F$177,'[1]tabla dinámica IO men'!$F$185,'[1]tabla dinámica IO men'!$F$192)</c:f>
              <c:numCache>
                <c:formatCode>#,##0.00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</c:numCache>
            </c:numRef>
          </c:val>
        </c:ser>
        <c:dLbls>
          <c:showVal val="1"/>
        </c:dLbls>
        <c:marker val="1"/>
        <c:axId val="204483584"/>
        <c:axId val="204486144"/>
      </c:lineChart>
      <c:catAx>
        <c:axId val="2044835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486144"/>
        <c:crosses val="autoZero"/>
        <c:auto val="1"/>
        <c:lblAlgn val="ctr"/>
        <c:lblOffset val="100"/>
        <c:tickLblSkip val="1"/>
        <c:tickMarkSkip val="1"/>
      </c:catAx>
      <c:valAx>
        <c:axId val="204486144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48358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445E-2"/>
          <c:y val="0.14589880409231318"/>
          <c:w val="0.89999991601050777"/>
          <c:h val="4.966129042004888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'!$D$7</c:f>
          <c:strCache>
            <c:ptCount val="1"/>
            <c:pt idx="0">
              <c:v>acumulado julio 2010 </c:v>
            </c:pt>
          </c:strCache>
        </c:strRef>
      </c:tx>
      <c:layout>
        <c:manualLayout>
          <c:xMode val="edge"/>
          <c:yMode val="edge"/>
          <c:x val="0.38874674986999547"/>
          <c:y val="0.14669932545076841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24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'!$D$7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'!$D$9:$D$11,'EM zonas y tipología '!$D$13:$D$15)</c:f>
              <c:numCache>
                <c:formatCode>#,##0.00_)</c:formatCode>
                <c:ptCount val="6"/>
                <c:pt idx="0">
                  <c:v>7.4230055531193955</c:v>
                </c:pt>
                <c:pt idx="1">
                  <c:v>6.9716091279916652</c:v>
                </c:pt>
                <c:pt idx="2">
                  <c:v>8.1188801550950274</c:v>
                </c:pt>
                <c:pt idx="3">
                  <c:v>2.0865799000172385</c:v>
                </c:pt>
                <c:pt idx="4">
                  <c:v>2.0865799000172385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205522816"/>
        <c:axId val="205524992"/>
      </c:barChart>
      <c:catAx>
        <c:axId val="2055228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833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5524992"/>
        <c:crosses val="autoZero"/>
        <c:auto val="1"/>
        <c:lblAlgn val="ctr"/>
        <c:lblOffset val="100"/>
        <c:tickLblSkip val="1"/>
        <c:tickMarkSkip val="1"/>
      </c:catAx>
      <c:valAx>
        <c:axId val="205524992"/>
        <c:scaling>
          <c:orientation val="minMax"/>
        </c:scaling>
        <c:delete val="1"/>
        <c:axPos val="l"/>
        <c:numFmt formatCode="#,##0.00_)" sourceLinked="1"/>
        <c:tickLblPos val="none"/>
        <c:crossAx val="20552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categoría'!$B$6:$E$6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0187446004986055"/>
          <c:y val="4.5112990050233491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3131644133235669"/>
          <c:w val="0.90886793539522259"/>
          <c:h val="0.4101468247927708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categoría'!$C$7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categoría'!$B$11:$B$15,'EM tipología y categoría'!$B$17)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categoría'!$C$9,'EM tipología y categoría'!$C$11:$C$15,'EM tipología y categoría'!$C$17)</c:f>
              <c:numCache>
                <c:formatCode>#,##0.00_)</c:formatCode>
                <c:ptCount val="7"/>
                <c:pt idx="0">
                  <c:v>2.3460685441687241</c:v>
                </c:pt>
                <c:pt idx="1">
                  <c:v>2.3460685441687241</c:v>
                </c:pt>
                <c:pt idx="2">
                  <c:v>2.2300482640510664</c:v>
                </c:pt>
                <c:pt idx="3">
                  <c:v>2.1653896961690884</c:v>
                </c:pt>
                <c:pt idx="4">
                  <c:v>2.5075981777674325</c:v>
                </c:pt>
                <c:pt idx="5">
                  <c:v>2.8754525706010137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categoría'!$D$7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categoría'!$B$11:$B$15,'EM tipología y categoría'!$B$17)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categoría'!$D$9,'EM tipología y categoría'!$D$11:$D$15,'EM tipología y categoría'!$D$17)</c:f>
              <c:numCache>
                <c:formatCode>#,##0.00_)</c:formatCode>
                <c:ptCount val="7"/>
                <c:pt idx="0">
                  <c:v>2.0865799000172385</c:v>
                </c:pt>
                <c:pt idx="1">
                  <c:v>2.0865799000172385</c:v>
                </c:pt>
                <c:pt idx="2">
                  <c:v>1.8100312448610425</c:v>
                </c:pt>
                <c:pt idx="3">
                  <c:v>2.1225036179450072</c:v>
                </c:pt>
                <c:pt idx="4">
                  <c:v>2.071387855011233</c:v>
                </c:pt>
                <c:pt idx="5">
                  <c:v>3.6768391269199676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06018816"/>
        <c:axId val="206037376"/>
      </c:barChart>
      <c:lineChart>
        <c:grouping val="standard"/>
        <c:ser>
          <c:idx val="1"/>
          <c:order val="2"/>
          <c:tx>
            <c:strRef>
              <c:f>'EM tipología y categoría'!$E$7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503E-2"/>
                  <c:y val="-0.296912112699445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98559310180294E-2"/>
                  <c:y val="-0.2989383225163637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3357566112671774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8830416574047E-2"/>
                  <c:y val="-0.2252710238988140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5241116020382E-2"/>
                  <c:y val="-0.3563109751878568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6009017681567321E-2"/>
                  <c:y val="-0.1546628288335662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038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5E-2"/>
                  <c:y val="-0.3033856883882515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categoría'!$E$9,'EM tipología y categoría'!$E$11:$E$15,'EM tipología y categoría'!$E$17)</c:f>
              <c:numCache>
                <c:formatCode>#,##0.00_)</c:formatCode>
                <c:ptCount val="7"/>
                <c:pt idx="0">
                  <c:v>-0.25948864415148565</c:v>
                </c:pt>
                <c:pt idx="1">
                  <c:v>-0.25948864415148565</c:v>
                </c:pt>
                <c:pt idx="2">
                  <c:v>-0.42001701919002388</c:v>
                </c:pt>
                <c:pt idx="3">
                  <c:v>-4.2886078224081192E-2</c:v>
                </c:pt>
                <c:pt idx="4">
                  <c:v>-0.43621032275619953</c:v>
                </c:pt>
                <c:pt idx="5">
                  <c:v>0.80138655631895395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06038912"/>
        <c:axId val="206040448"/>
      </c:lineChart>
      <c:catAx>
        <c:axId val="2060188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169E-3"/>
              <c:y val="0.9582556665905064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6037376"/>
        <c:crosses val="autoZero"/>
        <c:auto val="1"/>
        <c:lblAlgn val="ctr"/>
        <c:lblOffset val="100"/>
        <c:tickLblSkip val="1"/>
        <c:tickMarkSkip val="1"/>
      </c:catAx>
      <c:valAx>
        <c:axId val="20603737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06018816"/>
        <c:crosses val="autoZero"/>
        <c:crossBetween val="between"/>
      </c:valAx>
      <c:catAx>
        <c:axId val="206038912"/>
        <c:scaling>
          <c:orientation val="minMax"/>
        </c:scaling>
        <c:delete val="1"/>
        <c:axPos val="b"/>
        <c:tickLblPos val="none"/>
        <c:crossAx val="206040448"/>
        <c:crosses val="autoZero"/>
        <c:auto val="1"/>
        <c:lblAlgn val="ctr"/>
        <c:lblOffset val="100"/>
      </c:catAx>
      <c:valAx>
        <c:axId val="20604044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06038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7412024123945"/>
          <c:y val="0.16851002587769701"/>
          <c:w val="0.60468804252134045"/>
          <c:h val="8.048781501256921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mensual'!$B$6:$F$6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4671163575042651"/>
          <c:y val="2.518891687657495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384"/>
          <c:h val="0.48866558842882707"/>
        </c:manualLayout>
      </c:layout>
      <c:lineChart>
        <c:grouping val="standard"/>
        <c:ser>
          <c:idx val="2"/>
          <c:order val="0"/>
          <c:tx>
            <c:strRef>
              <c:f>'[1]tabla dinámica EM'!$B$59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EM'!$A$349:$A$360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EM'!$B$139:$B$150</c:f>
              <c:numCache>
                <c:formatCode>#,##0</c:formatCode>
                <c:ptCount val="12"/>
                <c:pt idx="0">
                  <c:v>2.37</c:v>
                </c:pt>
                <c:pt idx="1">
                  <c:v>2.75</c:v>
                </c:pt>
                <c:pt idx="2">
                  <c:v>2.52</c:v>
                </c:pt>
                <c:pt idx="3">
                  <c:v>2.69</c:v>
                </c:pt>
                <c:pt idx="4">
                  <c:v>2.34</c:v>
                </c:pt>
                <c:pt idx="5">
                  <c:v>2.23</c:v>
                </c:pt>
                <c:pt idx="6">
                  <c:v>2.4700000000000002</c:v>
                </c:pt>
                <c:pt idx="7">
                  <c:v>2.93</c:v>
                </c:pt>
                <c:pt idx="8">
                  <c:v>2.65</c:v>
                </c:pt>
                <c:pt idx="9">
                  <c:v>2.58</c:v>
                </c:pt>
                <c:pt idx="10">
                  <c:v>2.5299999999999998</c:v>
                </c:pt>
                <c:pt idx="11">
                  <c:v>2.72</c:v>
                </c:pt>
              </c:numCache>
            </c:numRef>
          </c:val>
        </c:ser>
        <c:ser>
          <c:idx val="4"/>
          <c:order val="1"/>
          <c:tx>
            <c:strRef>
              <c:f>'[1]tabla dinámica EM'!$C$59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EM'!$A$349:$A$360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EM'!$C$139:$C$150</c:f>
              <c:numCache>
                <c:formatCode>#,##0</c:formatCode>
                <c:ptCount val="12"/>
                <c:pt idx="0">
                  <c:v>2.68</c:v>
                </c:pt>
                <c:pt idx="1">
                  <c:v>2.64</c:v>
                </c:pt>
                <c:pt idx="2">
                  <c:v>2.61</c:v>
                </c:pt>
                <c:pt idx="3">
                  <c:v>2.87</c:v>
                </c:pt>
                <c:pt idx="4">
                  <c:v>2.98</c:v>
                </c:pt>
                <c:pt idx="5">
                  <c:v>3.21</c:v>
                </c:pt>
                <c:pt idx="6">
                  <c:v>2.92</c:v>
                </c:pt>
                <c:pt idx="7">
                  <c:v>2.72</c:v>
                </c:pt>
                <c:pt idx="8">
                  <c:v>2.62</c:v>
                </c:pt>
                <c:pt idx="9">
                  <c:v>2.52</c:v>
                </c:pt>
                <c:pt idx="10">
                  <c:v>2.29</c:v>
                </c:pt>
                <c:pt idx="11">
                  <c:v>2.4700000000000002</c:v>
                </c:pt>
              </c:numCache>
            </c:numRef>
          </c:val>
        </c:ser>
        <c:ser>
          <c:idx val="5"/>
          <c:order val="2"/>
          <c:tx>
            <c:strRef>
              <c:f>'[1]tabla dinámica EM'!$D$59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EM'!$A$349:$A$360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EM'!$D$139:$D$150</c:f>
              <c:numCache>
                <c:formatCode>#,##0</c:formatCode>
                <c:ptCount val="12"/>
                <c:pt idx="0">
                  <c:v>2.5335060652455543</c:v>
                </c:pt>
                <c:pt idx="1">
                  <c:v>2.5099999999999998</c:v>
                </c:pt>
                <c:pt idx="2">
                  <c:v>2.9</c:v>
                </c:pt>
                <c:pt idx="3">
                  <c:v>2.4</c:v>
                </c:pt>
                <c:pt idx="4">
                  <c:v>2.72</c:v>
                </c:pt>
                <c:pt idx="5">
                  <c:v>2.5299999999999998</c:v>
                </c:pt>
                <c:pt idx="6">
                  <c:v>2.59</c:v>
                </c:pt>
                <c:pt idx="7">
                  <c:v>2.59</c:v>
                </c:pt>
                <c:pt idx="8">
                  <c:v>2.2599999999999998</c:v>
                </c:pt>
                <c:pt idx="9">
                  <c:v>2.2999999999999998</c:v>
                </c:pt>
                <c:pt idx="10">
                  <c:v>2.38</c:v>
                </c:pt>
                <c:pt idx="11">
                  <c:v>2.37</c:v>
                </c:pt>
              </c:numCache>
            </c:numRef>
          </c:val>
        </c:ser>
        <c:ser>
          <c:idx val="6"/>
          <c:order val="3"/>
          <c:tx>
            <c:strRef>
              <c:f>'[1]tabla dinámica EM'!$E$59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'[1]tabla dinámica EM'!$A$349:$A$360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EM'!$E$139:$E$150</c:f>
              <c:numCache>
                <c:formatCode>#,##0</c:formatCode>
                <c:ptCount val="12"/>
                <c:pt idx="0">
                  <c:v>2.4300000000000002</c:v>
                </c:pt>
                <c:pt idx="1">
                  <c:v>2.59</c:v>
                </c:pt>
                <c:pt idx="2">
                  <c:v>2.34</c:v>
                </c:pt>
                <c:pt idx="3">
                  <c:v>2.2799999999999998</c:v>
                </c:pt>
                <c:pt idx="4">
                  <c:v>2.2400000000000002</c:v>
                </c:pt>
                <c:pt idx="5">
                  <c:v>2.2040784313725492</c:v>
                </c:pt>
                <c:pt idx="6">
                  <c:v>2.29</c:v>
                </c:pt>
                <c:pt idx="7">
                  <c:v>2.75</c:v>
                </c:pt>
                <c:pt idx="8">
                  <c:v>2.33</c:v>
                </c:pt>
                <c:pt idx="9">
                  <c:v>2.2616909985166678</c:v>
                </c:pt>
                <c:pt idx="10">
                  <c:v>1.9802716225875625</c:v>
                </c:pt>
                <c:pt idx="11">
                  <c:v>2.7568393703194252</c:v>
                </c:pt>
              </c:numCache>
            </c:numRef>
          </c:val>
        </c:ser>
        <c:ser>
          <c:idx val="7"/>
          <c:order val="4"/>
          <c:tx>
            <c:strRef>
              <c:f>'[1]tabla dinámica EM'!$F$59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Ref>
              <c:f>'[1]tabla dinámica EM'!$A$349:$A$360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EM'!$F$139:$F$150</c:f>
              <c:numCache>
                <c:formatCode>#,##0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</c:numCache>
            </c:numRef>
          </c:val>
        </c:ser>
        <c:dLbls>
          <c:showVal val="1"/>
        </c:dLbls>
        <c:marker val="1"/>
        <c:axId val="206588928"/>
        <c:axId val="206595584"/>
      </c:lineChart>
      <c:catAx>
        <c:axId val="206588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29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6595584"/>
        <c:crosses val="autoZero"/>
        <c:auto val="1"/>
        <c:lblAlgn val="ctr"/>
        <c:lblOffset val="100"/>
        <c:tickLblSkip val="1"/>
        <c:tickMarkSkip val="1"/>
      </c:catAx>
      <c:valAx>
        <c:axId val="206595584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65889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7127599775154593E-2"/>
          <c:y val="0.15530941182687794"/>
          <c:w val="0.89999991147819169"/>
          <c:h val="5.428578977963330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642E-2"/>
          <c:y val="0.20975609756097946"/>
          <c:w val="0.93458086086700187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'Alojados por municipio'!$E$7</c:f>
              <c:strCache>
                <c:ptCount val="1"/>
                <c:pt idx="0">
                  <c:v>I semestre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('Alojados por municipio'!$E$9:$E$11,'Alojados por municipio'!$E$13:$E$15,'Alojados por municipio'!$E$17:$E$19,'Alojados por municipio'!$E$21:$E$23,'Alojados por municipio'!$E$25:$E$27)</c:f>
              <c:numCache>
                <c:formatCode>#,##0_)</c:formatCode>
                <c:ptCount val="15"/>
                <c:pt idx="0">
                  <c:v>2766193</c:v>
                </c:pt>
                <c:pt idx="1">
                  <c:v>1677828</c:v>
                </c:pt>
                <c:pt idx="2">
                  <c:v>1088365</c:v>
                </c:pt>
                <c:pt idx="3">
                  <c:v>978683</c:v>
                </c:pt>
                <c:pt idx="4">
                  <c:v>644123</c:v>
                </c:pt>
                <c:pt idx="5">
                  <c:v>334560</c:v>
                </c:pt>
                <c:pt idx="6">
                  <c:v>818429</c:v>
                </c:pt>
                <c:pt idx="7">
                  <c:v>372354</c:v>
                </c:pt>
                <c:pt idx="8">
                  <c:v>446075</c:v>
                </c:pt>
                <c:pt idx="9">
                  <c:v>415019</c:v>
                </c:pt>
                <c:pt idx="10">
                  <c:v>284310</c:v>
                </c:pt>
                <c:pt idx="11">
                  <c:v>130709</c:v>
                </c:pt>
                <c:pt idx="12">
                  <c:v>92816</c:v>
                </c:pt>
                <c:pt idx="13">
                  <c:v>92816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207328384"/>
        <c:axId val="207330304"/>
      </c:barChart>
      <c:catAx>
        <c:axId val="2073283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11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7330304"/>
        <c:crosses val="autoZero"/>
        <c:auto val="1"/>
        <c:lblAlgn val="ctr"/>
        <c:lblOffset val="100"/>
        <c:tickLblSkip val="1"/>
        <c:tickMarkSkip val="1"/>
      </c:catAx>
      <c:valAx>
        <c:axId val="207330304"/>
        <c:scaling>
          <c:orientation val="minMax"/>
        </c:scaling>
        <c:delete val="1"/>
        <c:axPos val="l"/>
        <c:numFmt formatCode="#,##0_)" sourceLinked="1"/>
        <c:tickLblPos val="none"/>
        <c:crossAx val="207328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categoría'!$B$7:$G$7</c:f>
          <c:strCache>
            <c:ptCount val="1"/>
            <c:pt idx="0">
              <c:v>TURISMO ALOJADO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7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categoría'!$C$8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categoría'!$C$10,'Alojados tipología y categoría'!$C$12:$C$16,'Alojados tipología y categoría'!$C$18)</c:f>
              <c:numCache>
                <c:formatCode>#,##0_)</c:formatCode>
                <c:ptCount val="7"/>
                <c:pt idx="0">
                  <c:v>945838</c:v>
                </c:pt>
                <c:pt idx="1">
                  <c:v>605398</c:v>
                </c:pt>
                <c:pt idx="2">
                  <c:v>82765</c:v>
                </c:pt>
                <c:pt idx="3">
                  <c:v>401480</c:v>
                </c:pt>
                <c:pt idx="4">
                  <c:v>111484</c:v>
                </c:pt>
                <c:pt idx="5">
                  <c:v>9669</c:v>
                </c:pt>
                <c:pt idx="6">
                  <c:v>340440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categoría'!$E$8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categoría'!$E$10,'Alojados tipología y categoría'!$E$12:$E$16,'Alojados tipología y categoría'!$E$18)</c:f>
              <c:numCache>
                <c:formatCode>#,##0_)</c:formatCode>
                <c:ptCount val="7"/>
                <c:pt idx="0">
                  <c:v>978683</c:v>
                </c:pt>
                <c:pt idx="1">
                  <c:v>644123</c:v>
                </c:pt>
                <c:pt idx="2">
                  <c:v>92816</c:v>
                </c:pt>
                <c:pt idx="3">
                  <c:v>441530</c:v>
                </c:pt>
                <c:pt idx="4">
                  <c:v>99829</c:v>
                </c:pt>
                <c:pt idx="5">
                  <c:v>9948</c:v>
                </c:pt>
                <c:pt idx="6">
                  <c:v>334560</c:v>
                </c:pt>
              </c:numCache>
            </c:numRef>
          </c:val>
        </c:ser>
        <c:dLbls>
          <c:showVal val="1"/>
        </c:dLbls>
        <c:gapWidth val="30"/>
        <c:overlap val="-10"/>
        <c:axId val="208258176"/>
        <c:axId val="208260096"/>
      </c:barChart>
      <c:lineChart>
        <c:grouping val="standard"/>
        <c:ser>
          <c:idx val="1"/>
          <c:order val="2"/>
          <c:tx>
            <c:strRef>
              <c:f>'Alojados tipología y categoría'!$G$8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29597753756E-2"/>
                  <c:y val="-0.3934400065276824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72699051968E-2"/>
                  <c:y val="-0.1940891844477994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59479417404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802521777795E-2"/>
                  <c:y val="-4.202358124923524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776E-2"/>
                  <c:y val="-0.2393400514054921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498269111724E-2"/>
                  <c:y val="5.647097221655579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categoría'!$G$10,'Alojados tipología y categoría'!$G$12:$G$16,'Alojados tipología y categoría'!$G$18)</c:f>
              <c:numCache>
                <c:formatCode>0.0%</c:formatCode>
                <c:ptCount val="7"/>
                <c:pt idx="0">
                  <c:v>3.472581985498574E-2</c:v>
                </c:pt>
                <c:pt idx="1">
                  <c:v>6.3966184229217807E-2</c:v>
                </c:pt>
                <c:pt idx="2">
                  <c:v>0.12144022231619646</c:v>
                </c:pt>
                <c:pt idx="3">
                  <c:v>9.9755903158314244E-2</c:v>
                </c:pt>
                <c:pt idx="4">
                  <c:v>-0.10454414983315992</c:v>
                </c:pt>
                <c:pt idx="5">
                  <c:v>2.8855103940428173E-2</c:v>
                </c:pt>
                <c:pt idx="6">
                  <c:v>-1.7271765949947126E-2</c:v>
                </c:pt>
              </c:numCache>
            </c:numRef>
          </c:val>
        </c:ser>
        <c:dLbls>
          <c:showVal val="1"/>
        </c:dLbls>
        <c:marker val="1"/>
        <c:axId val="208270080"/>
        <c:axId val="208271616"/>
      </c:lineChart>
      <c:catAx>
        <c:axId val="2082581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260096"/>
        <c:crosses val="autoZero"/>
        <c:auto val="1"/>
        <c:lblAlgn val="ctr"/>
        <c:lblOffset val="100"/>
        <c:tickLblSkip val="1"/>
        <c:tickMarkSkip val="1"/>
      </c:catAx>
      <c:valAx>
        <c:axId val="2082600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08258176"/>
        <c:crosses val="autoZero"/>
        <c:crossBetween val="between"/>
      </c:valAx>
      <c:catAx>
        <c:axId val="208270080"/>
        <c:scaling>
          <c:orientation val="minMax"/>
        </c:scaling>
        <c:delete val="1"/>
        <c:axPos val="b"/>
        <c:tickLblPos val="none"/>
        <c:crossAx val="208271616"/>
        <c:crosses val="autoZero"/>
        <c:auto val="1"/>
        <c:lblAlgn val="ctr"/>
        <c:lblOffset val="100"/>
      </c:catAx>
      <c:valAx>
        <c:axId val="2082716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08270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25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categoría'!$I$7:$N$7</c:f>
          <c:strCache>
            <c:ptCount val="1"/>
            <c:pt idx="0">
              <c:v>TURISMO ALOJADO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9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categoría'!$J$8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categoría'!$J$10,'Alojados tipología y categoría'!$J$12:$J$16,'Alojados tipología y categoría'!$J$18)</c:f>
              <c:numCache>
                <c:formatCode>#,##0_)</c:formatCode>
                <c:ptCount val="7"/>
                <c:pt idx="0">
                  <c:v>808683</c:v>
                </c:pt>
                <c:pt idx="1">
                  <c:v>343639</c:v>
                </c:pt>
                <c:pt idx="2">
                  <c:v>40667</c:v>
                </c:pt>
                <c:pt idx="3">
                  <c:v>191184</c:v>
                </c:pt>
                <c:pt idx="4">
                  <c:v>103848</c:v>
                </c:pt>
                <c:pt idx="5">
                  <c:v>7940</c:v>
                </c:pt>
                <c:pt idx="6">
                  <c:v>465044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categoría'!$L$8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categoría'!$L$10,'Alojados tipología y categoría'!$L$12:$L$16,'Alojados tipología y categoría'!$L$18)</c:f>
              <c:numCache>
                <c:formatCode>#,##0_)</c:formatCode>
                <c:ptCount val="7"/>
                <c:pt idx="0">
                  <c:v>818429</c:v>
                </c:pt>
                <c:pt idx="1">
                  <c:v>372354</c:v>
                </c:pt>
                <c:pt idx="2">
                  <c:v>43716</c:v>
                </c:pt>
                <c:pt idx="3">
                  <c:v>215077</c:v>
                </c:pt>
                <c:pt idx="4">
                  <c:v>105461</c:v>
                </c:pt>
                <c:pt idx="5">
                  <c:v>8100</c:v>
                </c:pt>
                <c:pt idx="6">
                  <c:v>446075</c:v>
                </c:pt>
              </c:numCache>
            </c:numRef>
          </c:val>
        </c:ser>
        <c:dLbls>
          <c:showVal val="1"/>
        </c:dLbls>
        <c:gapWidth val="30"/>
        <c:overlap val="-10"/>
        <c:axId val="208357248"/>
        <c:axId val="208379904"/>
      </c:barChart>
      <c:lineChart>
        <c:grouping val="standard"/>
        <c:ser>
          <c:idx val="1"/>
          <c:order val="2"/>
          <c:tx>
            <c:strRef>
              <c:f>'Alojados tipología y categoría'!$N$8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765999312456014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9.4296986265490268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5.527198913025685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0054917282739192E-2"/>
                  <c:y val="8.687445774059952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323E-2"/>
                  <c:y val="-0.110441828867025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522E-2"/>
                  <c:y val="-1.837313994794312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778E-2"/>
                  <c:y val="-0.4286673105570743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categoría'!$N$10,'Alojados tipología y categoría'!$N$12:$N$16,'Alojados tipología y categoría'!$N$18)</c:f>
              <c:numCache>
                <c:formatCode>0.0%</c:formatCode>
                <c:ptCount val="7"/>
                <c:pt idx="0">
                  <c:v>1.2051693927039395E-2</c:v>
                </c:pt>
                <c:pt idx="1">
                  <c:v>8.3561528231661714E-2</c:v>
                </c:pt>
                <c:pt idx="2">
                  <c:v>7.4974795288563212E-2</c:v>
                </c:pt>
                <c:pt idx="3">
                  <c:v>0.12497384718386476</c:v>
                </c:pt>
                <c:pt idx="4">
                  <c:v>1.5532316462522148E-2</c:v>
                </c:pt>
                <c:pt idx="5">
                  <c:v>2.0151133501259445E-2</c:v>
                </c:pt>
                <c:pt idx="6">
                  <c:v>-4.0789688717626719E-2</c:v>
                </c:pt>
              </c:numCache>
            </c:numRef>
          </c:val>
        </c:ser>
        <c:dLbls>
          <c:showVal val="1"/>
        </c:dLbls>
        <c:marker val="1"/>
        <c:axId val="208381440"/>
        <c:axId val="208382976"/>
      </c:lineChart>
      <c:catAx>
        <c:axId val="2083572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4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379904"/>
        <c:crosses val="autoZero"/>
        <c:auto val="1"/>
        <c:lblAlgn val="ctr"/>
        <c:lblOffset val="100"/>
        <c:tickLblSkip val="1"/>
        <c:tickMarkSkip val="1"/>
      </c:catAx>
      <c:valAx>
        <c:axId val="2083799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08357248"/>
        <c:crosses val="autoZero"/>
        <c:crossBetween val="between"/>
      </c:valAx>
      <c:catAx>
        <c:axId val="208381440"/>
        <c:scaling>
          <c:orientation val="minMax"/>
        </c:scaling>
        <c:delete val="1"/>
        <c:axPos val="b"/>
        <c:tickLblPos val="none"/>
        <c:crossAx val="208382976"/>
        <c:crosses val="autoZero"/>
        <c:auto val="1"/>
        <c:lblAlgn val="ctr"/>
        <c:lblOffset val="100"/>
      </c:catAx>
      <c:valAx>
        <c:axId val="2083829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08381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4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categoría'!$B$21:$G$21</c:f>
          <c:strCache>
            <c:ptCount val="1"/>
            <c:pt idx="0">
              <c:v>TURISMO ALOJADO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9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categoría'!$C$22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categoría'!$B$26,'Alojados tipología y categoría'!$B$27,'Alojados tipología y categoría'!$B$28,'Alojados tipología y categoría'!$B$29,'Alojados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categoría'!$C$24,'Alojados tipología y categoría'!$C$26:$C$29,'Alojados tipología y categoría'!$C$31)</c:f>
              <c:numCache>
                <c:formatCode>#,##0_)</c:formatCode>
                <c:ptCount val="6"/>
                <c:pt idx="0">
                  <c:v>443574</c:v>
                </c:pt>
                <c:pt idx="1">
                  <c:v>292166</c:v>
                </c:pt>
                <c:pt idx="2">
                  <c:v>235840</c:v>
                </c:pt>
                <c:pt idx="3">
                  <c:v>50916</c:v>
                </c:pt>
                <c:pt idx="4">
                  <c:v>5410</c:v>
                </c:pt>
                <c:pt idx="5">
                  <c:v>151408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categoría'!$E$22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categoría'!$B$26,'Alojados tipología y categoría'!$B$27,'Alojados tipología y categoría'!$B$28,'Alojados tipología y categoría'!$B$29,'Alojados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categoría'!$E$24,'Alojados tipología y categoría'!$E$26:$E$29,'Alojados tipología y categoría'!$E$31)</c:f>
              <c:numCache>
                <c:formatCode>#,##0_)</c:formatCode>
                <c:ptCount val="6"/>
                <c:pt idx="0">
                  <c:v>415019</c:v>
                </c:pt>
                <c:pt idx="1">
                  <c:v>284310</c:v>
                </c:pt>
                <c:pt idx="2">
                  <c:v>235506</c:v>
                </c:pt>
                <c:pt idx="3">
                  <c:v>43093</c:v>
                </c:pt>
                <c:pt idx="4">
                  <c:v>5711</c:v>
                </c:pt>
                <c:pt idx="5">
                  <c:v>130709</c:v>
                </c:pt>
              </c:numCache>
            </c:numRef>
          </c:val>
        </c:ser>
        <c:dLbls>
          <c:showVal val="1"/>
        </c:dLbls>
        <c:gapWidth val="30"/>
        <c:overlap val="-10"/>
        <c:axId val="208463360"/>
        <c:axId val="208465280"/>
      </c:barChart>
      <c:lineChart>
        <c:grouping val="standard"/>
        <c:ser>
          <c:idx val="1"/>
          <c:order val="2"/>
          <c:tx>
            <c:strRef>
              <c:f>'Alojados tipología y categoría'!$G$22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29597753756E-2"/>
                  <c:y val="-0.393440006527682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72699051947E-2"/>
                  <c:y val="-0.194089184447799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055095191565743E-2"/>
                  <c:y val="-5.2836118977851378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865535405580412E-2"/>
                  <c:y val="-0.2083438374776964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76435906966103E-2"/>
                  <c:y val="6.0036341611144822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272754228846E-2"/>
                  <c:y val="-0.2928014143762178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categoría'!$B$24,'Alojados tipología y categoría'!$B$26:$B$29,'Alojados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categoría'!$G$24,'Alojados tipología y categoría'!$G$26:$G$29,'Alojados tipología y categoría'!$G$31)</c:f>
              <c:numCache>
                <c:formatCode>0.0%</c:formatCode>
                <c:ptCount val="6"/>
                <c:pt idx="0">
                  <c:v>-6.4374828100835488E-2</c:v>
                </c:pt>
                <c:pt idx="1">
                  <c:v>-2.6888823477064408E-2</c:v>
                </c:pt>
                <c:pt idx="2">
                  <c:v>-1.4162143826322931E-3</c:v>
                </c:pt>
                <c:pt idx="3">
                  <c:v>-0.15364521957734306</c:v>
                </c:pt>
                <c:pt idx="4">
                  <c:v>5.5637707948243992E-2</c:v>
                </c:pt>
                <c:pt idx="5">
                  <c:v>-0.13671008136954454</c:v>
                </c:pt>
              </c:numCache>
            </c:numRef>
          </c:val>
        </c:ser>
        <c:dLbls>
          <c:showVal val="1"/>
        </c:dLbls>
        <c:marker val="1"/>
        <c:axId val="208483456"/>
        <c:axId val="208484992"/>
      </c:lineChart>
      <c:catAx>
        <c:axId val="2084633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4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465280"/>
        <c:crosses val="autoZero"/>
        <c:auto val="1"/>
        <c:lblAlgn val="ctr"/>
        <c:lblOffset val="100"/>
        <c:tickLblSkip val="1"/>
        <c:tickMarkSkip val="1"/>
      </c:catAx>
      <c:valAx>
        <c:axId val="2084652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08463360"/>
        <c:crosses val="autoZero"/>
        <c:crossBetween val="between"/>
      </c:valAx>
      <c:catAx>
        <c:axId val="208483456"/>
        <c:scaling>
          <c:orientation val="minMax"/>
        </c:scaling>
        <c:delete val="1"/>
        <c:axPos val="b"/>
        <c:tickLblPos val="none"/>
        <c:crossAx val="208484992"/>
        <c:crosses val="autoZero"/>
        <c:auto val="1"/>
        <c:lblAlgn val="ctr"/>
        <c:lblOffset val="100"/>
      </c:catAx>
      <c:valAx>
        <c:axId val="2084849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0848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4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categoría'!$I$21:$N$21</c:f>
          <c:strCache>
            <c:ptCount val="1"/>
            <c:pt idx="0">
              <c:v>TURISMO ALOJADO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4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52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categoría'!$J$22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categoría'!$I$26,'Alojados tipología y categoría'!$I$27,'Alojados tipología y categoría'!$I$28,'Alojados tipología y categoría'!$I$29,'Alojados tipología y categoría'!$I$30,'Alojados tipología y categoría'!$I$32)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categoría'!$J$24,'Alojados tipología y categoría'!$J$26:$J$30,'Alojados tipología y categoría'!$J$32)</c:f>
              <c:numCache>
                <c:formatCode>#,##0_)</c:formatCode>
                <c:ptCount val="7"/>
                <c:pt idx="0">
                  <c:v>95588</c:v>
                </c:pt>
                <c:pt idx="1">
                  <c:v>95588</c:v>
                </c:pt>
                <c:pt idx="2">
                  <c:v>32115</c:v>
                </c:pt>
                <c:pt idx="3">
                  <c:v>26495</c:v>
                </c:pt>
                <c:pt idx="4">
                  <c:v>30073</c:v>
                </c:pt>
                <c:pt idx="5">
                  <c:v>6905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categoría'!$L$22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categoría'!$I$26,'Alojados tipología y categoría'!$I$27,'Alojados tipología y categoría'!$I$28,'Alojados tipología y categoría'!$I$29,'Alojados tipología y categoría'!$I$30,'Alojados tipología y categoría'!$I$32)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categoría'!$L$24,'Alojados tipología y categoría'!$L$26:$L$30,'Alojados tipología y categoría'!$L$32)</c:f>
              <c:numCache>
                <c:formatCode>#,##0_)</c:formatCode>
                <c:ptCount val="7"/>
                <c:pt idx="0">
                  <c:v>92816</c:v>
                </c:pt>
                <c:pt idx="1">
                  <c:v>92816</c:v>
                </c:pt>
                <c:pt idx="2">
                  <c:v>30405</c:v>
                </c:pt>
                <c:pt idx="3">
                  <c:v>27640</c:v>
                </c:pt>
                <c:pt idx="4">
                  <c:v>29823</c:v>
                </c:pt>
                <c:pt idx="5">
                  <c:v>4948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08565376"/>
        <c:axId val="208567296"/>
      </c:barChart>
      <c:lineChart>
        <c:grouping val="standard"/>
        <c:ser>
          <c:idx val="1"/>
          <c:order val="2"/>
          <c:tx>
            <c:strRef>
              <c:f>'Alojados tipología y categoría'!$N$22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3061217607674311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938815132515928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8.194214808388036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723E-2"/>
                  <c:y val="-3.975575818095503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504E-2"/>
                  <c:y val="-0.2054833270581302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0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categoría'!$N$24,'Alojados tipología y categoría'!$N$26:$N$30,'Alojados tipología y categoría'!$N$32)</c:f>
              <c:numCache>
                <c:formatCode>0.0%</c:formatCode>
                <c:ptCount val="7"/>
                <c:pt idx="0">
                  <c:v>-2.8999455998660918E-2</c:v>
                </c:pt>
                <c:pt idx="1">
                  <c:v>-2.8999455998660918E-2</c:v>
                </c:pt>
                <c:pt idx="2">
                  <c:v>-5.3246146660439045E-2</c:v>
                </c:pt>
                <c:pt idx="3">
                  <c:v>4.3215701075674656E-2</c:v>
                </c:pt>
                <c:pt idx="4">
                  <c:v>-8.3131047783726267E-3</c:v>
                </c:pt>
                <c:pt idx="5">
                  <c:v>-0.28341781317885589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08581376"/>
        <c:axId val="208582912"/>
      </c:lineChart>
      <c:catAx>
        <c:axId val="2085653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567296"/>
        <c:crosses val="autoZero"/>
        <c:auto val="1"/>
        <c:lblAlgn val="ctr"/>
        <c:lblOffset val="100"/>
        <c:tickLblSkip val="1"/>
        <c:tickMarkSkip val="1"/>
      </c:catAx>
      <c:valAx>
        <c:axId val="2085672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08565376"/>
        <c:crosses val="autoZero"/>
        <c:crossBetween val="between"/>
      </c:valAx>
      <c:catAx>
        <c:axId val="208581376"/>
        <c:scaling>
          <c:orientation val="minMax"/>
        </c:scaling>
        <c:delete val="1"/>
        <c:axPos val="b"/>
        <c:tickLblPos val="none"/>
        <c:crossAx val="208582912"/>
        <c:crosses val="autoZero"/>
        <c:auto val="1"/>
        <c:lblAlgn val="ctr"/>
        <c:lblOffset val="100"/>
      </c:catAx>
      <c:valAx>
        <c:axId val="2085829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085813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'!$C$21:$J$21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08"/>
          <c:y val="0.2596278242997474"/>
          <c:w val="0.83325053642039271"/>
          <c:h val="0.47650548004266774"/>
        </c:manualLayout>
      </c:layout>
      <c:lineChart>
        <c:grouping val="standard"/>
        <c:ser>
          <c:idx val="0"/>
          <c:order val="0"/>
          <c:tx>
            <c:strRef>
              <c:f>'tablas Zonas mensual '!$D$22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'!$D$23:$D$34</c:f>
              <c:numCache>
                <c:formatCode>#,##0</c:formatCode>
                <c:ptCount val="12"/>
                <c:pt idx="0">
                  <c:v>407126</c:v>
                </c:pt>
                <c:pt idx="1">
                  <c:v>423886</c:v>
                </c:pt>
                <c:pt idx="2">
                  <c:v>489029</c:v>
                </c:pt>
                <c:pt idx="3">
                  <c:v>438237</c:v>
                </c:pt>
                <c:pt idx="4">
                  <c:v>341553</c:v>
                </c:pt>
                <c:pt idx="5">
                  <c:v>411483</c:v>
                </c:pt>
                <c:pt idx="6">
                  <c:v>466179</c:v>
                </c:pt>
                <c:pt idx="7">
                  <c:v>528592</c:v>
                </c:pt>
                <c:pt idx="8">
                  <c:v>409689</c:v>
                </c:pt>
                <c:pt idx="9">
                  <c:v>467144</c:v>
                </c:pt>
                <c:pt idx="10">
                  <c:v>457530</c:v>
                </c:pt>
                <c:pt idx="11">
                  <c:v>438336</c:v>
                </c:pt>
              </c:numCache>
            </c:numRef>
          </c:val>
        </c:ser>
        <c:ser>
          <c:idx val="1"/>
          <c:order val="1"/>
          <c:tx>
            <c:strRef>
              <c:f>'tablas Zonas mensual '!$E$22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'!$E$23:$E$34</c:f>
              <c:numCache>
                <c:formatCode>#,##0</c:formatCode>
                <c:ptCount val="12"/>
                <c:pt idx="0">
                  <c:v>409747</c:v>
                </c:pt>
                <c:pt idx="1">
                  <c:v>459918</c:v>
                </c:pt>
                <c:pt idx="2">
                  <c:v>508083</c:v>
                </c:pt>
                <c:pt idx="3">
                  <c:v>424514</c:v>
                </c:pt>
                <c:pt idx="4">
                  <c:v>413185</c:v>
                </c:pt>
                <c:pt idx="5">
                  <c:v>402431</c:v>
                </c:pt>
                <c:pt idx="6">
                  <c:v>467525</c:v>
                </c:pt>
                <c:pt idx="7">
                  <c:v>531765</c:v>
                </c:pt>
                <c:pt idx="8">
                  <c:v>391359</c:v>
                </c:pt>
                <c:pt idx="9">
                  <c:v>441857</c:v>
                </c:pt>
                <c:pt idx="10">
                  <c:v>431740</c:v>
                </c:pt>
                <c:pt idx="11">
                  <c:v>410203</c:v>
                </c:pt>
              </c:numCache>
            </c:numRef>
          </c:val>
        </c:ser>
        <c:ser>
          <c:idx val="2"/>
          <c:order val="2"/>
          <c:tx>
            <c:strRef>
              <c:f>'tablas Zonas mensual '!$F$22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'!$F$23:$F$34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3"/>
          <c:tx>
            <c:strRef>
              <c:f>'tablas Zonas mensual '!$G$22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'!$G$23:$G$28,'tablas Zonas mensual '!$G$29)</c:f>
              <c:numCache>
                <c:formatCode>#,##0</c:formatCode>
                <c:ptCount val="7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</c:numCache>
            </c:numRef>
          </c:val>
        </c:ser>
        <c:marker val="1"/>
        <c:axId val="194660224"/>
        <c:axId val="194670592"/>
      </c:lineChart>
      <c:catAx>
        <c:axId val="19466022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94670592"/>
        <c:crosses val="autoZero"/>
        <c:auto val="1"/>
        <c:lblAlgn val="ctr"/>
        <c:lblOffset val="100"/>
      </c:catAx>
      <c:valAx>
        <c:axId val="1946705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94660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791"/>
          <c:y val="0.16367086189697985"/>
          <c:w val="0.47740773522508861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/>
            </a:pPr>
            <a:r>
              <a:rPr lang="es-ES"/>
              <a:t>I semestre 2010 </a:t>
            </a:r>
          </a:p>
        </c:rich>
      </c:tx>
      <c:layout>
        <c:manualLayout>
          <c:xMode val="edge"/>
          <c:yMode val="edge"/>
          <c:x val="0.38553005769894638"/>
          <c:y val="7.8110989714802403E-2"/>
        </c:manualLayout>
      </c:layout>
    </c:title>
    <c:plotArea>
      <c:layout>
        <c:manualLayout>
          <c:layoutTarget val="inner"/>
          <c:xMode val="edge"/>
          <c:yMode val="edge"/>
          <c:x val="3.7383177570094642E-2"/>
          <c:y val="0.20975609756097946"/>
          <c:w val="0.93458086086700187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munic y tipologí'!$E$7</c:f>
              <c:strCache>
                <c:ptCount val="1"/>
                <c:pt idx="0">
                  <c:v>I semestre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('Pernoctaciones munic y tipologí'!$E$9:$E$11,'Pernoctaciones munic y tipologí'!$E$13:$E$15,'Pernoctaciones munic y tipologí'!$E$17:$E$19,'Pernoctaciones munic y tipologí'!$E$21:$E$23,'Pernoctaciones munic y tipologí'!$E$25:$E$27)</c:f>
              <c:numCache>
                <c:formatCode>#,##0_)</c:formatCode>
                <c:ptCount val="15"/>
                <c:pt idx="0">
                  <c:v>20533466</c:v>
                </c:pt>
                <c:pt idx="1">
                  <c:v>11697161</c:v>
                </c:pt>
                <c:pt idx="2">
                  <c:v>8836305</c:v>
                </c:pt>
                <c:pt idx="3">
                  <c:v>7698603</c:v>
                </c:pt>
                <c:pt idx="4">
                  <c:v>4862858</c:v>
                </c:pt>
                <c:pt idx="5">
                  <c:v>2835745</c:v>
                </c:pt>
                <c:pt idx="6">
                  <c:v>6476287</c:v>
                </c:pt>
                <c:pt idx="7">
                  <c:v>2876302</c:v>
                </c:pt>
                <c:pt idx="8">
                  <c:v>3599985</c:v>
                </c:pt>
                <c:pt idx="9">
                  <c:v>3090514</c:v>
                </c:pt>
                <c:pt idx="10">
                  <c:v>2079572</c:v>
                </c:pt>
                <c:pt idx="11">
                  <c:v>1010942</c:v>
                </c:pt>
                <c:pt idx="12">
                  <c:v>193668</c:v>
                </c:pt>
                <c:pt idx="13">
                  <c:v>193668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208028416"/>
        <c:axId val="208030336"/>
      </c:barChart>
      <c:catAx>
        <c:axId val="2080284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11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030336"/>
        <c:crosses val="autoZero"/>
        <c:auto val="1"/>
        <c:lblAlgn val="ctr"/>
        <c:lblOffset val="100"/>
        <c:tickLblSkip val="1"/>
        <c:tickMarkSkip val="1"/>
      </c:catAx>
      <c:valAx>
        <c:axId val="208030336"/>
        <c:scaling>
          <c:orientation val="minMax"/>
        </c:scaling>
        <c:delete val="1"/>
        <c:axPos val="l"/>
        <c:numFmt formatCode="#,##0_)" sourceLinked="1"/>
        <c:tickLblPos val="none"/>
        <c:crossAx val="208028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catego'!$B$7:$G$7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9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catego'!$C$8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catego'!$C$10,'pernocta municipio y catego'!$C$12:$C$16,'pernocta municipio y catego'!$C$18)</c:f>
              <c:numCache>
                <c:formatCode>#,##0_)</c:formatCode>
                <c:ptCount val="7"/>
                <c:pt idx="0">
                  <c:v>7711663</c:v>
                </c:pt>
                <c:pt idx="1">
                  <c:v>4759902</c:v>
                </c:pt>
                <c:pt idx="2">
                  <c:v>582693</c:v>
                </c:pt>
                <c:pt idx="3">
                  <c:v>3153691</c:v>
                </c:pt>
                <c:pt idx="4">
                  <c:v>954574</c:v>
                </c:pt>
                <c:pt idx="5">
                  <c:v>68944</c:v>
                </c:pt>
                <c:pt idx="6">
                  <c:v>2951761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catego'!$E$8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catego'!$E$10,'pernocta municipio y catego'!$E$12:$E$16,'pernocta municipio y catego'!$E$18)</c:f>
              <c:numCache>
                <c:formatCode>#,##0_)</c:formatCode>
                <c:ptCount val="7"/>
                <c:pt idx="0">
                  <c:v>7698603</c:v>
                </c:pt>
                <c:pt idx="1">
                  <c:v>4862858</c:v>
                </c:pt>
                <c:pt idx="2">
                  <c:v>632980</c:v>
                </c:pt>
                <c:pt idx="3">
                  <c:v>3356200</c:v>
                </c:pt>
                <c:pt idx="4">
                  <c:v>803958</c:v>
                </c:pt>
                <c:pt idx="5">
                  <c:v>69720</c:v>
                </c:pt>
                <c:pt idx="6">
                  <c:v>2835745</c:v>
                </c:pt>
              </c:numCache>
            </c:numRef>
          </c:val>
        </c:ser>
        <c:dLbls>
          <c:showVal val="1"/>
        </c:dLbls>
        <c:gapWidth val="30"/>
        <c:overlap val="-10"/>
        <c:axId val="209941248"/>
        <c:axId val="209943168"/>
      </c:barChart>
      <c:lineChart>
        <c:grouping val="standard"/>
        <c:ser>
          <c:idx val="1"/>
          <c:order val="2"/>
          <c:tx>
            <c:strRef>
              <c:f>'pernocta municipio y catego'!$G$8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183878730335439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31511123479627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176420515003194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2601978667E-2"/>
                  <c:y val="-7.528770442156268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817E-2"/>
                  <c:y val="-0.2393400514054922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8.141895984415663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catego'!$G$10,'pernocta municipio y catego'!$G$12:$G$16,'pernocta municipio y catego'!$G$18)</c:f>
              <c:numCache>
                <c:formatCode>0.0%</c:formatCode>
                <c:ptCount val="7"/>
                <c:pt idx="0">
                  <c:v>-1.6935387347709566E-3</c:v>
                </c:pt>
                <c:pt idx="1">
                  <c:v>2.1629857085292931E-2</c:v>
                </c:pt>
                <c:pt idx="2">
                  <c:v>8.630101957634638E-2</c:v>
                </c:pt>
                <c:pt idx="3">
                  <c:v>6.4213329714293499E-2</c:v>
                </c:pt>
                <c:pt idx="4">
                  <c:v>-0.15778347199902784</c:v>
                </c:pt>
                <c:pt idx="5">
                  <c:v>1.1255511719656533E-2</c:v>
                </c:pt>
                <c:pt idx="6">
                  <c:v>-3.9303995140527979E-2</c:v>
                </c:pt>
              </c:numCache>
            </c:numRef>
          </c:val>
        </c:ser>
        <c:dLbls>
          <c:showVal val="1"/>
        </c:dLbls>
        <c:marker val="1"/>
        <c:axId val="209969536"/>
        <c:axId val="209971072"/>
      </c:lineChart>
      <c:catAx>
        <c:axId val="2099412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5086697657556454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09943168"/>
        <c:crosses val="autoZero"/>
        <c:auto val="1"/>
        <c:lblAlgn val="ctr"/>
        <c:lblOffset val="100"/>
        <c:tickLblSkip val="1"/>
        <c:tickMarkSkip val="1"/>
      </c:catAx>
      <c:valAx>
        <c:axId val="20994316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09941248"/>
        <c:crosses val="autoZero"/>
        <c:crossBetween val="between"/>
      </c:valAx>
      <c:catAx>
        <c:axId val="209969536"/>
        <c:scaling>
          <c:orientation val="minMax"/>
        </c:scaling>
        <c:delete val="1"/>
        <c:axPos val="b"/>
        <c:tickLblPos val="none"/>
        <c:crossAx val="209971072"/>
        <c:crosses val="autoZero"/>
        <c:auto val="1"/>
        <c:lblAlgn val="ctr"/>
        <c:lblOffset val="100"/>
      </c:catAx>
      <c:valAx>
        <c:axId val="2099710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09969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4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catego'!$I$7:$N$7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4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catego'!$J$8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catego'!$J$10,'pernocta municipio y catego'!$J$12:$J$16,'pernocta municipio y catego'!$J$18)</c:f>
              <c:numCache>
                <c:formatCode>#,##0_)</c:formatCode>
                <c:ptCount val="7"/>
                <c:pt idx="0">
                  <c:v>6591865</c:v>
                </c:pt>
                <c:pt idx="1">
                  <c:v>2787146</c:v>
                </c:pt>
                <c:pt idx="2">
                  <c:v>319628</c:v>
                </c:pt>
                <c:pt idx="3">
                  <c:v>1592558</c:v>
                </c:pt>
                <c:pt idx="4">
                  <c:v>815635</c:v>
                </c:pt>
                <c:pt idx="5">
                  <c:v>59325</c:v>
                </c:pt>
                <c:pt idx="6">
                  <c:v>3804719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catego'!$L$8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catego'!$L$10,'pernocta municipio y catego'!$L$12:$L$16,'pernocta municipio y catego'!$L$18)</c:f>
              <c:numCache>
                <c:formatCode>#,##0_)</c:formatCode>
                <c:ptCount val="7"/>
                <c:pt idx="0">
                  <c:v>6476287</c:v>
                </c:pt>
                <c:pt idx="1">
                  <c:v>2876302</c:v>
                </c:pt>
                <c:pt idx="2">
                  <c:v>343310</c:v>
                </c:pt>
                <c:pt idx="3">
                  <c:v>1675752</c:v>
                </c:pt>
                <c:pt idx="4">
                  <c:v>804119</c:v>
                </c:pt>
                <c:pt idx="5">
                  <c:v>53121</c:v>
                </c:pt>
                <c:pt idx="6">
                  <c:v>3599985</c:v>
                </c:pt>
              </c:numCache>
            </c:numRef>
          </c:val>
        </c:ser>
        <c:dLbls>
          <c:showVal val="1"/>
        </c:dLbls>
        <c:gapWidth val="30"/>
        <c:overlap val="-10"/>
        <c:axId val="210032128"/>
        <c:axId val="210034048"/>
      </c:barChart>
      <c:lineChart>
        <c:grouping val="standard"/>
        <c:ser>
          <c:idx val="1"/>
          <c:order val="2"/>
          <c:tx>
            <c:strRef>
              <c:f>'pernocta municipio y catego'!$N$8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526495981141648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065630985316029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6063974331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0.1293417584756166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693E-2"/>
                  <c:y val="-9.380981223500926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522E-2"/>
                  <c:y val="-0.1431132646880678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799E-2"/>
                  <c:y val="-0.4286673105570743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catego'!$N$10,'pernocta municipio y catego'!$N$12:$N$16,'pernocta municipio y catego'!$N$18)</c:f>
              <c:numCache>
                <c:formatCode>0.0%</c:formatCode>
                <c:ptCount val="7"/>
                <c:pt idx="0">
                  <c:v>-1.7533429461920109E-2</c:v>
                </c:pt>
                <c:pt idx="1">
                  <c:v>3.1988277614448613E-2</c:v>
                </c:pt>
                <c:pt idx="2">
                  <c:v>7.409238239453364E-2</c:v>
                </c:pt>
                <c:pt idx="3">
                  <c:v>5.2239227707876257E-2</c:v>
                </c:pt>
                <c:pt idx="4">
                  <c:v>-1.4119060609218585E-2</c:v>
                </c:pt>
                <c:pt idx="5">
                  <c:v>-0.10457648546144122</c:v>
                </c:pt>
                <c:pt idx="6">
                  <c:v>-5.3810544221531212E-2</c:v>
                </c:pt>
              </c:numCache>
            </c:numRef>
          </c:val>
        </c:ser>
        <c:dLbls>
          <c:showVal val="1"/>
        </c:dLbls>
        <c:marker val="1"/>
        <c:axId val="210068608"/>
        <c:axId val="210070144"/>
      </c:lineChart>
      <c:catAx>
        <c:axId val="2100321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4.9282270777959087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034048"/>
        <c:crosses val="autoZero"/>
        <c:auto val="1"/>
        <c:lblAlgn val="ctr"/>
        <c:lblOffset val="100"/>
        <c:tickLblSkip val="1"/>
        <c:tickMarkSkip val="1"/>
      </c:catAx>
      <c:valAx>
        <c:axId val="2100340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0032128"/>
        <c:crosses val="autoZero"/>
        <c:crossBetween val="between"/>
      </c:valAx>
      <c:catAx>
        <c:axId val="210068608"/>
        <c:scaling>
          <c:orientation val="minMax"/>
        </c:scaling>
        <c:delete val="1"/>
        <c:axPos val="b"/>
        <c:tickLblPos val="none"/>
        <c:crossAx val="210070144"/>
        <c:crosses val="autoZero"/>
        <c:auto val="1"/>
        <c:lblAlgn val="ctr"/>
        <c:lblOffset val="100"/>
      </c:catAx>
      <c:valAx>
        <c:axId val="2100701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006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69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catego'!$B$21:$G$21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4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catego'!$C$22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catego'!$C$24,'pernocta municipio y catego'!$C$26:$C$29,'pernocta municipio y catego'!$C$31)</c:f>
              <c:numCache>
                <c:formatCode>#,##0_)</c:formatCode>
                <c:ptCount val="6"/>
                <c:pt idx="0">
                  <c:v>3360494</c:v>
                </c:pt>
                <c:pt idx="1">
                  <c:v>2131326</c:v>
                </c:pt>
                <c:pt idx="2">
                  <c:v>1754608</c:v>
                </c:pt>
                <c:pt idx="3">
                  <c:v>355367</c:v>
                </c:pt>
                <c:pt idx="4">
                  <c:v>21351</c:v>
                </c:pt>
                <c:pt idx="5">
                  <c:v>1229168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catego'!$E$22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catego'!$E$24,'pernocta municipio y catego'!$E$26:$E$29,'pernocta municipio y catego'!$E$31)</c:f>
              <c:numCache>
                <c:formatCode>#,##0_)</c:formatCode>
                <c:ptCount val="6"/>
                <c:pt idx="0">
                  <c:v>3090514</c:v>
                </c:pt>
                <c:pt idx="1">
                  <c:v>2079572</c:v>
                </c:pt>
                <c:pt idx="2">
                  <c:v>1737011</c:v>
                </c:pt>
                <c:pt idx="3">
                  <c:v>320280</c:v>
                </c:pt>
                <c:pt idx="4">
                  <c:v>22281</c:v>
                </c:pt>
                <c:pt idx="5">
                  <c:v>1010942</c:v>
                </c:pt>
              </c:numCache>
            </c:numRef>
          </c:val>
        </c:ser>
        <c:dLbls>
          <c:showVal val="1"/>
        </c:dLbls>
        <c:gapWidth val="30"/>
        <c:overlap val="-10"/>
        <c:axId val="210154624"/>
        <c:axId val="210156544"/>
      </c:barChart>
      <c:lineChart>
        <c:grouping val="standard"/>
        <c:ser>
          <c:idx val="1"/>
          <c:order val="2"/>
          <c:tx>
            <c:strRef>
              <c:f>'pernocta municipio y catego'!$G$22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29597753756E-2"/>
                  <c:y val="-0.3934400065276826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131719023687527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055095191565743E-2"/>
                  <c:y val="-5.2836118977851398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677398934750585E-2"/>
                  <c:y val="-4.618167531553357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4730330421208E-2"/>
                  <c:y val="0.1681444497192529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5523042354802E-2"/>
                  <c:y val="-0.3759614975363008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catego'!$B$24,'pernocta municipio y catego'!$B$26:$B$29,'pernocta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catego'!$G$24,'pernocta municipio y catego'!$G$26:$G$29,'pernocta municipio y catego'!$G$31)</c:f>
              <c:numCache>
                <c:formatCode>0.0%</c:formatCode>
                <c:ptCount val="6"/>
                <c:pt idx="0">
                  <c:v>-8.0339378674682951E-2</c:v>
                </c:pt>
                <c:pt idx="1">
                  <c:v>-2.428253584857502E-2</c:v>
                </c:pt>
                <c:pt idx="2">
                  <c:v>-1.0029020727136774E-2</c:v>
                </c:pt>
                <c:pt idx="3">
                  <c:v>-9.8734547664808492E-2</c:v>
                </c:pt>
                <c:pt idx="4">
                  <c:v>4.3557678797246029E-2</c:v>
                </c:pt>
                <c:pt idx="5">
                  <c:v>-0.17753960402483632</c:v>
                </c:pt>
              </c:numCache>
            </c:numRef>
          </c:val>
        </c:ser>
        <c:dLbls>
          <c:showVal val="1"/>
        </c:dLbls>
        <c:marker val="1"/>
        <c:axId val="210170624"/>
        <c:axId val="210172160"/>
      </c:lineChart>
      <c:catAx>
        <c:axId val="2101546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156544"/>
        <c:crosses val="autoZero"/>
        <c:auto val="1"/>
        <c:lblAlgn val="ctr"/>
        <c:lblOffset val="100"/>
        <c:tickLblSkip val="1"/>
        <c:tickMarkSkip val="1"/>
      </c:catAx>
      <c:valAx>
        <c:axId val="21015654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0154624"/>
        <c:crosses val="autoZero"/>
        <c:crossBetween val="between"/>
      </c:valAx>
      <c:catAx>
        <c:axId val="210170624"/>
        <c:scaling>
          <c:orientation val="minMax"/>
        </c:scaling>
        <c:delete val="1"/>
        <c:axPos val="b"/>
        <c:tickLblPos val="none"/>
        <c:crossAx val="210172160"/>
        <c:crosses val="autoZero"/>
        <c:auto val="1"/>
        <c:lblAlgn val="ctr"/>
        <c:lblOffset val="100"/>
      </c:catAx>
      <c:valAx>
        <c:axId val="2101721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0170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69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catego'!$I$21:$N$21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6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8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catego'!$J$22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catego'!$I$26,'pernocta municipio y catego'!$I$27,'pernocta municipio y catego'!$I$28,'pernocta municipio y catego'!$I$29,'pernocta municipio y catego'!$I$30,'pernocta municipio y catego'!$I$32)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catego'!$J$24,'pernocta municipio y catego'!$J$26:$J$30,'pernocta municipio y catego'!$J$32)</c:f>
              <c:numCache>
                <c:formatCode>#,##0_)</c:formatCode>
                <c:ptCount val="7"/>
                <c:pt idx="0">
                  <c:v>224256</c:v>
                </c:pt>
                <c:pt idx="1">
                  <c:v>224256</c:v>
                </c:pt>
                <c:pt idx="2">
                  <c:v>71618</c:v>
                </c:pt>
                <c:pt idx="3">
                  <c:v>57372</c:v>
                </c:pt>
                <c:pt idx="4">
                  <c:v>75411</c:v>
                </c:pt>
                <c:pt idx="5">
                  <c:v>19855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catego'!$L$22</c:f>
              <c:strCache>
                <c:ptCount val="1"/>
                <c:pt idx="0">
                  <c:v>I semestre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catego'!$I$26,'pernocta municipio y catego'!$I$27,'pernocta municipio y catego'!$I$28,'pernocta municipio y catego'!$I$29,'pernocta municipio y catego'!$I$30,'pernocta municipio y catego'!$I$32)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catego'!$L$24,'pernocta municipio y catego'!$L$26:$L$30,'pernocta municipio y catego'!$L$32)</c:f>
              <c:numCache>
                <c:formatCode>#,##0_)</c:formatCode>
                <c:ptCount val="7"/>
                <c:pt idx="0">
                  <c:v>193668</c:v>
                </c:pt>
                <c:pt idx="1">
                  <c:v>193668</c:v>
                </c:pt>
                <c:pt idx="2">
                  <c:v>55034</c:v>
                </c:pt>
                <c:pt idx="3">
                  <c:v>58666</c:v>
                </c:pt>
                <c:pt idx="4">
                  <c:v>61775</c:v>
                </c:pt>
                <c:pt idx="5">
                  <c:v>18193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10244352"/>
        <c:axId val="210246272"/>
      </c:barChart>
      <c:lineChart>
        <c:grouping val="standard"/>
        <c:ser>
          <c:idx val="1"/>
          <c:order val="2"/>
          <c:tx>
            <c:strRef>
              <c:f>'pernocta municipio y catego'!$N$22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3934401754874209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3811996005696800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2524203185620508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723E-2"/>
                  <c:y val="-0.201917920343117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504E-2"/>
                  <c:y val="-3.916316073796381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0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catego'!$N$24,'pernocta municipio y catego'!$N$26:$N$30,'pernocta municipio y catego'!$N$32)</c:f>
              <c:numCache>
                <c:formatCode>0.0%</c:formatCode>
                <c:ptCount val="7"/>
                <c:pt idx="0">
                  <c:v>-0.13639768835616439</c:v>
                </c:pt>
                <c:pt idx="1">
                  <c:v>-0.13639768835616439</c:v>
                </c:pt>
                <c:pt idx="2">
                  <c:v>-0.23156189784691</c:v>
                </c:pt>
                <c:pt idx="3">
                  <c:v>2.2554556229519625E-2</c:v>
                </c:pt>
                <c:pt idx="4">
                  <c:v>-0.18082242643646151</c:v>
                </c:pt>
                <c:pt idx="5">
                  <c:v>-8.3706874842608914E-2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10260352"/>
        <c:axId val="210261888"/>
      </c:lineChart>
      <c:catAx>
        <c:axId val="2102443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99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246272"/>
        <c:crosses val="autoZero"/>
        <c:auto val="1"/>
        <c:lblAlgn val="ctr"/>
        <c:lblOffset val="100"/>
        <c:tickLblSkip val="1"/>
        <c:tickMarkSkip val="1"/>
      </c:catAx>
      <c:valAx>
        <c:axId val="2102462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0244352"/>
        <c:crosses val="autoZero"/>
        <c:crossBetween val="between"/>
      </c:valAx>
      <c:catAx>
        <c:axId val="210260352"/>
        <c:scaling>
          <c:orientation val="minMax"/>
        </c:scaling>
        <c:delete val="1"/>
        <c:axPos val="b"/>
        <c:tickLblPos val="none"/>
        <c:crossAx val="210261888"/>
        <c:crosses val="autoZero"/>
        <c:auto val="1"/>
        <c:lblAlgn val="ctr"/>
        <c:lblOffset val="100"/>
      </c:catAx>
      <c:valAx>
        <c:axId val="2102618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0260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657808398950976"/>
          <c:y val="0.14378556966093525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Tipología'!$D$7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('IO municipio y Tipología'!$D$9:$D$11,'IO municipio y Tipología'!$D$13:$D$15,'IO municipio y Tipología'!$D$17:$D$19,'IO municipio y Tipología'!$D$21:$D$23,'IO municipio y Tipología'!$D$25:$D$27)</c:f>
              <c:numCache>
                <c:formatCode>#,##0.00_)</c:formatCode>
                <c:ptCount val="15"/>
                <c:pt idx="0">
                  <c:v>54.358202977071883</c:v>
                </c:pt>
                <c:pt idx="1">
                  <c:v>63.816408769433401</c:v>
                </c:pt>
                <c:pt idx="2">
                  <c:v>45.442623699464505</c:v>
                </c:pt>
                <c:pt idx="3">
                  <c:v>57.336689255463426</c:v>
                </c:pt>
                <c:pt idx="4">
                  <c:v>69.815886269859277</c:v>
                </c:pt>
                <c:pt idx="5">
                  <c:v>43.885093047549042</c:v>
                </c:pt>
                <c:pt idx="6">
                  <c:v>56.991904181811258</c:v>
                </c:pt>
                <c:pt idx="7">
                  <c:v>66.642848288749178</c:v>
                </c:pt>
                <c:pt idx="8">
                  <c:v>51.081542657664549</c:v>
                </c:pt>
                <c:pt idx="9">
                  <c:v>53.995217413409314</c:v>
                </c:pt>
                <c:pt idx="10">
                  <c:v>59.811096091345739</c:v>
                </c:pt>
                <c:pt idx="11">
                  <c:v>44.995128586186198</c:v>
                </c:pt>
                <c:pt idx="12">
                  <c:v>37.709338935825123</c:v>
                </c:pt>
                <c:pt idx="13">
                  <c:v>37.709338935825123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208699776"/>
        <c:axId val="208701696"/>
      </c:barChart>
      <c:catAx>
        <c:axId val="2086997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937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701696"/>
        <c:crosses val="autoZero"/>
        <c:auto val="1"/>
        <c:lblAlgn val="ctr"/>
        <c:lblOffset val="100"/>
        <c:tickLblSkip val="1"/>
        <c:tickMarkSkip val="1"/>
      </c:catAx>
      <c:valAx>
        <c:axId val="208701696"/>
        <c:scaling>
          <c:orientation val="minMax"/>
        </c:scaling>
        <c:delete val="1"/>
        <c:axPos val="l"/>
        <c:numFmt formatCode="#,##0.00_)" sourceLinked="1"/>
        <c:tickLblPos val="none"/>
        <c:crossAx val="208699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catego'!$B$7:$E$7</c:f>
          <c:strCache>
            <c:ptCount val="1"/>
            <c:pt idx="0">
              <c:v>INDICES DE OCUPACIÓN EN ALOJAMIENTO DE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68"/>
          <c:y val="3.94977654820175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catego'!$C$10,'IO municipio y catego'!$C$12:$C$16,'IO municipio y catego'!$C$18)</c:f>
              <c:numCache>
                <c:formatCode>#,##0.00_)</c:formatCode>
                <c:ptCount val="7"/>
                <c:pt idx="0">
                  <c:v>55.615451674608849</c:v>
                </c:pt>
                <c:pt idx="1">
                  <c:v>66.215013478371304</c:v>
                </c:pt>
                <c:pt idx="2">
                  <c:v>60.808670061779935</c:v>
                </c:pt>
                <c:pt idx="3">
                  <c:v>68.555698158423098</c:v>
                </c:pt>
                <c:pt idx="4">
                  <c:v>62.37064566418772</c:v>
                </c:pt>
                <c:pt idx="5">
                  <c:v>69.193095142513044</c:v>
                </c:pt>
                <c:pt idx="6">
                  <c:v>44.204648752749911</c:v>
                </c:pt>
              </c:numCache>
            </c:numRef>
          </c:val>
        </c:ser>
        <c:ser>
          <c:idx val="2"/>
          <c:order val="1"/>
          <c:tx>
            <c:strRef>
              <c:f>'IO municipio y catego'!$D$8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catego'!$D$10,'IO municipio y catego'!$D$12:$D$16,'IO municipio y catego'!$D$18)</c:f>
              <c:numCache>
                <c:formatCode>#,##0.00_)</c:formatCode>
                <c:ptCount val="7"/>
                <c:pt idx="0">
                  <c:v>57.336689255463426</c:v>
                </c:pt>
                <c:pt idx="1">
                  <c:v>69.815886269859277</c:v>
                </c:pt>
                <c:pt idx="2">
                  <c:v>65.362406238641242</c:v>
                </c:pt>
                <c:pt idx="3">
                  <c:v>72.957887808063489</c:v>
                </c:pt>
                <c:pt idx="4">
                  <c:v>61.985202958174767</c:v>
                </c:pt>
                <c:pt idx="5">
                  <c:v>69.971898835808915</c:v>
                </c:pt>
                <c:pt idx="6">
                  <c:v>43.885093047549042</c:v>
                </c:pt>
              </c:numCache>
            </c:numRef>
          </c:val>
        </c:ser>
        <c:dLbls>
          <c:showVal val="1"/>
        </c:dLbls>
        <c:gapWidth val="30"/>
        <c:overlap val="-10"/>
        <c:axId val="211321216"/>
        <c:axId val="211323136"/>
      </c:barChart>
      <c:lineChart>
        <c:grouping val="standard"/>
        <c:ser>
          <c:idx val="1"/>
          <c:order val="2"/>
          <c:tx>
            <c:strRef>
              <c:f>'IO municipio y catego'!$E$8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2728577275033967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065630985316029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-0.1942082603499929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0.1626057917396498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76435906966034E-2"/>
                  <c:y val="-0.3723960908212878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75E-2"/>
                  <c:y val="-0.392593514168317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7251646518606987E-2"/>
                  <c:y val="-0.3829292648190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catego'!$E$10,'IO municipio y catego'!$E$12:$E$16,'IO municipio y catego'!$E$18)</c:f>
              <c:numCache>
                <c:formatCode>0.00%</c:formatCode>
                <c:ptCount val="7"/>
                <c:pt idx="0">
                  <c:v>3.094890950315532E-2</c:v>
                </c:pt>
                <c:pt idx="1">
                  <c:v>5.4381515646208758E-2</c:v>
                </c:pt>
                <c:pt idx="2">
                  <c:v>7.4886297829484444E-2</c:v>
                </c:pt>
                <c:pt idx="3">
                  <c:v>6.4213329714293277E-2</c:v>
                </c:pt>
                <c:pt idx="4">
                  <c:v>-6.1798735913081585E-3</c:v>
                </c:pt>
                <c:pt idx="5">
                  <c:v>1.125551171965661E-2</c:v>
                </c:pt>
                <c:pt idx="6">
                  <c:v>-7.2290067723022088E-3</c:v>
                </c:pt>
              </c:numCache>
            </c:numRef>
          </c:val>
        </c:ser>
        <c:dLbls>
          <c:showVal val="1"/>
        </c:dLbls>
        <c:marker val="1"/>
        <c:axId val="211333120"/>
        <c:axId val="211334656"/>
      </c:lineChart>
      <c:catAx>
        <c:axId val="2113212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323136"/>
        <c:crosses val="autoZero"/>
        <c:auto val="1"/>
        <c:lblAlgn val="ctr"/>
        <c:lblOffset val="100"/>
        <c:tickLblSkip val="1"/>
        <c:tickMarkSkip val="1"/>
      </c:catAx>
      <c:valAx>
        <c:axId val="21132313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11321216"/>
        <c:crosses val="autoZero"/>
        <c:crossBetween val="between"/>
      </c:valAx>
      <c:catAx>
        <c:axId val="211333120"/>
        <c:scaling>
          <c:orientation val="minMax"/>
        </c:scaling>
        <c:delete val="1"/>
        <c:axPos val="b"/>
        <c:tickLblPos val="none"/>
        <c:crossAx val="211334656"/>
        <c:crosses val="autoZero"/>
        <c:auto val="1"/>
        <c:lblAlgn val="ctr"/>
        <c:lblOffset val="100"/>
      </c:catAx>
      <c:valAx>
        <c:axId val="211334656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113331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69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catego'!$G$7:$J$7</c:f>
          <c:strCache>
            <c:ptCount val="1"/>
            <c:pt idx="0">
              <c:v>INDICES DE OCUPACIÓN EN ALOJAMIENTO DE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68"/>
          <c:y val="3.94977654820175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3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catego'!$H$10,'IO municipio y catego'!$H$12:$H$16,'IO municipio y catego'!$H$18)</c:f>
              <c:numCache>
                <c:formatCode>#,##0.00_)</c:formatCode>
                <c:ptCount val="7"/>
                <c:pt idx="0">
                  <c:v>56.222793180322093</c:v>
                </c:pt>
                <c:pt idx="1">
                  <c:v>64.814816537400404</c:v>
                </c:pt>
                <c:pt idx="2">
                  <c:v>60.720066261901685</c:v>
                </c:pt>
                <c:pt idx="3">
                  <c:v>71.387114299494897</c:v>
                </c:pt>
                <c:pt idx="4">
                  <c:v>57.568979584922594</c:v>
                </c:pt>
                <c:pt idx="5">
                  <c:v>47.04599524187153</c:v>
                </c:pt>
                <c:pt idx="6">
                  <c:v>51.246327299783125</c:v>
                </c:pt>
              </c:numCache>
            </c:numRef>
          </c:val>
        </c:ser>
        <c:ser>
          <c:idx val="2"/>
          <c:order val="1"/>
          <c:tx>
            <c:strRef>
              <c:f>'IO municipio y catego'!$I$8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catego'!$I$10,'IO municipio y catego'!$I$12:$I$16,'IO municipio y catego'!$I$18)</c:f>
              <c:numCache>
                <c:formatCode>#,##0.00_)</c:formatCode>
                <c:ptCount val="7"/>
                <c:pt idx="0">
                  <c:v>56.991904181811258</c:v>
                </c:pt>
                <c:pt idx="1">
                  <c:v>66.642848288749178</c:v>
                </c:pt>
                <c:pt idx="2">
                  <c:v>65.21896063039992</c:v>
                </c:pt>
                <c:pt idx="3">
                  <c:v>74.220568695189996</c:v>
                </c:pt>
                <c:pt idx="4">
                  <c:v>56.756159672952208</c:v>
                </c:pt>
                <c:pt idx="5">
                  <c:v>46.190968931245273</c:v>
                </c:pt>
                <c:pt idx="6">
                  <c:v>51.081542657664549</c:v>
                </c:pt>
              </c:numCache>
            </c:numRef>
          </c:val>
        </c:ser>
        <c:dLbls>
          <c:showVal val="1"/>
        </c:dLbls>
        <c:gapWidth val="30"/>
        <c:overlap val="-10"/>
        <c:axId val="211367040"/>
        <c:axId val="211368960"/>
      </c:barChart>
      <c:lineChart>
        <c:grouping val="standard"/>
        <c:ser>
          <c:idx val="1"/>
          <c:order val="2"/>
          <c:tx>
            <c:strRef>
              <c:f>'IO municipio y catego'!$J$8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641526126738673E-2"/>
                  <c:y val="-0.3892818439275142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3895152814837861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6.6138295840312403E-2"/>
                  <c:y val="-0.1651022312439634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0.4370340661679251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693E-2"/>
                  <c:y val="-0.4680301864553832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515E-2"/>
                  <c:y val="-0.392593514168317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4203513022410663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catego'!$J$10,'IO municipio y catego'!$J$12:$J$16,'IO municipio y catego'!$J$18)</c:f>
              <c:numCache>
                <c:formatCode>0.00%</c:formatCode>
                <c:ptCount val="7"/>
                <c:pt idx="0">
                  <c:v>1.3679701024856815E-2</c:v>
                </c:pt>
                <c:pt idx="1">
                  <c:v>2.8203917699804591E-2</c:v>
                </c:pt>
                <c:pt idx="2">
                  <c:v>7.4092382394533543E-2</c:v>
                </c:pt>
                <c:pt idx="3">
                  <c:v>3.9691398419716591E-2</c:v>
                </c:pt>
                <c:pt idx="4">
                  <c:v>-1.4119060609218533E-2</c:v>
                </c:pt>
                <c:pt idx="5">
                  <c:v>-1.8174263425195295E-2</c:v>
                </c:pt>
                <c:pt idx="6">
                  <c:v>-3.2155405236088696E-3</c:v>
                </c:pt>
              </c:numCache>
            </c:numRef>
          </c:val>
        </c:ser>
        <c:dLbls>
          <c:showVal val="1"/>
        </c:dLbls>
        <c:marker val="1"/>
        <c:axId val="211407616"/>
        <c:axId val="211409152"/>
      </c:lineChart>
      <c:catAx>
        <c:axId val="2113670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368960"/>
        <c:crosses val="autoZero"/>
        <c:auto val="1"/>
        <c:lblAlgn val="ctr"/>
        <c:lblOffset val="100"/>
        <c:tickLblSkip val="1"/>
        <c:tickMarkSkip val="1"/>
      </c:catAx>
      <c:valAx>
        <c:axId val="21136896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11367040"/>
        <c:crosses val="autoZero"/>
        <c:crossBetween val="between"/>
      </c:valAx>
      <c:catAx>
        <c:axId val="211407616"/>
        <c:scaling>
          <c:orientation val="minMax"/>
        </c:scaling>
        <c:delete val="1"/>
        <c:axPos val="b"/>
        <c:tickLblPos val="none"/>
        <c:crossAx val="211409152"/>
        <c:crosses val="autoZero"/>
        <c:auto val="1"/>
        <c:lblAlgn val="ctr"/>
        <c:lblOffset val="100"/>
      </c:catAx>
      <c:valAx>
        <c:axId val="21140915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114076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79"/>
          <c:y val="0.1214949170854682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catego'!$B$21:$E$21</c:f>
          <c:strCache>
            <c:ptCount val="1"/>
            <c:pt idx="0">
              <c:v>INDICES DE OCUPACIÓN EN ALOJAMIENTO DE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5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41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catego'!$C$24,'IO municipio y catego'!$C$26:$C$29,'IO municipio y catego'!$C$31)</c:f>
              <c:numCache>
                <c:formatCode>#,##0.00_)</c:formatCode>
                <c:ptCount val="6"/>
                <c:pt idx="0">
                  <c:v>55.055308525715972</c:v>
                </c:pt>
                <c:pt idx="1">
                  <c:v>59.624365206741246</c:v>
                </c:pt>
                <c:pt idx="2">
                  <c:v>62.301000589417463</c:v>
                </c:pt>
                <c:pt idx="3">
                  <c:v>52.323487535576355</c:v>
                </c:pt>
                <c:pt idx="4">
                  <c:v>27.000607010976779</c:v>
                </c:pt>
                <c:pt idx="5">
                  <c:v>48.597891400732699</c:v>
                </c:pt>
              </c:numCache>
            </c:numRef>
          </c:val>
        </c:ser>
        <c:ser>
          <c:idx val="2"/>
          <c:order val="1"/>
          <c:tx>
            <c:strRef>
              <c:f>'IO municipio y catego'!$D$22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catego'!$D$24,'IO municipio y catego'!$D$26:$D$29,'IO municipio y catego'!$D$31)</c:f>
              <c:numCache>
                <c:formatCode>#,##0.00_)</c:formatCode>
                <c:ptCount val="6"/>
                <c:pt idx="0">
                  <c:v>53.995217413409314</c:v>
                </c:pt>
                <c:pt idx="1">
                  <c:v>59.811096091345739</c:v>
                </c:pt>
                <c:pt idx="2">
                  <c:v>63.245450507198356</c:v>
                </c:pt>
                <c:pt idx="3">
                  <c:v>49.170663407864112</c:v>
                </c:pt>
                <c:pt idx="4">
                  <c:v>28.176690778491576</c:v>
                </c:pt>
                <c:pt idx="5">
                  <c:v>44.995128586186198</c:v>
                </c:pt>
              </c:numCache>
            </c:numRef>
          </c:val>
        </c:ser>
        <c:dLbls>
          <c:showVal val="1"/>
        </c:dLbls>
        <c:gapWidth val="30"/>
        <c:overlap val="-10"/>
        <c:axId val="211481344"/>
        <c:axId val="211483264"/>
      </c:barChart>
      <c:lineChart>
        <c:grouping val="standard"/>
        <c:ser>
          <c:idx val="1"/>
          <c:order val="2"/>
          <c:tx>
            <c:strRef>
              <c:f>'IO municipio y catego'!$E$22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2811737358194060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895E-2"/>
                  <c:y val="-0.2107211026896066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243361230097214E-2"/>
                  <c:y val="-0.1858922520339844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865583119210133E-2"/>
                  <c:y val="-0.4120860412199008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800177777042662E-2"/>
                  <c:y val="-0.1187578371830340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588E-2"/>
                  <c:y val="-0.4424895640643680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catego'!$B$24,'IO municipio y catego'!$B$26:$B$29,'IO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catego'!$E$24,'IO municipio y catego'!$E$26:$E$29,'IO municipio y catego'!$E$31)</c:f>
              <c:numCache>
                <c:formatCode>0.00%</c:formatCode>
                <c:ptCount val="6"/>
                <c:pt idx="0">
                  <c:v>-1.9255020827128714E-2</c:v>
                </c:pt>
                <c:pt idx="1">
                  <c:v>3.1317882204200194E-3</c:v>
                </c:pt>
                <c:pt idx="2">
                  <c:v>1.5159466282172669E-2</c:v>
                </c:pt>
                <c:pt idx="3">
                  <c:v>-6.0256383437142659E-2</c:v>
                </c:pt>
                <c:pt idx="4">
                  <c:v>4.355767879724607E-2</c:v>
                </c:pt>
                <c:pt idx="5">
                  <c:v>-7.4134138554253895E-2</c:v>
                </c:pt>
              </c:numCache>
            </c:numRef>
          </c:val>
        </c:ser>
        <c:dLbls>
          <c:showVal val="1"/>
        </c:dLbls>
        <c:marker val="1"/>
        <c:axId val="211513728"/>
        <c:axId val="211515264"/>
      </c:lineChart>
      <c:catAx>
        <c:axId val="211481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483264"/>
        <c:crosses val="autoZero"/>
        <c:auto val="1"/>
        <c:lblAlgn val="ctr"/>
        <c:lblOffset val="100"/>
        <c:tickLblSkip val="1"/>
        <c:tickMarkSkip val="1"/>
      </c:catAx>
      <c:valAx>
        <c:axId val="21148326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11481344"/>
        <c:crosses val="autoZero"/>
        <c:crossBetween val="between"/>
      </c:valAx>
      <c:catAx>
        <c:axId val="211513728"/>
        <c:scaling>
          <c:orientation val="minMax"/>
        </c:scaling>
        <c:delete val="1"/>
        <c:axPos val="b"/>
        <c:tickLblPos val="none"/>
        <c:crossAx val="211515264"/>
        <c:crosses val="autoZero"/>
        <c:auto val="1"/>
        <c:lblAlgn val="ctr"/>
        <c:lblOffset val="100"/>
      </c:catAx>
      <c:valAx>
        <c:axId val="211515264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11513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catego'!$G$21:$J$21</c:f>
          <c:strCache>
            <c:ptCount val="1"/>
            <c:pt idx="0">
              <c:v>INDICES DE OCUPACIÓN EN ALOJAMIENTO DE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5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02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catego'!$G$26,'IO municipio y catego'!$G$27,'IO municipio y catego'!$G$28,'IO municipio y catego'!$G$29,'IO municipio y catego'!$G$30,'IO municipio y catego'!$G$32)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catego'!$H$24,'IO municipio y catego'!$H$26:$H$30,'IO municipio y catego'!$H$32)</c:f>
              <c:numCache>
                <c:formatCode>#,##0.00_)</c:formatCode>
                <c:ptCount val="7"/>
                <c:pt idx="0">
                  <c:v>41.859501432611275</c:v>
                </c:pt>
                <c:pt idx="1">
                  <c:v>41.859501432611275</c:v>
                </c:pt>
                <c:pt idx="2">
                  <c:v>32.173405211141059</c:v>
                </c:pt>
                <c:pt idx="3">
                  <c:v>46.6590761223162</c:v>
                </c:pt>
                <c:pt idx="4">
                  <c:v>52.776300319131067</c:v>
                </c:pt>
                <c:pt idx="5">
                  <c:v>41.988284306469012</c:v>
                </c:pt>
                <c:pt idx="6" formatCode="#,##0_)">
                  <c:v>0</c:v>
                </c:pt>
              </c:numCache>
            </c:numRef>
          </c:val>
        </c:ser>
        <c:ser>
          <c:idx val="2"/>
          <c:order val="1"/>
          <c:tx>
            <c:strRef>
              <c:f>'IO municipio y catego'!$I$22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catego'!$G$26,'IO municipio y catego'!$G$27,'IO municipio y catego'!$G$28,'IO municipio y catego'!$G$29,'IO municipio y catego'!$G$30,'IO municipio y catego'!$G$32)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catego'!$I$24,'IO municipio y catego'!$I$26:$I$30,'IO municipio y catego'!$I$32)</c:f>
              <c:numCache>
                <c:formatCode>#,##0.00_)</c:formatCode>
                <c:ptCount val="7"/>
                <c:pt idx="0">
                  <c:v>37.709338935825123</c:v>
                </c:pt>
                <c:pt idx="1">
                  <c:v>37.709338935825123</c:v>
                </c:pt>
                <c:pt idx="2">
                  <c:v>26.802316237526359</c:v>
                </c:pt>
                <c:pt idx="3">
                  <c:v>47.711450878334418</c:v>
                </c:pt>
                <c:pt idx="4">
                  <c:v>43.23316163708639</c:v>
                </c:pt>
                <c:pt idx="5">
                  <c:v>42.908018867924532</c:v>
                </c:pt>
                <c:pt idx="6" formatCode="#,##0_)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11575168"/>
        <c:axId val="211577088"/>
      </c:barChart>
      <c:lineChart>
        <c:grouping val="standard"/>
        <c:ser>
          <c:idx val="1"/>
          <c:order val="2"/>
          <c:tx>
            <c:strRef>
              <c:f>'IO municipio y catego'!$J$22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318596100643344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3188295381996184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352212418354151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0.1584477875816466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17784124877E-2"/>
                  <c:y val="-0.4098181282433253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789087706983E-2"/>
                  <c:y val="-0.1389552605300642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492952674055039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1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catego'!$J$24,'IO municipio y catego'!$J$26:$J$30,'IO municipio y catego'!$J$32)</c:f>
              <c:numCache>
                <c:formatCode>0.00%</c:formatCode>
                <c:ptCount val="7"/>
                <c:pt idx="0">
                  <c:v>-9.9145053207750466E-2</c:v>
                </c:pt>
                <c:pt idx="1">
                  <c:v>-9.9145053207750466E-2</c:v>
                </c:pt>
                <c:pt idx="2">
                  <c:v>-0.16694188688969705</c:v>
                </c:pt>
                <c:pt idx="3">
                  <c:v>2.2554556229519625E-2</c:v>
                </c:pt>
                <c:pt idx="4">
                  <c:v>-0.18082242643646151</c:v>
                </c:pt>
                <c:pt idx="5">
                  <c:v>2.1904552106546054E-2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11591168"/>
        <c:axId val="211592704"/>
      </c:lineChart>
      <c:catAx>
        <c:axId val="2115751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577088"/>
        <c:crosses val="autoZero"/>
        <c:auto val="1"/>
        <c:lblAlgn val="ctr"/>
        <c:lblOffset val="100"/>
        <c:tickLblSkip val="1"/>
        <c:tickMarkSkip val="1"/>
      </c:catAx>
      <c:valAx>
        <c:axId val="21157708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11575168"/>
        <c:crosses val="autoZero"/>
        <c:crossBetween val="between"/>
      </c:valAx>
      <c:catAx>
        <c:axId val="211591168"/>
        <c:scaling>
          <c:orientation val="minMax"/>
        </c:scaling>
        <c:delete val="1"/>
        <c:axPos val="b"/>
        <c:tickLblPos val="none"/>
        <c:crossAx val="211592704"/>
        <c:crosses val="autoZero"/>
        <c:auto val="1"/>
        <c:lblAlgn val="ctr"/>
        <c:lblOffset val="100"/>
      </c:catAx>
      <c:valAx>
        <c:axId val="211592704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115911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62"/>
          <c:y val="0.15060094619149794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'!$C$3:$J$3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'!$D$4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'!$D$69,'tablas turistas por categorías '!$D$56,'tablas turistas por categorías '!$D$43,'tablas turistas por categorías '!$D$30)</c:f>
              <c:numCache>
                <c:formatCode>#,##0</c:formatCode>
                <c:ptCount val="4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'!$E$4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'!$E$69,'tablas turistas por categorías '!$E$56,'tablas turistas por categorías '!$E$43,'tablas turistas por categorías '!$E$30)</c:f>
              <c:numCache>
                <c:formatCode>#,##0</c:formatCode>
                <c:ptCount val="4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'!$F$4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'!$F$69,'tablas turistas por categorías '!$F$56,'tablas turistas por categorías '!$F$43,'tablas turistas por categorías '!$F$30)</c:f>
              <c:numCache>
                <c:formatCode>#,##0</c:formatCode>
                <c:ptCount val="4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'!$G$4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'!$G$69,'tablas turistas por categorías '!$G$56,'tablas turistas por categorías '!$G$43,'tablas turistas por categorías '!$G$30)</c:f>
              <c:numCache>
                <c:formatCode>#,##0</c:formatCode>
                <c:ptCount val="4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'!$I$4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'!$I$69,'tablas turistas por categorías '!$I$56,'tablas turistas por categorías '!$I$43,'tablas turistas por categorías '!$I$30)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94977152"/>
        <c:axId val="194991616"/>
      </c:lineChart>
      <c:catAx>
        <c:axId val="194977152"/>
        <c:scaling>
          <c:orientation val="minMax"/>
        </c:scaling>
        <c:axPos val="b"/>
        <c:numFmt formatCode="General" sourceLinked="1"/>
        <c:tickLblPos val="nextTo"/>
        <c:crossAx val="194991616"/>
        <c:crosses val="autoZero"/>
        <c:auto val="1"/>
        <c:lblAlgn val="ctr"/>
        <c:lblOffset val="100"/>
      </c:catAx>
      <c:valAx>
        <c:axId val="194991616"/>
        <c:scaling>
          <c:orientation val="minMax"/>
        </c:scaling>
        <c:axPos val="l"/>
        <c:numFmt formatCode="#,##0" sourceLinked="1"/>
        <c:tickLblPos val="nextTo"/>
        <c:crossAx val="194977152"/>
        <c:crosses val="autoZero"/>
        <c:crossBetween val="between"/>
      </c:valAx>
    </c:plotArea>
    <c:legend>
      <c:legendPos val="t"/>
      <c:layout/>
    </c:legend>
    <c:plotVisOnly val="1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tipología'!$D$7</c:f>
          <c:strCache>
            <c:ptCount val="1"/>
            <c:pt idx="0">
              <c:v>acumulado julio 2010 </c:v>
            </c:pt>
          </c:strCache>
        </c:strRef>
      </c:tx>
      <c:layout>
        <c:manualLayout>
          <c:xMode val="edge"/>
          <c:yMode val="edge"/>
          <c:x val="0.40122724908996382"/>
          <c:y val="0.13041268049962934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237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('EM MUNICIPIO y tipología'!$D$9:$D$11,'EM MUNICIPIO y tipología'!$D$13:$D$15,'EM MUNICIPIO y tipología'!$D$17:$D$19,'EM MUNICIPIO y tipología'!$D$21:$D$23,'EM MUNICIPIO y tipología'!$D$25:$D$27)</c:f>
              <c:numCache>
                <c:formatCode>#,##0.00_)</c:formatCode>
                <c:ptCount val="15"/>
                <c:pt idx="0">
                  <c:v>7.4230055531193955</c:v>
                </c:pt>
                <c:pt idx="1">
                  <c:v>6.9716091279916652</c:v>
                </c:pt>
                <c:pt idx="2">
                  <c:v>8.1188801550950274</c:v>
                </c:pt>
                <c:pt idx="3">
                  <c:v>7.8662886756998951</c:v>
                </c:pt>
                <c:pt idx="4">
                  <c:v>7.5495798162773262</c:v>
                </c:pt>
                <c:pt idx="5">
                  <c:v>8.4760431611669063</c:v>
                </c:pt>
                <c:pt idx="6">
                  <c:v>7.9130712621375832</c:v>
                </c:pt>
                <c:pt idx="7">
                  <c:v>7.7246437529877481</c:v>
                </c:pt>
                <c:pt idx="8">
                  <c:v>8.0703581236339179</c:v>
                </c:pt>
                <c:pt idx="9">
                  <c:v>7.4466807543751008</c:v>
                </c:pt>
                <c:pt idx="10">
                  <c:v>7.3144525342056204</c:v>
                </c:pt>
                <c:pt idx="11">
                  <c:v>7.7342952665845504</c:v>
                </c:pt>
                <c:pt idx="12">
                  <c:v>2.0865799000172385</c:v>
                </c:pt>
                <c:pt idx="13">
                  <c:v>2.0865799000172385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211181568"/>
        <c:axId val="211183488"/>
      </c:barChart>
      <c:catAx>
        <c:axId val="211181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822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183488"/>
        <c:crosses val="autoZero"/>
        <c:auto val="1"/>
        <c:lblAlgn val="ctr"/>
        <c:lblOffset val="100"/>
        <c:tickLblSkip val="1"/>
        <c:tickMarkSkip val="1"/>
      </c:catAx>
      <c:valAx>
        <c:axId val="211183488"/>
        <c:scaling>
          <c:orientation val="minMax"/>
        </c:scaling>
        <c:delete val="1"/>
        <c:axPos val="l"/>
        <c:numFmt formatCode="#,##0.00_)" sourceLinked="1"/>
        <c:tickLblPos val="none"/>
        <c:crossAx val="21118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catego'!$B$7:$E$7</c:f>
          <c:strCache>
            <c:ptCount val="1"/>
            <c:pt idx="0">
              <c:v>ESTANCIA MEDIA DE LOS TURISTAS ALOJADOS EN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77"/>
          <c:y val="3.94977654820176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3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catego'!$C$10,'EM municipio y catego'!$C$12:$C$16,'EM municipio y catego'!$C$18)</c:f>
              <c:numCache>
                <c:formatCode>#,##0.00_)</c:formatCode>
                <c:ptCount val="7"/>
                <c:pt idx="0">
                  <c:v>8.1532598605680882</c:v>
                </c:pt>
                <c:pt idx="1">
                  <c:v>7.8624342994195553</c:v>
                </c:pt>
                <c:pt idx="2">
                  <c:v>7.0403310578142939</c:v>
                </c:pt>
                <c:pt idx="3">
                  <c:v>7.8551633954368834</c:v>
                </c:pt>
                <c:pt idx="4">
                  <c:v>8.5624304832980513</c:v>
                </c:pt>
                <c:pt idx="5">
                  <c:v>7.1304167959458065</c:v>
                </c:pt>
                <c:pt idx="6">
                  <c:v>8.6704294442486187</c:v>
                </c:pt>
              </c:numCache>
            </c:numRef>
          </c:val>
        </c:ser>
        <c:ser>
          <c:idx val="2"/>
          <c:order val="1"/>
          <c:tx>
            <c:strRef>
              <c:f>'EM municipio y catego'!$D$8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catego'!$D$10,'EM municipio y catego'!$D$12:$D$16,'EM municipio y catego'!$D$18)</c:f>
              <c:numCache>
                <c:formatCode>#,##0.00_)</c:formatCode>
                <c:ptCount val="7"/>
                <c:pt idx="0">
                  <c:v>7.8662886756998951</c:v>
                </c:pt>
                <c:pt idx="1">
                  <c:v>7.5495798162773262</c:v>
                </c:pt>
                <c:pt idx="2">
                  <c:v>6.8197293570074127</c:v>
                </c:pt>
                <c:pt idx="3">
                  <c:v>7.6012954952098388</c:v>
                </c:pt>
                <c:pt idx="4">
                  <c:v>8.0533512306043331</c:v>
                </c:pt>
                <c:pt idx="5">
                  <c:v>7.0084439083232812</c:v>
                </c:pt>
                <c:pt idx="6">
                  <c:v>8.4760431611669063</c:v>
                </c:pt>
              </c:numCache>
            </c:numRef>
          </c:val>
        </c:ser>
        <c:dLbls>
          <c:showVal val="1"/>
        </c:dLbls>
        <c:gapWidth val="30"/>
        <c:overlap val="-10"/>
        <c:axId val="212676608"/>
        <c:axId val="212678528"/>
      </c:barChart>
      <c:lineChart>
        <c:grouping val="standard"/>
        <c:ser>
          <c:idx val="1"/>
          <c:order val="2"/>
          <c:tx>
            <c:strRef>
              <c:f>'EM municipio y catego'!$E$8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3768078314535014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4061472981158020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91386454518522E-2"/>
                  <c:y val="-0.3189487124920203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478E-2"/>
                  <c:y val="-0.3663479954818549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323E-2"/>
                  <c:y val="-0.5470322654574608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75E-2"/>
                  <c:y val="-0.1306392522140551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5062264641448498E-2"/>
                  <c:y val="-0.2831371650269287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1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catego'!$E$10,'EM municipio y catego'!$E$12:$E$16,'EM municipio y catego'!$E$18)</c:f>
              <c:numCache>
                <c:formatCode>0.00</c:formatCode>
                <c:ptCount val="7"/>
                <c:pt idx="0">
                  <c:v>-0.28697118486819306</c:v>
                </c:pt>
                <c:pt idx="1">
                  <c:v>-0.31285448314222908</c:v>
                </c:pt>
                <c:pt idx="2">
                  <c:v>-0.22060170080688124</c:v>
                </c:pt>
                <c:pt idx="3">
                  <c:v>-0.25386790022704453</c:v>
                </c:pt>
                <c:pt idx="4">
                  <c:v>-0.50907925269371823</c:v>
                </c:pt>
                <c:pt idx="5">
                  <c:v>-0.12197288762252523</c:v>
                </c:pt>
                <c:pt idx="6">
                  <c:v>-0.19438628308171246</c:v>
                </c:pt>
              </c:numCache>
            </c:numRef>
          </c:val>
        </c:ser>
        <c:dLbls>
          <c:showVal val="1"/>
        </c:dLbls>
        <c:marker val="1"/>
        <c:axId val="212680064"/>
        <c:axId val="212685952"/>
      </c:lineChart>
      <c:catAx>
        <c:axId val="2126766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2678528"/>
        <c:crosses val="autoZero"/>
        <c:auto val="1"/>
        <c:lblAlgn val="ctr"/>
        <c:lblOffset val="100"/>
        <c:tickLblSkip val="1"/>
        <c:tickMarkSkip val="1"/>
      </c:catAx>
      <c:valAx>
        <c:axId val="21267852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12676608"/>
        <c:crosses val="autoZero"/>
        <c:crossBetween val="between"/>
      </c:valAx>
      <c:catAx>
        <c:axId val="212680064"/>
        <c:scaling>
          <c:orientation val="minMax"/>
        </c:scaling>
        <c:delete val="1"/>
        <c:axPos val="b"/>
        <c:tickLblPos val="none"/>
        <c:crossAx val="212685952"/>
        <c:crosses val="autoZero"/>
        <c:auto val="1"/>
        <c:lblAlgn val="ctr"/>
        <c:lblOffset val="100"/>
      </c:catAx>
      <c:valAx>
        <c:axId val="212685952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212680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catego'!$G$7:$J$7</c:f>
          <c:strCache>
            <c:ptCount val="1"/>
            <c:pt idx="0">
              <c:v>ESTANCIA MEDIA DE LOS TURISTAS ALOJADOS EN 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77"/>
          <c:y val="3.94977654820176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5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catego'!$H$10,'EM municipio y catego'!$H$12:$H$16,'EM municipio y catego'!$H$18)</c:f>
              <c:numCache>
                <c:formatCode>#,##0.00_)</c:formatCode>
                <c:ptCount val="7"/>
                <c:pt idx="0">
                  <c:v>8.1513584432960755</c:v>
                </c:pt>
                <c:pt idx="1">
                  <c:v>8.1106801032478852</c:v>
                </c:pt>
                <c:pt idx="2">
                  <c:v>7.8596404947500433</c:v>
                </c:pt>
                <c:pt idx="3">
                  <c:v>8.3299753117415687</c:v>
                </c:pt>
                <c:pt idx="4">
                  <c:v>7.85412333410369</c:v>
                </c:pt>
                <c:pt idx="5">
                  <c:v>7.4716624685138537</c:v>
                </c:pt>
                <c:pt idx="6">
                  <c:v>8.1814172422394442</c:v>
                </c:pt>
              </c:numCache>
            </c:numRef>
          </c:val>
        </c:ser>
        <c:ser>
          <c:idx val="2"/>
          <c:order val="1"/>
          <c:tx>
            <c:strRef>
              <c:f>'EM municipio y catego'!$I$8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catego'!$I$10,'EM municipio y catego'!$I$12:$I$16,'EM municipio y catego'!$I$18)</c:f>
              <c:numCache>
                <c:formatCode>#,##0.00_)</c:formatCode>
                <c:ptCount val="7"/>
                <c:pt idx="0">
                  <c:v>7.9130712621375832</c:v>
                </c:pt>
                <c:pt idx="1">
                  <c:v>7.7246437529877481</c:v>
                </c:pt>
                <c:pt idx="2">
                  <c:v>7.8531887638393263</c:v>
                </c:pt>
                <c:pt idx="3">
                  <c:v>7.791404938696374</c:v>
                </c:pt>
                <c:pt idx="4">
                  <c:v>7.6247996889845533</c:v>
                </c:pt>
                <c:pt idx="5">
                  <c:v>6.5581481481481481</c:v>
                </c:pt>
                <c:pt idx="6">
                  <c:v>8.0703581236339179</c:v>
                </c:pt>
              </c:numCache>
            </c:numRef>
          </c:val>
        </c:ser>
        <c:dLbls>
          <c:showVal val="1"/>
        </c:dLbls>
        <c:gapWidth val="30"/>
        <c:overlap val="-10"/>
        <c:axId val="212738816"/>
        <c:axId val="212740736"/>
      </c:barChart>
      <c:lineChart>
        <c:grouping val="standard"/>
        <c:ser>
          <c:idx val="1"/>
          <c:order val="2"/>
          <c:tx>
            <c:strRef>
              <c:f>'EM municipio y catego'!$J$8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3809658356115048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422779314747818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169260235401968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676153528421632E-2"/>
                  <c:y val="-0.5409841701180283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695E-2"/>
                  <c:y val="-0.3391320575572551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515E-2"/>
                  <c:y val="-0.5256496472244522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5062264641448498E-2"/>
                  <c:y val="-0.3413492232389873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15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catego'!$J$10,'EM municipio y catego'!$J$12:$J$16,'EM municipio y catego'!$J$18)</c:f>
              <c:numCache>
                <c:formatCode>0.00</c:formatCode>
                <c:ptCount val="7"/>
                <c:pt idx="0">
                  <c:v>-0.23828718115849234</c:v>
                </c:pt>
                <c:pt idx="1">
                  <c:v>-0.38603635026013716</c:v>
                </c:pt>
                <c:pt idx="2">
                  <c:v>-6.4517309107170462E-3</c:v>
                </c:pt>
                <c:pt idx="3">
                  <c:v>-0.53857037304519473</c:v>
                </c:pt>
                <c:pt idx="4">
                  <c:v>-0.22932364511913672</c:v>
                </c:pt>
                <c:pt idx="5">
                  <c:v>-0.91351432036570568</c:v>
                </c:pt>
                <c:pt idx="6">
                  <c:v>-0.11105911860552631</c:v>
                </c:pt>
              </c:numCache>
            </c:numRef>
          </c:val>
        </c:ser>
        <c:dLbls>
          <c:showVal val="1"/>
        </c:dLbls>
        <c:marker val="1"/>
        <c:axId val="212746624"/>
        <c:axId val="212748160"/>
      </c:lineChart>
      <c:catAx>
        <c:axId val="2127388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2740736"/>
        <c:crosses val="autoZero"/>
        <c:auto val="1"/>
        <c:lblAlgn val="ctr"/>
        <c:lblOffset val="100"/>
        <c:tickLblSkip val="1"/>
        <c:tickMarkSkip val="1"/>
      </c:catAx>
      <c:valAx>
        <c:axId val="21274073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12738816"/>
        <c:crosses val="autoZero"/>
        <c:crossBetween val="between"/>
      </c:valAx>
      <c:catAx>
        <c:axId val="212746624"/>
        <c:scaling>
          <c:orientation val="minMax"/>
        </c:scaling>
        <c:delete val="1"/>
        <c:axPos val="b"/>
        <c:tickLblPos val="none"/>
        <c:crossAx val="212748160"/>
        <c:crosses val="autoZero"/>
        <c:auto val="1"/>
        <c:lblAlgn val="ctr"/>
        <c:lblOffset val="100"/>
      </c:catAx>
      <c:valAx>
        <c:axId val="212748160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212746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84"/>
          <c:y val="0.1214949170854682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catego'!$B$21:$E$21</c:f>
          <c:strCache>
            <c:ptCount val="1"/>
            <c:pt idx="0">
              <c:v>ESTANCIA MEDIA DE LOS TURISTAS ALOJADOS EN 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63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catego'!$C$24,'EM municipio y catego'!$C$26:$C$29,'EM municipio y catego'!$C$31)</c:f>
              <c:numCache>
                <c:formatCode>#,##0.00_)</c:formatCode>
                <c:ptCount val="6"/>
                <c:pt idx="0">
                  <c:v>7.5759489961088793</c:v>
                </c:pt>
                <c:pt idx="1">
                  <c:v>7.2949145348877007</c:v>
                </c:pt>
                <c:pt idx="2">
                  <c:v>7.4398236092265941</c:v>
                </c:pt>
                <c:pt idx="3">
                  <c:v>6.9794759996857572</c:v>
                </c:pt>
                <c:pt idx="4">
                  <c:v>3.946580406654344</c:v>
                </c:pt>
                <c:pt idx="5">
                  <c:v>8.1182500264186839</c:v>
                </c:pt>
              </c:numCache>
            </c:numRef>
          </c:val>
        </c:ser>
        <c:ser>
          <c:idx val="2"/>
          <c:order val="1"/>
          <c:tx>
            <c:strRef>
              <c:f>'EM municipio y catego'!$D$22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catego'!$D$24,'EM municipio y catego'!$D$26:$D$29,'EM municipio y catego'!$D$31)</c:f>
              <c:numCache>
                <c:formatCode>#,##0.00_)</c:formatCode>
                <c:ptCount val="6"/>
                <c:pt idx="0">
                  <c:v>7.4466807543751008</c:v>
                </c:pt>
                <c:pt idx="1">
                  <c:v>7.3144525342056204</c:v>
                </c:pt>
                <c:pt idx="2">
                  <c:v>7.3756549726970864</c:v>
                </c:pt>
                <c:pt idx="3">
                  <c:v>7.4322975889355583</c:v>
                </c:pt>
                <c:pt idx="4">
                  <c:v>3.9014183155314304</c:v>
                </c:pt>
                <c:pt idx="5">
                  <c:v>7.7342952665845504</c:v>
                </c:pt>
              </c:numCache>
            </c:numRef>
          </c:val>
        </c:ser>
        <c:dLbls>
          <c:showVal val="1"/>
        </c:dLbls>
        <c:gapWidth val="30"/>
        <c:overlap val="-10"/>
        <c:axId val="212906368"/>
        <c:axId val="212908288"/>
      </c:barChart>
      <c:lineChart>
        <c:grouping val="standard"/>
        <c:ser>
          <c:idx val="1"/>
          <c:order val="2"/>
          <c:tx>
            <c:strRef>
              <c:f>'EM municipio y catego'!$E$22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8115E-2"/>
                  <c:y val="-0.380965835611505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895E-2"/>
                  <c:y val="-0.314671206639710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3605284266701596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521E-2"/>
                  <c:y val="-0.1376577667916250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803E-2"/>
                  <c:y val="-0.1395478579730548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588E-2"/>
                  <c:y val="-0.5214916430664462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15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catego'!$B$24,'EM municipio y catego'!$B$26:$B$29,'EM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catego'!$E$24,'EM municipio y catego'!$E$26:$E$29,'EM municipio y catego'!$E$31)</c:f>
              <c:numCache>
                <c:formatCode>0.00</c:formatCode>
                <c:ptCount val="6"/>
                <c:pt idx="0">
                  <c:v>-0.12926824173377849</c:v>
                </c:pt>
                <c:pt idx="1">
                  <c:v>1.9537999317919663E-2</c:v>
                </c:pt>
                <c:pt idx="2">
                  <c:v>-6.4168636529507772E-2</c:v>
                </c:pt>
                <c:pt idx="3">
                  <c:v>0.45282158924980109</c:v>
                </c:pt>
                <c:pt idx="4">
                  <c:v>-4.5162091122913584E-2</c:v>
                </c:pt>
                <c:pt idx="5">
                  <c:v>-0.38395475983413352</c:v>
                </c:pt>
              </c:numCache>
            </c:numRef>
          </c:val>
        </c:ser>
        <c:dLbls>
          <c:showVal val="1"/>
        </c:dLbls>
        <c:marker val="1"/>
        <c:axId val="212918272"/>
        <c:axId val="212919808"/>
      </c:lineChart>
      <c:catAx>
        <c:axId val="2129063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2908288"/>
        <c:crosses val="autoZero"/>
        <c:auto val="1"/>
        <c:lblAlgn val="ctr"/>
        <c:lblOffset val="100"/>
        <c:tickLblSkip val="1"/>
        <c:tickMarkSkip val="1"/>
      </c:catAx>
      <c:valAx>
        <c:axId val="21290828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12906368"/>
        <c:crosses val="autoZero"/>
        <c:crossBetween val="between"/>
      </c:valAx>
      <c:catAx>
        <c:axId val="212918272"/>
        <c:scaling>
          <c:orientation val="minMax"/>
        </c:scaling>
        <c:delete val="1"/>
        <c:axPos val="b"/>
        <c:tickLblPos val="none"/>
        <c:crossAx val="212919808"/>
        <c:crosses val="autoZero"/>
        <c:auto val="1"/>
        <c:lblAlgn val="ctr"/>
        <c:lblOffset val="100"/>
      </c:catAx>
      <c:valAx>
        <c:axId val="21291980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212918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catego'!$G$21:$J$21</c:f>
          <c:strCache>
            <c:ptCount val="1"/>
            <c:pt idx="0">
              <c:v>ESTANCIA MEDIA DE LOS TURISTAS ALOJADOS EN 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5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3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catego'!$G$26,'EM municipio y catego'!$G$27,'EM municipio y catego'!$G$28,'EM municipio y catego'!$G$29,'EM municipio y catego'!$G$30,'EM municipio y catego'!$G$32)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catego'!$H$24,'EM municipio y catego'!$H$26:$H$30,'EM municipio y catego'!$H$32)</c:f>
              <c:numCache>
                <c:formatCode>#,##0.00_)</c:formatCode>
                <c:ptCount val="7"/>
                <c:pt idx="0">
                  <c:v>2.3460685441687241</c:v>
                </c:pt>
                <c:pt idx="1">
                  <c:v>2.3460685441687241</c:v>
                </c:pt>
                <c:pt idx="2">
                  <c:v>2.2300482640510664</c:v>
                </c:pt>
                <c:pt idx="3">
                  <c:v>2.1653896961690884</c:v>
                </c:pt>
                <c:pt idx="4">
                  <c:v>2.5075981777674325</c:v>
                </c:pt>
                <c:pt idx="5">
                  <c:v>2.8754525706010137</c:v>
                </c:pt>
                <c:pt idx="6" formatCode="#,##0_)">
                  <c:v>0</c:v>
                </c:pt>
              </c:numCache>
            </c:numRef>
          </c:val>
        </c:ser>
        <c:ser>
          <c:idx val="2"/>
          <c:order val="1"/>
          <c:tx>
            <c:strRef>
              <c:f>'EM municipio y catego'!$I$22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catego'!$G$26,'EM municipio y catego'!$G$27,'EM municipio y catego'!$G$28,'EM municipio y catego'!$G$29,'EM municipio y catego'!$G$30,'EM municipio y catego'!$G$32)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catego'!$I$24,'EM municipio y catego'!$I$26:$I$30,'EM municipio y catego'!$I$32)</c:f>
              <c:numCache>
                <c:formatCode>#,##0.00_)</c:formatCode>
                <c:ptCount val="7"/>
                <c:pt idx="0">
                  <c:v>2.0865799000172385</c:v>
                </c:pt>
                <c:pt idx="1">
                  <c:v>2.0865799000172385</c:v>
                </c:pt>
                <c:pt idx="2">
                  <c:v>1.8100312448610425</c:v>
                </c:pt>
                <c:pt idx="3">
                  <c:v>2.1225036179450072</c:v>
                </c:pt>
                <c:pt idx="4">
                  <c:v>2.071387855011233</c:v>
                </c:pt>
                <c:pt idx="5">
                  <c:v>3.6768391269199676</c:v>
                </c:pt>
                <c:pt idx="6" formatCode="#,##0_)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13065728"/>
        <c:axId val="213067648"/>
      </c:barChart>
      <c:lineChart>
        <c:grouping val="standard"/>
        <c:ser>
          <c:idx val="1"/>
          <c:order val="2"/>
          <c:tx>
            <c:strRef>
              <c:f>'EM municipio y catego'!$J$22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777817389691424E-2"/>
                  <c:y val="-0.318596100643344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68203210495803E-2"/>
                  <c:y val="-0.3271458739175284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7380768331677233E-2"/>
                  <c:y val="-0.368844434986167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3967E-2"/>
                  <c:y val="-0.233292517229525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695E-2"/>
                  <c:y val="-0.3765540949792929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1597452813200850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4737132813252E-2"/>
                  <c:y val="4.534516345539967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catego'!$J$24,'EM municipio y catego'!$J$26:$J$30,'EM municipio y catego'!$J$32)</c:f>
              <c:numCache>
                <c:formatCode>0.00</c:formatCode>
                <c:ptCount val="7"/>
                <c:pt idx="0">
                  <c:v>-0.25948864415148565</c:v>
                </c:pt>
                <c:pt idx="1">
                  <c:v>-0.25948864415148565</c:v>
                </c:pt>
                <c:pt idx="2">
                  <c:v>-0.42001701919002388</c:v>
                </c:pt>
                <c:pt idx="3">
                  <c:v>-4.2886078224081192E-2</c:v>
                </c:pt>
                <c:pt idx="4">
                  <c:v>-0.43621032275619953</c:v>
                </c:pt>
                <c:pt idx="5">
                  <c:v>0.80138655631895395</c:v>
                </c:pt>
                <c:pt idx="6" formatCode="0.00%">
                  <c:v>0</c:v>
                </c:pt>
              </c:numCache>
            </c:numRef>
          </c:val>
        </c:ser>
        <c:dLbls>
          <c:showVal val="1"/>
        </c:dLbls>
        <c:marker val="1"/>
        <c:axId val="213069184"/>
        <c:axId val="213079168"/>
      </c:lineChart>
      <c:catAx>
        <c:axId val="2130657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4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3067648"/>
        <c:crosses val="autoZero"/>
        <c:auto val="1"/>
        <c:lblAlgn val="ctr"/>
        <c:lblOffset val="100"/>
        <c:tickLblSkip val="1"/>
        <c:tickMarkSkip val="1"/>
      </c:catAx>
      <c:valAx>
        <c:axId val="21306764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13065728"/>
        <c:crosses val="autoZero"/>
        <c:crossBetween val="between"/>
      </c:valAx>
      <c:catAx>
        <c:axId val="213069184"/>
        <c:scaling>
          <c:orientation val="minMax"/>
        </c:scaling>
        <c:delete val="1"/>
        <c:axPos val="b"/>
        <c:tickLblPos val="none"/>
        <c:crossAx val="213079168"/>
        <c:crosses val="autoZero"/>
        <c:auto val="1"/>
        <c:lblAlgn val="ctr"/>
        <c:lblOffset val="100"/>
      </c:catAx>
      <c:valAx>
        <c:axId val="21307916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213069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62"/>
          <c:y val="0.196338991929543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39288211894511643"/>
          <c:y val="8.1499653748493162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'!$E$7</c:f>
              <c:strCache>
                <c:ptCount val="1"/>
                <c:pt idx="0">
                  <c:v>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chemeClr val="accent3">
                      <a:lumMod val="50000"/>
                    </a:scheme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'!$E$9:$E$11,'Ofe Aloj Estim zona cat '!$E$13:$E$15,'Ofe Aloj Estim zona cat '!$E$17:$E$19,'Ofe Aloj Estim zona cat '!$E$21:$E$23,'Ofe Aloj Estim zona cat '!$E$25:$E$27,'Ofe Aloj Estim zona cat '!$E$29:$E$31,'Ofe Aloj Estim zona cat '!$E$33:$E$35,'Ofe Aloj Estim zona cat '!$E$37:$E$39)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214249472"/>
        <c:axId val="214251392"/>
      </c:barChart>
      <c:catAx>
        <c:axId val="2142494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9642640823833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4251392"/>
        <c:crosses val="autoZero"/>
        <c:auto val="1"/>
        <c:lblAlgn val="ctr"/>
        <c:lblOffset val="100"/>
        <c:tickLblSkip val="1"/>
        <c:tickMarkSkip val="1"/>
      </c:catAx>
      <c:valAx>
        <c:axId val="214251392"/>
        <c:scaling>
          <c:orientation val="minMax"/>
        </c:scaling>
        <c:delete val="1"/>
        <c:axPos val="l"/>
        <c:numFmt formatCode="#,##0_)" sourceLinked="1"/>
        <c:tickLblPos val="none"/>
        <c:crossAx val="214249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'!$L$7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38872411478710989"/>
          <c:y val="7.498499576803713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'!$L$7</c:f>
              <c:strCache>
                <c:ptCount val="1"/>
                <c:pt idx="0">
                  <c:v>II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prstClr val="white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'!$E$9:$E$11,'Ofe Aloj Estim zona cat '!$E$13:$E$15,'Ofe Aloj Estim zona cat '!$E$17:$E$19,'Ofe Aloj Estim zona cat '!$E$21:$E$23,'Ofe Aloj Estim zona cat '!$E$25:$E$27,'Ofe Aloj Estim zona cat '!$E$29:$E$31,'Ofe Aloj Estim zona cat '!$E$33:$E$35,'Ofe Aloj Estim zona cat '!$E$37:$E$39)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214313984"/>
        <c:axId val="214316160"/>
      </c:barChart>
      <c:catAx>
        <c:axId val="2143139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844E-4"/>
              <c:y val="0.947618479230438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4316160"/>
        <c:crosses val="autoZero"/>
        <c:auto val="1"/>
        <c:lblAlgn val="ctr"/>
        <c:lblOffset val="100"/>
        <c:tickLblSkip val="1"/>
        <c:tickMarkSkip val="1"/>
      </c:catAx>
      <c:valAx>
        <c:axId val="214316160"/>
        <c:scaling>
          <c:orientation val="minMax"/>
        </c:scaling>
        <c:delete val="1"/>
        <c:axPos val="l"/>
        <c:numFmt formatCode="#,##0_)" sourceLinked="1"/>
        <c:tickLblPos val="none"/>
        <c:crossAx val="21431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categ'!$C$6:$H$6</c:f>
          <c:strCache>
            <c:ptCount val="1"/>
            <c:pt idx="0">
              <c:v>PLAZAS ALOJATIVAS ESTIMADAS EN ADEJE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689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13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categ'!$D$7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categ'!$D$8:$D$14</c:f>
              <c:numCache>
                <c:formatCode>#,##0_)</c:formatCode>
                <c:ptCount val="7"/>
                <c:pt idx="0">
                  <c:v>65517</c:v>
                </c:pt>
                <c:pt idx="1">
                  <c:v>33977</c:v>
                </c:pt>
                <c:pt idx="2">
                  <c:v>4520</c:v>
                </c:pt>
                <c:pt idx="3">
                  <c:v>21699</c:v>
                </c:pt>
                <c:pt idx="4">
                  <c:v>7288</c:v>
                </c:pt>
                <c:pt idx="5">
                  <c:v>470</c:v>
                </c:pt>
                <c:pt idx="6">
                  <c:v>31540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categ'!$F$8:$F$14</c:f>
              <c:numCache>
                <c:formatCode>#,##0_)</c:formatCode>
                <c:ptCount val="7"/>
                <c:pt idx="0">
                  <c:v>63430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30575</c:v>
                </c:pt>
              </c:numCache>
            </c:numRef>
          </c:val>
        </c:ser>
        <c:dLbls>
          <c:showVal val="1"/>
        </c:dLbls>
        <c:gapWidth val="30"/>
        <c:overlap val="-10"/>
        <c:axId val="215486848"/>
        <c:axId val="215488768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27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1578917393E-2"/>
                  <c:y val="-0.113000979355192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8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32885523436E-2"/>
                  <c:y val="7.1701335840482772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5009E-2"/>
                  <c:y val="0.1780345516511931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672E-2"/>
                  <c:y val="-9.045512594507811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215494656"/>
        <c:axId val="215496192"/>
      </c:lineChart>
      <c:catAx>
        <c:axId val="2154868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488768"/>
        <c:crosses val="autoZero"/>
        <c:auto val="1"/>
        <c:lblAlgn val="ctr"/>
        <c:lblOffset val="100"/>
        <c:tickLblSkip val="1"/>
        <c:tickMarkSkip val="1"/>
      </c:catAx>
      <c:valAx>
        <c:axId val="21548876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5486848"/>
        <c:crosses val="autoZero"/>
        <c:crossBetween val="between"/>
      </c:valAx>
      <c:catAx>
        <c:axId val="215494656"/>
        <c:scaling>
          <c:orientation val="minMax"/>
        </c:scaling>
        <c:delete val="1"/>
        <c:axPos val="b"/>
        <c:tickLblPos val="none"/>
        <c:crossAx val="215496192"/>
        <c:crosses val="autoZero"/>
        <c:auto val="1"/>
        <c:lblAlgn val="ctr"/>
        <c:lblOffset val="100"/>
      </c:catAx>
      <c:valAx>
        <c:axId val="2154961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5494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31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categ'!$J$6:$O$6</c:f>
          <c:strCache>
            <c:ptCount val="1"/>
            <c:pt idx="0">
              <c:v>PLAZAS ALOJATIVAS ESTIMADAS  EN ADEJE SEGÚN TIPOLOGÍA Y CATEGORÍA (*)</c:v>
            </c:pt>
          </c:strCache>
        </c:strRef>
      </c:tx>
      <c:layout>
        <c:manualLayout>
          <c:xMode val="edge"/>
          <c:yMode val="edge"/>
          <c:x val="0.14827583699292601"/>
          <c:y val="7.649479662427650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19E-2"/>
          <c:y val="0.29936056069914491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categ'!$K$7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categ'!$K$8:$K$14</c:f>
              <c:numCache>
                <c:formatCode>#,##0_)</c:formatCode>
                <c:ptCount val="7"/>
                <c:pt idx="0">
                  <c:v>64757</c:v>
                </c:pt>
                <c:pt idx="1">
                  <c:v>33507</c:v>
                </c:pt>
                <c:pt idx="2">
                  <c:v>4520</c:v>
                </c:pt>
                <c:pt idx="3">
                  <c:v>21699</c:v>
                </c:pt>
                <c:pt idx="4">
                  <c:v>6818</c:v>
                </c:pt>
                <c:pt idx="5">
                  <c:v>470</c:v>
                </c:pt>
                <c:pt idx="6">
                  <c:v>31250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categ'!$M$7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categ'!$M$8:$M$14</c:f>
              <c:numCache>
                <c:formatCode>#,##0_)</c:formatCode>
                <c:ptCount val="7"/>
                <c:pt idx="0">
                  <c:v>62780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29925</c:v>
                </c:pt>
              </c:numCache>
            </c:numRef>
          </c:val>
        </c:ser>
        <c:dLbls>
          <c:showVal val="1"/>
        </c:dLbls>
        <c:gapWidth val="30"/>
        <c:overlap val="-10"/>
        <c:axId val="215573632"/>
        <c:axId val="215575552"/>
      </c:barChart>
      <c:lineChart>
        <c:grouping val="standard"/>
        <c:ser>
          <c:idx val="1"/>
          <c:order val="2"/>
          <c:tx>
            <c:strRef>
              <c:f>'Oferta Alojat Estim tipol categ'!$O$7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04454145450562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0.1090759361813106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0.1374023750708889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6.0852960979764529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-0.1842860086131745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384E-2"/>
                  <c:y val="0.1743999436833231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714479058511834E-2"/>
                  <c:y val="-0.1623668054456041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categ'!$O$8:$O$14</c:f>
              <c:numCache>
                <c:formatCode>0.0%</c:formatCode>
                <c:ptCount val="7"/>
                <c:pt idx="0">
                  <c:v>-3.0529518044381303E-2</c:v>
                </c:pt>
                <c:pt idx="1">
                  <c:v>-1.945862058674307E-2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-0.10266940451745379</c:v>
                </c:pt>
                <c:pt idx="5">
                  <c:v>0</c:v>
                </c:pt>
                <c:pt idx="6">
                  <c:v>-4.24E-2</c:v>
                </c:pt>
              </c:numCache>
            </c:numRef>
          </c:val>
        </c:ser>
        <c:dLbls>
          <c:showVal val="1"/>
        </c:dLbls>
        <c:marker val="1"/>
        <c:axId val="215614208"/>
        <c:axId val="215615744"/>
      </c:lineChart>
      <c:catAx>
        <c:axId val="2155736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575552"/>
        <c:crosses val="autoZero"/>
        <c:auto val="1"/>
        <c:lblAlgn val="ctr"/>
        <c:lblOffset val="100"/>
        <c:tickLblSkip val="1"/>
        <c:tickMarkSkip val="1"/>
      </c:catAx>
      <c:valAx>
        <c:axId val="2155755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5573632"/>
        <c:crosses val="autoZero"/>
        <c:crossBetween val="between"/>
      </c:valAx>
      <c:catAx>
        <c:axId val="215614208"/>
        <c:scaling>
          <c:orientation val="minMax"/>
        </c:scaling>
        <c:delete val="1"/>
        <c:axPos val="b"/>
        <c:tickLblPos val="none"/>
        <c:crossAx val="215615744"/>
        <c:crosses val="autoZero"/>
        <c:auto val="1"/>
        <c:lblAlgn val="ctr"/>
        <c:lblOffset val="100"/>
      </c:catAx>
      <c:valAx>
        <c:axId val="2156157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5614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27"/>
          <c:y val="0.15489210167709075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categ'!$C$19:$H$19</c:f>
          <c:strCache>
            <c:ptCount val="1"/>
            <c:pt idx="0">
              <c:v>PLAZAS ALOJATIVAS ESTIMADAS EN ARONA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73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36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categ'!$D$20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categ'!$D$21:$D$27</c:f>
              <c:numCache>
                <c:formatCode>#,##0_)</c:formatCode>
                <c:ptCount val="7"/>
                <c:pt idx="0">
                  <c:v>55465</c:v>
                </c:pt>
                <c:pt idx="1">
                  <c:v>20292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603</c:v>
                </c:pt>
                <c:pt idx="6">
                  <c:v>35173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categ'!$F$21:$F$27</c:f>
              <c:numCache>
                <c:formatCode>#,##0_)</c:formatCode>
                <c:ptCount val="7"/>
                <c:pt idx="0">
                  <c:v>53697</c:v>
                </c:pt>
                <c:pt idx="1">
                  <c:v>20363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547</c:v>
                </c:pt>
                <c:pt idx="6">
                  <c:v>33334</c:v>
                </c:pt>
              </c:numCache>
            </c:numRef>
          </c:val>
        </c:ser>
        <c:dLbls>
          <c:showVal val="1"/>
        </c:dLbls>
        <c:gapWidth val="30"/>
        <c:overlap val="-10"/>
        <c:axId val="215680128"/>
        <c:axId val="215682048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29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4950868744712687E-2"/>
                  <c:y val="-5.469204104588984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328E-2"/>
                  <c:y val="7.71408675956321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50055E-2"/>
                  <c:y val="0.1780345516511932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68458384850533E-2"/>
                  <c:y val="-0.15265153080354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215692032"/>
        <c:axId val="215693568"/>
      </c:lineChart>
      <c:catAx>
        <c:axId val="2156801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682048"/>
        <c:crosses val="autoZero"/>
        <c:auto val="1"/>
        <c:lblAlgn val="ctr"/>
        <c:lblOffset val="100"/>
        <c:tickLblSkip val="1"/>
        <c:tickMarkSkip val="1"/>
      </c:catAx>
      <c:valAx>
        <c:axId val="2156820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5680128"/>
        <c:crosses val="autoZero"/>
        <c:crossBetween val="between"/>
      </c:valAx>
      <c:catAx>
        <c:axId val="215692032"/>
        <c:scaling>
          <c:orientation val="minMax"/>
        </c:scaling>
        <c:delete val="1"/>
        <c:axPos val="b"/>
        <c:tickLblPos val="none"/>
        <c:crossAx val="215693568"/>
        <c:crosses val="autoZero"/>
        <c:auto val="1"/>
        <c:lblAlgn val="ctr"/>
        <c:lblOffset val="100"/>
      </c:catAx>
      <c:valAx>
        <c:axId val="2156935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56920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45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6475900282579619"/>
          <c:y val="0.15909090909090967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062E-2"/>
              <c:y val="1.2938306954054927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099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32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803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062E-2"/>
              <c:y val="1.2938306954054927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099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32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803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062E-2"/>
              <c:y val="1.2938306954054927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-0.14720657103603141"/>
              <c:y val="-3.4735099106400519E-2"/>
            </c:manualLayout>
          </c:layout>
          <c:showLegendKey val="1"/>
          <c:showCatName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32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803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3.4783550742836342E-3"/>
              <c:y val="-1.9955983762899202E-2"/>
            </c:manualLayout>
          </c:layout>
          <c:showLegendKey val="1"/>
          <c:showCatName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0.12926957301069072"/>
              <c:y val="-5.7067400736402049E-4"/>
            </c:manualLayout>
          </c:layout>
          <c:showLegendKey val="1"/>
          <c:showCatName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6.3073673014137799E-2"/>
              <c:y val="1.6829852790140383E-2"/>
            </c:manualLayout>
          </c:layout>
          <c:showLegendKey val="1"/>
          <c:showCatName val="1"/>
          <c:showPercent val="1"/>
          <c:separator>
</c:separator>
        </c:dLbl>
      </c:pivotFmt>
    </c:pivotFmts>
    <c:view3D>
      <c:rotX val="40"/>
      <c:hPercent val="70"/>
      <c:rotY val="10"/>
      <c:depthPercent val="100"/>
      <c:perspective val="30"/>
    </c:view3D>
    <c:sideWall>
      <c:spPr>
        <a:noFill/>
      </c:spPr>
    </c:sideWall>
    <c:backWall>
      <c:spPr>
        <a:noFill/>
      </c:spPr>
    </c:backWall>
    <c:plotArea>
      <c:layout>
        <c:manualLayout>
          <c:layoutTarget val="inner"/>
          <c:xMode val="edge"/>
          <c:yMode val="edge"/>
          <c:x val="0.13939519286168053"/>
          <c:y val="0.2461259423317427"/>
          <c:w val="0.79090033286069161"/>
          <c:h val="0.63083591823749596"/>
        </c:manualLayout>
      </c:layout>
      <c:pie3DChart>
        <c:varyColors val="1"/>
        <c:ser>
          <c:idx val="0"/>
          <c:order val="0"/>
          <c:tx>
            <c:v>2009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5"/>
          <c:dLbls>
            <c:dLbl>
              <c:idx val="0"/>
              <c:layout>
                <c:manualLayout>
                  <c:x val="6.3073673014137799E-2"/>
                  <c:y val="1.6829852790140383E-2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3.4783550742836342E-3"/>
                  <c:y val="-1.9955983762899202E-2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-0.14720657103603141"/>
                  <c:y val="-3.4735099106400519E-2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-0.12926957301069072"/>
                  <c:y val="-5.7067400736402049E-4"/>
                </c:manualLayout>
              </c:layout>
              <c:showLegendKey val="1"/>
              <c:showCatName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CatName val="1"/>
            <c:showPercent val="1"/>
            <c:separator>
</c:separator>
            <c:showLeaderLines val="1"/>
          </c:dLbls>
          <c:cat>
            <c:strLit>
              <c:ptCount val="4"/>
              <c:pt idx="0">
                <c:v>1*</c:v>
              </c:pt>
              <c:pt idx="1">
                <c:v>2*</c:v>
              </c:pt>
              <c:pt idx="2">
                <c:v>3 *</c:v>
              </c:pt>
              <c:pt idx="3">
                <c:v>4* y 5*</c:v>
              </c:pt>
            </c:strLit>
          </c:cat>
          <c:val>
            <c:numLit>
              <c:formatCode>General</c:formatCode>
              <c:ptCount val="4"/>
              <c:pt idx="0">
                <c:v>10332</c:v>
              </c:pt>
              <c:pt idx="1">
                <c:v>48863</c:v>
              </c:pt>
              <c:pt idx="2">
                <c:v>44447</c:v>
              </c:pt>
              <c:pt idx="3">
                <c:v>50731</c:v>
              </c:pt>
            </c:numLit>
          </c:val>
        </c:ser>
      </c:pie3DChart>
      <c:spPr>
        <a:scene3d>
          <a:camera prst="orthographicFront"/>
          <a:lightRig rig="threePt" dir="t"/>
        </a:scene3d>
        <a:sp3d/>
      </c:spPr>
    </c:plotArea>
    <c:plotVisOnly val="1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categ'!$J$19:$O$19</c:f>
          <c:strCache>
            <c:ptCount val="1"/>
            <c:pt idx="0">
              <c:v>PLAZAS ALOJATIVAS ESTIMADAS  EN ARONA SEGÚN TIPOLOGÍA Y CATEGORÍA (*)</c:v>
            </c:pt>
          </c:strCache>
        </c:strRef>
      </c:tx>
      <c:layout>
        <c:manualLayout>
          <c:xMode val="edge"/>
          <c:yMode val="edge"/>
          <c:x val="0.14827583699292646"/>
          <c:y val="7.649479662427672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513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categ'!$K$20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categ'!$J$21:$J$27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categ'!$K$21:$K$27</c:f>
              <c:numCache>
                <c:formatCode>#,##0_)</c:formatCode>
                <c:ptCount val="7"/>
                <c:pt idx="0">
                  <c:v>54367</c:v>
                </c:pt>
                <c:pt idx="1">
                  <c:v>20236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547</c:v>
                </c:pt>
                <c:pt idx="6">
                  <c:v>34131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categ'!$M$20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categ'!$J$21:$J$27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categ'!$M$21:$M$27</c:f>
              <c:numCache>
                <c:formatCode>#,##0_)</c:formatCode>
                <c:ptCount val="7"/>
                <c:pt idx="0">
                  <c:v>53044</c:v>
                </c:pt>
                <c:pt idx="1">
                  <c:v>20332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516</c:v>
                </c:pt>
                <c:pt idx="6">
                  <c:v>32712</c:v>
                </c:pt>
              </c:numCache>
            </c:numRef>
          </c:val>
        </c:ser>
        <c:dLbls>
          <c:showVal val="1"/>
        </c:dLbls>
        <c:gapWidth val="30"/>
        <c:overlap val="-10"/>
        <c:axId val="215762048"/>
        <c:axId val="215763968"/>
      </c:barChart>
      <c:lineChart>
        <c:grouping val="standard"/>
        <c:ser>
          <c:idx val="1"/>
          <c:order val="2"/>
          <c:tx>
            <c:strRef>
              <c:f>'Oferta Alojat Estim tipol categ'!$O$20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178795505872139E-2"/>
                  <c:y val="-0.350015429434384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76568642105989E-2"/>
                  <c:y val="-2.013654973572735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39E-2"/>
                  <c:y val="0.1027202836224367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678886406515756E-2"/>
                  <c:y val="7.544947899488083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393789668033E-2"/>
                  <c:y val="7.004932867547478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384E-2"/>
                  <c:y val="-0.1030567879042944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739E-2"/>
                  <c:y val="-0.2972416055229182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categ'!$O$21:$O$27</c:f>
              <c:numCache>
                <c:formatCode>0.0%</c:formatCode>
                <c:ptCount val="7"/>
                <c:pt idx="0">
                  <c:v>-2.4334614747916934E-2</c:v>
                </c:pt>
                <c:pt idx="1">
                  <c:v>4.7440205574224154E-3</c:v>
                </c:pt>
                <c:pt idx="2">
                  <c:v>0</c:v>
                </c:pt>
                <c:pt idx="3">
                  <c:v>1.2068801672526846E-2</c:v>
                </c:pt>
                <c:pt idx="4">
                  <c:v>0</c:v>
                </c:pt>
                <c:pt idx="5">
                  <c:v>-5.6672760511882997E-2</c:v>
                </c:pt>
                <c:pt idx="6">
                  <c:v>-4.1575107673376112E-2</c:v>
                </c:pt>
              </c:numCache>
            </c:numRef>
          </c:val>
        </c:ser>
        <c:dLbls>
          <c:showVal val="1"/>
        </c:dLbls>
        <c:marker val="1"/>
        <c:axId val="215778048"/>
        <c:axId val="215779584"/>
      </c:lineChart>
      <c:catAx>
        <c:axId val="215762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763968"/>
        <c:crosses val="autoZero"/>
        <c:auto val="1"/>
        <c:lblAlgn val="ctr"/>
        <c:lblOffset val="100"/>
        <c:tickLblSkip val="1"/>
        <c:tickMarkSkip val="1"/>
      </c:catAx>
      <c:valAx>
        <c:axId val="21576396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5762048"/>
        <c:crosses val="autoZero"/>
        <c:crossBetween val="between"/>
      </c:valAx>
      <c:catAx>
        <c:axId val="215778048"/>
        <c:scaling>
          <c:orientation val="minMax"/>
        </c:scaling>
        <c:delete val="1"/>
        <c:axPos val="b"/>
        <c:tickLblPos val="none"/>
        <c:crossAx val="215779584"/>
        <c:crosses val="autoZero"/>
        <c:auto val="1"/>
        <c:lblAlgn val="ctr"/>
        <c:lblOffset val="100"/>
      </c:catAx>
      <c:valAx>
        <c:axId val="2157795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5778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38"/>
          <c:y val="0.15489210167709086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categ'!$C$31:$H$31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76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47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categ'!$D$32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categ'!$D$33:$D$38</c:f>
              <c:numCache>
                <c:formatCode>#,##0_)</c:formatCode>
                <c:ptCount val="6"/>
                <c:pt idx="0">
                  <c:v>28846</c:v>
                </c:pt>
                <c:pt idx="1">
                  <c:v>16831</c:v>
                </c:pt>
                <c:pt idx="2">
                  <c:v>13239</c:v>
                </c:pt>
                <c:pt idx="3">
                  <c:v>3219</c:v>
                </c:pt>
                <c:pt idx="4">
                  <c:v>373</c:v>
                </c:pt>
                <c:pt idx="5">
                  <c:v>12015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categ'!$F$33:$F$38</c:f>
              <c:numCache>
                <c:formatCode>#,##0_)</c:formatCode>
                <c:ptCount val="6"/>
                <c:pt idx="0">
                  <c:v>27225</c:v>
                </c:pt>
                <c:pt idx="1">
                  <c:v>16442</c:v>
                </c:pt>
                <c:pt idx="2">
                  <c:v>12955</c:v>
                </c:pt>
                <c:pt idx="3">
                  <c:v>3114</c:v>
                </c:pt>
                <c:pt idx="4">
                  <c:v>373</c:v>
                </c:pt>
                <c:pt idx="5">
                  <c:v>10783</c:v>
                </c:pt>
              </c:numCache>
            </c:numRef>
          </c:val>
        </c:ser>
        <c:dLbls>
          <c:showVal val="1"/>
        </c:dLbls>
        <c:gapWidth val="30"/>
        <c:overlap val="-10"/>
        <c:axId val="215876352"/>
        <c:axId val="215878272"/>
      </c:barChart>
      <c:lineChart>
        <c:grouping val="standard"/>
        <c:ser>
          <c:idx val="1"/>
          <c:order val="2"/>
          <c:tx>
            <c:strRef>
              <c:f>'Oferta Alojat Estim tipol categ'!$H$32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86061039893E-2"/>
                  <c:y val="-0.2991627067024794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166E-2"/>
                  <c:y val="-8.967746378641489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-3.119701874000449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6077308518437E-2"/>
                  <c:y val="5.381725243528233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0.223974044060818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41003448949103E-2"/>
                  <c:y val="-0.2767760152429933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776E-2"/>
                  <c:y val="-9.0455125945078235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categ'!$H$33:$H$38</c:f>
              <c:numCache>
                <c:formatCode>0.0%</c:formatCode>
                <c:ptCount val="6"/>
                <c:pt idx="0">
                  <c:v>-5.6194966373153993E-2</c:v>
                </c:pt>
                <c:pt idx="1">
                  <c:v>-2.3112114550531755E-2</c:v>
                </c:pt>
                <c:pt idx="2">
                  <c:v>-2.1451771281818868E-2</c:v>
                </c:pt>
                <c:pt idx="3">
                  <c:v>-3.2618825722273995E-2</c:v>
                </c:pt>
                <c:pt idx="4">
                  <c:v>0</c:v>
                </c:pt>
                <c:pt idx="5">
                  <c:v>-0.10253849354972951</c:v>
                </c:pt>
              </c:numCache>
            </c:numRef>
          </c:val>
        </c:ser>
        <c:dLbls>
          <c:showVal val="1"/>
        </c:dLbls>
        <c:marker val="1"/>
        <c:axId val="215892352"/>
        <c:axId val="215893888"/>
      </c:lineChart>
      <c:catAx>
        <c:axId val="2158763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878272"/>
        <c:crosses val="autoZero"/>
        <c:auto val="1"/>
        <c:lblAlgn val="ctr"/>
        <c:lblOffset val="100"/>
        <c:tickLblSkip val="1"/>
        <c:tickMarkSkip val="1"/>
      </c:catAx>
      <c:valAx>
        <c:axId val="2158782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5876352"/>
        <c:crosses val="autoZero"/>
        <c:crossBetween val="between"/>
      </c:valAx>
      <c:catAx>
        <c:axId val="215892352"/>
        <c:scaling>
          <c:orientation val="minMax"/>
        </c:scaling>
        <c:delete val="1"/>
        <c:axPos val="b"/>
        <c:tickLblPos val="none"/>
        <c:crossAx val="215893888"/>
        <c:crosses val="autoZero"/>
        <c:auto val="1"/>
        <c:lblAlgn val="ctr"/>
        <c:lblOffset val="100"/>
      </c:catAx>
      <c:valAx>
        <c:axId val="2158938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5892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38572915988769"/>
          <c:y val="0.13226509951562226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categ'!$J$31:$O$31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4827583699292651"/>
          <c:y val="7.649479662427676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546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categ'!$K$32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categ'!$J$33:$J$38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categ'!$K$33:$K$38</c:f>
              <c:numCache>
                <c:formatCode>#,##0_)</c:formatCode>
                <c:ptCount val="6"/>
                <c:pt idx="0">
                  <c:v>28475</c:v>
                </c:pt>
                <c:pt idx="1">
                  <c:v>17038</c:v>
                </c:pt>
                <c:pt idx="2">
                  <c:v>13551</c:v>
                </c:pt>
                <c:pt idx="3">
                  <c:v>3114</c:v>
                </c:pt>
                <c:pt idx="4">
                  <c:v>373</c:v>
                </c:pt>
                <c:pt idx="5">
                  <c:v>11437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categ'!$M$32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categ'!$J$33:$J$38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categ'!$M$33:$M$38</c:f>
              <c:numCache>
                <c:formatCode>#,##0_)</c:formatCode>
                <c:ptCount val="6"/>
                <c:pt idx="0">
                  <c:v>25676</c:v>
                </c:pt>
                <c:pt idx="1">
                  <c:v>16158</c:v>
                </c:pt>
                <c:pt idx="2">
                  <c:v>12955</c:v>
                </c:pt>
                <c:pt idx="3">
                  <c:v>2830</c:v>
                </c:pt>
                <c:pt idx="4">
                  <c:v>373</c:v>
                </c:pt>
                <c:pt idx="5">
                  <c:v>9518</c:v>
                </c:pt>
              </c:numCache>
            </c:numRef>
          </c:val>
        </c:ser>
        <c:dLbls>
          <c:showVal val="1"/>
        </c:dLbls>
        <c:gapWidth val="30"/>
        <c:overlap val="-10"/>
        <c:axId val="215945600"/>
        <c:axId val="215947520"/>
      </c:barChart>
      <c:lineChart>
        <c:grouping val="standard"/>
        <c:ser>
          <c:idx val="1"/>
          <c:order val="2"/>
          <c:tx>
            <c:strRef>
              <c:f>'Oferta Alojat Estim tipol categ'!$O$32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893542667923682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458E-2"/>
                  <c:y val="-0.1456693355390700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64121717981797E-2"/>
                  <c:y val="-8.610443648580301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-3.245036106697044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0.2241916539048908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495E-2"/>
                  <c:y val="-0.3342707308939765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635E-2"/>
                  <c:y val="-0.1662203711620993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categ'!$O$33:$O$38</c:f>
              <c:numCache>
                <c:formatCode>0.0%</c:formatCode>
                <c:ptCount val="6"/>
                <c:pt idx="0">
                  <c:v>-9.8296751536435467E-2</c:v>
                </c:pt>
                <c:pt idx="1">
                  <c:v>-5.1649254607348281E-2</c:v>
                </c:pt>
                <c:pt idx="2">
                  <c:v>-4.3981993948786068E-2</c:v>
                </c:pt>
                <c:pt idx="3">
                  <c:v>-9.1201027617212591E-2</c:v>
                </c:pt>
                <c:pt idx="4">
                  <c:v>0</c:v>
                </c:pt>
                <c:pt idx="5">
                  <c:v>-0.16778875579260297</c:v>
                </c:pt>
              </c:numCache>
            </c:numRef>
          </c:val>
        </c:ser>
        <c:dLbls>
          <c:showVal val="1"/>
        </c:dLbls>
        <c:marker val="1"/>
        <c:axId val="215986176"/>
        <c:axId val="215987712"/>
      </c:lineChart>
      <c:catAx>
        <c:axId val="2159456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947520"/>
        <c:crosses val="autoZero"/>
        <c:auto val="1"/>
        <c:lblAlgn val="ctr"/>
        <c:lblOffset val="100"/>
        <c:tickLblSkip val="1"/>
        <c:tickMarkSkip val="1"/>
      </c:catAx>
      <c:valAx>
        <c:axId val="2159475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5945600"/>
        <c:crosses val="autoZero"/>
        <c:crossBetween val="between"/>
      </c:valAx>
      <c:catAx>
        <c:axId val="215986176"/>
        <c:scaling>
          <c:orientation val="minMax"/>
        </c:scaling>
        <c:delete val="1"/>
        <c:axPos val="b"/>
        <c:tickLblPos val="none"/>
        <c:crossAx val="215987712"/>
        <c:crosses val="autoZero"/>
        <c:auto val="1"/>
        <c:lblAlgn val="ctr"/>
        <c:lblOffset val="100"/>
      </c:catAx>
      <c:valAx>
        <c:axId val="2159877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5986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688"/>
          <c:y val="0.1356242730946164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categ'!$J$42:$O$42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4827583699292651"/>
          <c:y val="7.649479662427676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84E-2"/>
          <c:y val="0.36479370224195601"/>
          <c:w val="0.87185077750350792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categ'!$K$43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categ'!$K$44:$K$50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categ'!$M$43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categ'!$M$44:$M$50</c:f>
              <c:numCache>
                <c:formatCode>#,##0_)</c:formatCode>
                <c:ptCount val="7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16060288"/>
        <c:axId val="216062208"/>
      </c:barChart>
      <c:lineChart>
        <c:grouping val="standard"/>
        <c:ser>
          <c:idx val="1"/>
          <c:order val="2"/>
          <c:tx>
            <c:strRef>
              <c:f>'Oferta Alojat Estim tipol categ'!$O$43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2479896979320311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0.247496927008913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-0.2556613280115689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889998101184E-2"/>
                  <c:y val="0.1486672276082798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555390812166E-2"/>
                  <c:y val="0.139413511572379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384E-2"/>
                  <c:y val="0.1898142065493021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714479058511834E-2"/>
                  <c:y val="0.2692325548018007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categ'!$O$44:$O$50</c:f>
              <c:numCache>
                <c:formatCode>0.0%</c:formatCode>
                <c:ptCount val="7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16072192"/>
        <c:axId val="216073728"/>
      </c:lineChart>
      <c:catAx>
        <c:axId val="2160602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6062208"/>
        <c:crosses val="autoZero"/>
        <c:auto val="1"/>
        <c:lblAlgn val="ctr"/>
        <c:lblOffset val="100"/>
        <c:tickLblSkip val="1"/>
        <c:tickMarkSkip val="1"/>
      </c:catAx>
      <c:valAx>
        <c:axId val="2160622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6060288"/>
        <c:crosses val="autoZero"/>
        <c:crossBetween val="between"/>
      </c:valAx>
      <c:catAx>
        <c:axId val="216072192"/>
        <c:scaling>
          <c:orientation val="minMax"/>
        </c:scaling>
        <c:delete val="1"/>
        <c:axPos val="b"/>
        <c:tickLblPos val="none"/>
        <c:crossAx val="216073728"/>
        <c:crosses val="autoZero"/>
        <c:auto val="1"/>
        <c:lblAlgn val="ctr"/>
        <c:lblOffset val="100"/>
      </c:catAx>
      <c:valAx>
        <c:axId val="2160737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6072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1407990368572"/>
          <c:y val="0.13177070737812188"/>
          <c:w val="0.60468794204462761"/>
          <c:h val="6.507337401525466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categ'!$C$42:$H$42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0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categ'!$D$43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categ'!$C$44:$C$50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categ'!$D$44:$D$50</c:f>
              <c:numCache>
                <c:formatCode>#,##0_)</c:formatCode>
                <c:ptCount val="7"/>
                <c:pt idx="0">
                  <c:v>2531</c:v>
                </c:pt>
                <c:pt idx="1">
                  <c:v>2531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227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categ'!$C$44:$C$50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categ'!$F$44:$F$50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16154496"/>
        <c:axId val="216156416"/>
      </c:barChart>
      <c:lineChart>
        <c:grouping val="standard"/>
        <c:ser>
          <c:idx val="1"/>
          <c:order val="2"/>
          <c:tx>
            <c:strRef>
              <c:f>'Oferta Alojat Estim tipol categ'!$H$43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1553337465469881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166E-2"/>
                  <c:y val="-0.140211963300505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3.48865575476534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0.1121262903361572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0.111243237452461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87746469695E-2"/>
                  <c:y val="-0.1057361707337607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285E-2"/>
                  <c:y val="0.197202696601700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categ'!$H$44:$H$50</c:f>
              <c:numCache>
                <c:formatCode>0.0%</c:formatCode>
                <c:ptCount val="7"/>
                <c:pt idx="0">
                  <c:v>-1.066772026866851E-2</c:v>
                </c:pt>
                <c:pt idx="1">
                  <c:v>-1.066772026866851E-2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-0.11894273127753303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16174592"/>
        <c:axId val="216176128"/>
      </c:lineChart>
      <c:catAx>
        <c:axId val="2161544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6156416"/>
        <c:crosses val="autoZero"/>
        <c:auto val="1"/>
        <c:lblAlgn val="ctr"/>
        <c:lblOffset val="100"/>
        <c:tickLblSkip val="1"/>
        <c:tickMarkSkip val="1"/>
      </c:catAx>
      <c:valAx>
        <c:axId val="21615641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6154496"/>
        <c:crosses val="autoZero"/>
        <c:crossBetween val="between"/>
      </c:valAx>
      <c:catAx>
        <c:axId val="216174592"/>
        <c:scaling>
          <c:orientation val="minMax"/>
        </c:scaling>
        <c:delete val="1"/>
        <c:axPos val="b"/>
        <c:tickLblPos val="none"/>
        <c:crossAx val="216176128"/>
        <c:crosses val="autoZero"/>
        <c:auto val="1"/>
        <c:lblAlgn val="ctr"/>
        <c:lblOffset val="100"/>
      </c:catAx>
      <c:valAx>
        <c:axId val="2161761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6174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7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4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14"/>
          <c:w val="0.61919715434631695"/>
          <c:h val="0.782945736434111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2E-3"/>
                  <c:y val="-0.17659573389278682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0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8985E-3"/>
                  <c:y val="-3.987670145882984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839E-4"/>
                  <c:y val="3.085027162302399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categ'!$C$14,'Oferta Alojat Estim tipol categ'!$C$10:$C$13)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categ'!$G$14,'Oferta Alojat Estim tipol categ'!$G$10:$G$13)</c:f>
              <c:numCache>
                <c:formatCode>0.0%</c:formatCode>
                <c:ptCount val="5"/>
                <c:pt idx="0">
                  <c:v>0.48202743181459878</c:v>
                </c:pt>
                <c:pt idx="1">
                  <c:v>7.20163960271165E-2</c:v>
                </c:pt>
                <c:pt idx="2">
                  <c:v>0.34209364653949237</c:v>
                </c:pt>
                <c:pt idx="3">
                  <c:v>9.6452782594986602E-2</c:v>
                </c:pt>
                <c:pt idx="4">
                  <c:v>7.4097430238057697E-3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5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25"/>
          <c:w val="0.61919715434631695"/>
          <c:h val="0.782945736434112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45E-4"/>
                  <c:y val="-0.17659573948605448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15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011E-3"/>
                  <c:y val="-3.987670145882985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744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categ'!$C$27,'Oferta Alojat Estim tipol categ'!$C$23:$C$26)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categ'!$G$27,'Oferta Alojat Estim tipol categ'!$G$23:$G$26)</c:f>
              <c:numCache>
                <c:formatCode>0.0%</c:formatCode>
                <c:ptCount val="5"/>
                <c:pt idx="0">
                  <c:v>0.62077955937948115</c:v>
                </c:pt>
                <c:pt idx="1">
                  <c:v>4.6240944559286366E-2</c:v>
                </c:pt>
                <c:pt idx="2">
                  <c:v>0.19833510251969383</c:v>
                </c:pt>
                <c:pt idx="3">
                  <c:v>0.12445760470789802</c:v>
                </c:pt>
                <c:pt idx="4">
                  <c:v>1.0186788833640614E-2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5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25"/>
          <c:w val="0.61919715434631695"/>
          <c:h val="0.782945736434112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45E-4"/>
                  <c:y val="-0.17659573948605448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08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categ'!$C$38,'Oferta Alojat Estim tipol categ'!$C$35:$C$37)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categ'!$G$38,'Oferta Alojat Estim tipol categ'!$G$35:$G$37)</c:f>
              <c:numCache>
                <c:formatCode>0.0%</c:formatCode>
                <c:ptCount val="4"/>
                <c:pt idx="0">
                  <c:v>0.39606978879706151</c:v>
                </c:pt>
                <c:pt idx="1">
                  <c:v>0.47584940312213042</c:v>
                </c:pt>
                <c:pt idx="2">
                  <c:v>0.11438016528925619</c:v>
                </c:pt>
                <c:pt idx="3">
                  <c:v>1.3700642791551882E-2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5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203"/>
        </c:manualLayout>
      </c:layout>
      <c:pie3DChart>
        <c:varyColors val="1"/>
        <c:ser>
          <c:idx val="0"/>
          <c:order val="0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6.7135150819715383E-2"/>
                  <c:y val="-2.059980332850254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10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904E-4"/>
                  <c:y val="3.0850271623024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categ'!$C$46:$C$49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categ'!$G$46:$G$49</c:f>
              <c:numCache>
                <c:formatCode>0.0%</c:formatCode>
                <c:ptCount val="4"/>
                <c:pt idx="0">
                  <c:v>0.41932907348242809</c:v>
                </c:pt>
                <c:pt idx="1">
                  <c:v>0.23162939297124602</c:v>
                </c:pt>
                <c:pt idx="2">
                  <c:v>0.26916932907348246</c:v>
                </c:pt>
                <c:pt idx="3">
                  <c:v>7.9872204472843447E-2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5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25"/>
          <c:w val="0.61919715434631695"/>
          <c:h val="0.782945736434112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categ'!$M$7</c:f>
              <c:strCache>
                <c:ptCount val="1"/>
                <c:pt idx="0">
                  <c:v>II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38E-3"/>
                  <c:y val="-0.1765957338927869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15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011E-3"/>
                  <c:y val="-3.987670145882985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904E-4"/>
                  <c:y val="3.0850271623024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categ'!$J$14,'Oferta Alojat Estim tipol categ'!$J$10:$J$13)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categ'!$N$14,'Oferta Alojat Estim tipol categ'!$N$10:$N$13)</c:f>
              <c:numCache>
                <c:formatCode>0.0%</c:formatCode>
                <c:ptCount val="5"/>
                <c:pt idx="0">
                  <c:v>0.47666454284804077</c:v>
                </c:pt>
                <c:pt idx="1">
                  <c:v>7.2762026122969101E-2</c:v>
                </c:pt>
                <c:pt idx="2">
                  <c:v>0.34563555272379737</c:v>
                </c:pt>
                <c:pt idx="3">
                  <c:v>9.7451417648932781E-2</c:v>
                </c:pt>
                <c:pt idx="4">
                  <c:v>7.4864606562599556E-3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33970123740352509"/>
          <c:y val="0.1421279012801488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294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294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2327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83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24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294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2327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83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24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294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2327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6.6790534275968594E-2"/>
              <c:y val="-3.6684819266843303E-3"/>
            </c:manualLayout>
          </c:layout>
          <c:showLegendKey val="1"/>
          <c:showCatName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83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24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4.0437080344746607E-2"/>
              <c:y val="-0.1102731410151731"/>
            </c:manualLayout>
          </c:layout>
          <c:showLegendKey val="1"/>
          <c:showCatName val="1"/>
          <c:showPercent val="1"/>
          <c:separator>
</c:separator>
        </c:dLbl>
      </c:pivotFmt>
      <c:pivotFmt>
        <c:idx val="19"/>
        <c:dLbl>
          <c:idx val="0"/>
          <c:layout>
            <c:manualLayout>
              <c:x val="2.6221002980925591E-2"/>
              <c:y val="-9.7697436152311508E-4"/>
            </c:manualLayout>
          </c:layout>
          <c:showLegendKey val="1"/>
          <c:showCatName val="1"/>
          <c:showPercent val="1"/>
          <c:separator>
</c:separator>
        </c:dLbl>
      </c:pivotFmt>
      <c:pivotFmt>
        <c:idx val="20"/>
        <c:dLbl>
          <c:idx val="0"/>
          <c:layout>
            <c:manualLayout>
              <c:x val="-5.1619446604347176E-2"/>
              <c:y val="-2.4114794487479006E-3"/>
            </c:manualLayout>
          </c:layout>
          <c:showLegendKey val="1"/>
          <c:showCatName val="1"/>
          <c:showPercent val="1"/>
          <c:separator>
</c:separator>
        </c:dLbl>
      </c:pivotFmt>
    </c:pivotFmts>
    <c:view3D>
      <c:rotX val="30"/>
      <c:rotY val="128"/>
      <c:depthPercent val="60"/>
      <c:perspective val="20"/>
    </c:view3D>
    <c:plotArea>
      <c:layout>
        <c:manualLayout>
          <c:layoutTarget val="inner"/>
          <c:xMode val="edge"/>
          <c:yMode val="edge"/>
          <c:x val="0.14011810729150273"/>
          <c:y val="0.19083319724799971"/>
          <c:w val="0.73630874153506254"/>
          <c:h val="0.80916666666666659"/>
        </c:manualLayout>
      </c:layout>
      <c:pie3DChart>
        <c:varyColors val="1"/>
        <c:ser>
          <c:idx val="0"/>
          <c:order val="0"/>
          <c:tx>
            <c:v>acumulado julio 2010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7"/>
          <c:dLbls>
            <c:dLbl>
              <c:idx val="0"/>
              <c:layout>
                <c:manualLayout>
                  <c:x val="2.6221002980925591E-2"/>
                  <c:y val="-9.7697436152311508E-4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-5.1619446604347176E-2"/>
                  <c:y val="-2.4114794487479006E-3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-6.6790534275968594E-2"/>
                  <c:y val="-3.6684819266843303E-3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4.0437080344746607E-2"/>
                  <c:y val="-0.1102731410151731"/>
                </c:manualLayout>
              </c:layout>
              <c:showLegendKey val="1"/>
              <c:showCatName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CatName val="1"/>
            <c:showPercent val="1"/>
            <c:separator>
</c:separator>
            <c:showLeaderLines val="1"/>
          </c:dLbls>
          <c:cat>
            <c:strLit>
              <c:ptCount val="4"/>
              <c:pt idx="0">
                <c:v>1*</c:v>
              </c:pt>
              <c:pt idx="1">
                <c:v>2*</c:v>
              </c:pt>
              <c:pt idx="2">
                <c:v>3 *</c:v>
              </c:pt>
              <c:pt idx="3">
                <c:v>4* y 5*</c:v>
              </c:pt>
            </c:strLit>
          </c:cat>
          <c:val>
            <c:numLit>
              <c:formatCode>General</c:formatCode>
              <c:ptCount val="4"/>
              <c:pt idx="0">
                <c:v>4948</c:v>
              </c:pt>
              <c:pt idx="1">
                <c:v>29823</c:v>
              </c:pt>
              <c:pt idx="2">
                <c:v>27640</c:v>
              </c:pt>
              <c:pt idx="3">
                <c:v>30405</c:v>
              </c:pt>
            </c:numLit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6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36"/>
          <c:w val="0.61919715434631695"/>
          <c:h val="0.782945736434112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categ'!$M$20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5E-4"/>
                  <c:y val="-0.1765957394860545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28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042E-3"/>
                  <c:y val="-3.987670145882987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787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categ'!$J$27,'Oferta Alojat Estim tipol categ'!$J$23:$J$26)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categ'!$M$27,'Oferta Alojat Estim tipol categ'!$M$23:$M$26)</c:f>
              <c:numCache>
                <c:formatCode>#,##0_)</c:formatCode>
                <c:ptCount val="5"/>
                <c:pt idx="0">
                  <c:v>32712</c:v>
                </c:pt>
                <c:pt idx="1">
                  <c:v>2483</c:v>
                </c:pt>
                <c:pt idx="2">
                  <c:v>10650</c:v>
                </c:pt>
                <c:pt idx="3">
                  <c:v>6683</c:v>
                </c:pt>
                <c:pt idx="4">
                  <c:v>516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77" r="0.75000000000000977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6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36"/>
          <c:w val="0.61919715434631695"/>
          <c:h val="0.782945736434112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categ'!$M$32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5E-4"/>
                  <c:y val="-0.1765957394860545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14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categ'!$J$38,'Oferta Alojat Estim tipol categ'!$J$35:$J$37)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categ'!$N$38,'Oferta Alojat Estim tipol categ'!$N$35:$N$37)</c:f>
              <c:numCache>
                <c:formatCode>0.0%</c:formatCode>
                <c:ptCount val="4"/>
                <c:pt idx="0">
                  <c:v>0.3706963701511139</c:v>
                </c:pt>
                <c:pt idx="1">
                  <c:v>0.50455678454587938</c:v>
                </c:pt>
                <c:pt idx="2">
                  <c:v>0.11021966038323726</c:v>
                </c:pt>
                <c:pt idx="3">
                  <c:v>1.4527184919769435E-2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77" r="0.75000000000000977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6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247"/>
        </c:manualLayout>
      </c:layout>
      <c:pie3DChart>
        <c:varyColors val="1"/>
        <c:ser>
          <c:idx val="0"/>
          <c:order val="0"/>
          <c:tx>
            <c:strRef>
              <c:f>'Oferta Alojat Estim tipol categ'!$M$43</c:f>
              <c:strCache>
                <c:ptCount val="1"/>
                <c:pt idx="0">
                  <c:v>II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0.15932174582730296"/>
                  <c:y val="4.000627535381638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1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969E-4"/>
                  <c:y val="3.08502716230240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categ'!$J$46:$J$49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categ'!$N$46:$N$49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77" r="0.75000000000000977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'Plazas Autorizadas tipología'!$C$5</c:f>
          <c:strCache>
            <c:ptCount val="1"/>
            <c:pt idx="0">
              <c:v>julio 2010</c:v>
            </c:pt>
          </c:strCache>
        </c:strRef>
      </c:tx>
      <c:layout>
        <c:manualLayout>
          <c:xMode val="edge"/>
          <c:yMode val="edge"/>
          <c:x val="0.42507559794462363"/>
          <c:y val="8.9101060300689885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83411580594724E-2"/>
          <c:y val="0.19805058458601771"/>
          <c:w val="0.94209846638190065"/>
          <c:h val="0.45973277206697616"/>
        </c:manualLayout>
      </c:layout>
      <c:barChart>
        <c:barDir val="col"/>
        <c:grouping val="clustered"/>
        <c:ser>
          <c:idx val="3"/>
          <c:order val="0"/>
          <c:tx>
            <c:strRef>
              <c:f>'Plazas Autorizadas tipología'!$C$5:$L$5</c:f>
              <c:strCache>
                <c:ptCount val="1"/>
                <c:pt idx="0">
                  <c:v>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('Plazas Autorizadas tipología'!$D$6,'Plazas Autorizadas tipología'!$F$6,'Plazas Autorizadas tipología'!$H$6,'Plazas Autorizadas tipología'!$J$6,'Plazas Autorizadas tipología'!$L$6)</c:f>
              <c:strCache>
                <c:ptCount val="5"/>
                <c:pt idx="0">
                  <c:v>TOTAL PLAZAS</c:v>
                </c:pt>
                <c:pt idx="1">
                  <c:v>HOTELEROS</c:v>
                </c:pt>
                <c:pt idx="2">
                  <c:v>APARTEMENTOS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Autorizadas tipología'!$D$39,'Plazas Autorizadas tipología'!$F$39,'Plazas Autorizadas tipología'!$H$39,'Plazas Autorizadas tipología'!$J$39,'Plazas Autorizadas tipología'!$L$39)</c:f>
              <c:numCache>
                <c:formatCode>#,##0_)</c:formatCode>
                <c:ptCount val="5"/>
                <c:pt idx="0">
                  <c:v>134373</c:v>
                </c:pt>
                <c:pt idx="1">
                  <c:v>81957</c:v>
                </c:pt>
                <c:pt idx="2">
                  <c:v>51167</c:v>
                </c:pt>
                <c:pt idx="3">
                  <c:v>473</c:v>
                </c:pt>
                <c:pt idx="4">
                  <c:v>776</c:v>
                </c:pt>
              </c:numCache>
            </c:numRef>
          </c:val>
        </c:ser>
        <c:dLbls>
          <c:showVal val="1"/>
        </c:dLbls>
        <c:gapWidth val="90"/>
        <c:overlap val="-30"/>
        <c:axId val="214173952"/>
        <c:axId val="214208896"/>
      </c:barChart>
      <c:catAx>
        <c:axId val="2141739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*Solo incluye plazas autorizadas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49452269170859E-3"/>
              <c:y val="0.9333333333333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4208896"/>
        <c:crosses val="autoZero"/>
        <c:auto val="1"/>
        <c:lblAlgn val="ctr"/>
        <c:lblOffset val="100"/>
        <c:tickLblSkip val="1"/>
        <c:tickMarkSkip val="1"/>
      </c:catAx>
      <c:valAx>
        <c:axId val="214208896"/>
        <c:scaling>
          <c:orientation val="minMax"/>
          <c:min val="0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4173952"/>
        <c:crosses val="autoZero"/>
        <c:crossBetween val="between"/>
        <c:majorUnit val="10000"/>
        <c:minorUnit val="2000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03_04-05'!$C$6:$E$6</c:f>
          <c:strCache>
            <c:ptCount val="1"/>
            <c:pt idx="0">
              <c:v>DISTRIBUCIÓN DE LAS PLAZAS TURÍSTICAS AUTORIZADAS EN ADEJE SEGÚN TIPOLOGÍA Y CATEGORÍA </c:v>
            </c:pt>
          </c:strCache>
        </c:strRef>
      </c:tx>
      <c:layout>
        <c:manualLayout>
          <c:xMode val="edge"/>
          <c:yMode val="edge"/>
          <c:x val="0.15757328871965121"/>
          <c:y val="2.6598117047933491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788"/>
          <c:w val="0.88571501256814411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03_04-05'!$D$7</c:f>
              <c:strCache>
                <c:ptCount val="1"/>
                <c:pt idx="0">
                  <c:v>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53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817E-17"/>
                  <c:y val="-1.3745704467354174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7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03_04-05'!$C$9,'Distrib Plazas Autor 03_04-05'!$C$16,'Distrib Plazas Autor 03_04-05'!$C$23,'Distrib Plazas Autor 03_04-05'!$C$27)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03_04-05'!$E$9,'Distrib Plazas Autor 03_04-05'!$E$16,'Distrib Plazas Autor 03_04-05'!$E$23,'Distrib Plazas Autor 03_04-05'!$E$27)</c:f>
              <c:numCache>
                <c:formatCode>0.0%</c:formatCode>
                <c:ptCount val="4"/>
                <c:pt idx="0">
                  <c:v>0.71499852002198827</c:v>
                </c:pt>
                <c:pt idx="1">
                  <c:v>0.28424034842910906</c:v>
                </c:pt>
                <c:pt idx="2">
                  <c:v>4.6513594655165123E-4</c:v>
                </c:pt>
                <c:pt idx="3">
                  <c:v>2.9599560235105078E-4</c:v>
                </c:pt>
              </c:numCache>
            </c:numRef>
          </c:val>
        </c:ser>
        <c:dLbls>
          <c:showVal val="1"/>
        </c:dLbls>
        <c:gapWidth val="90"/>
        <c:overlap val="-30"/>
        <c:axId val="218118400"/>
        <c:axId val="218132864"/>
      </c:barChart>
      <c:catAx>
        <c:axId val="2181184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15E-3"/>
              <c:y val="0.931272560002153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8132864"/>
        <c:crosses val="autoZero"/>
        <c:auto val="1"/>
        <c:lblAlgn val="ctr"/>
        <c:lblOffset val="100"/>
        <c:tickLblSkip val="1"/>
        <c:tickMarkSkip val="1"/>
      </c:catAx>
      <c:valAx>
        <c:axId val="218132864"/>
        <c:scaling>
          <c:orientation val="minMax"/>
        </c:scaling>
        <c:delete val="1"/>
        <c:axPos val="l"/>
        <c:numFmt formatCode="0.0%" sourceLinked="1"/>
        <c:tickLblPos val="none"/>
        <c:crossAx val="2181184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265371083933658"/>
          <c:y val="0.19289648305120269"/>
          <c:w val="0.33109278987186486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03_04-05'!$G$6:$I$6</c:f>
          <c:strCache>
            <c:ptCount val="1"/>
            <c:pt idx="0">
              <c:v>DISTRIBUCIÓN DE LAS PLAZAS TURÍSTICAS AUTORIZADAS EN ARONA SEGÚN TIPOLOGÍA Y CATEGORÍA </c:v>
            </c:pt>
          </c:strCache>
        </c:strRef>
      </c:tx>
      <c:layout>
        <c:manualLayout>
          <c:xMode val="edge"/>
          <c:yMode val="edge"/>
          <c:x val="0.16687509381951168"/>
          <c:y val="2.6407741977038254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04"/>
          <c:w val="0.8857150125681445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03_04-05'!$H$7</c:f>
              <c:strCache>
                <c:ptCount val="1"/>
                <c:pt idx="0">
                  <c:v>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87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5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965E-17"/>
                  <c:y val="-1.374570446735418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8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03_04-05'!$G$9,'Distrib Plazas Autor 03_04-05'!$G$16,'Distrib Plazas Autor 03_04-05'!$G$23,'Distrib Plazas Autor 03_04-05'!$G$27)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03_04-05'!$I$9,'Distrib Plazas Autor 03_04-05'!$I$16,'Distrib Plazas Autor 03_04-05'!$I$23,'Distrib Plazas Autor 03_04-05'!$I$27)</c:f>
              <c:numCache>
                <c:formatCode>0.0%</c:formatCode>
                <c:ptCount val="4"/>
                <c:pt idx="0">
                  <c:v>0.41962142080921933</c:v>
                </c:pt>
                <c:pt idx="1">
                  <c:v>0.57987313300816301</c:v>
                </c:pt>
                <c:pt idx="2">
                  <c:v>0</c:v>
                </c:pt>
                <c:pt idx="3">
                  <c:v>5.0544618261770579E-4</c:v>
                </c:pt>
              </c:numCache>
            </c:numRef>
          </c:val>
        </c:ser>
        <c:dLbls>
          <c:showVal val="1"/>
        </c:dLbls>
        <c:gapWidth val="90"/>
        <c:overlap val="-30"/>
        <c:axId val="218170112"/>
        <c:axId val="218172032"/>
      </c:barChart>
      <c:catAx>
        <c:axId val="218170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24E-3"/>
              <c:y val="0.93127256000215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8172032"/>
        <c:crosses val="autoZero"/>
        <c:auto val="1"/>
        <c:lblAlgn val="ctr"/>
        <c:lblOffset val="100"/>
        <c:tickLblSkip val="1"/>
        <c:tickMarkSkip val="1"/>
      </c:catAx>
      <c:valAx>
        <c:axId val="218172032"/>
        <c:scaling>
          <c:orientation val="minMax"/>
        </c:scaling>
        <c:delete val="1"/>
        <c:axPos val="l"/>
        <c:numFmt formatCode="0.0%" sourceLinked="1"/>
        <c:tickLblPos val="none"/>
        <c:crossAx val="218170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680854451252538"/>
          <c:y val="0.17917942772490861"/>
          <c:w val="0.33109278987186508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03_04-05'!$C$35:$E$35</c:f>
          <c:strCache>
            <c:ptCount val="1"/>
            <c:pt idx="0">
              <c:v>DISTRIBUCIÓN DE LAS PLAZAS TURÍSTICAS AUTORIZADAS EN PUERTO DE LA CRUZ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70017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04"/>
          <c:w val="0.8857150125681445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03_04-05'!$D$36</c:f>
              <c:strCache>
                <c:ptCount val="1"/>
                <c:pt idx="0">
                  <c:v>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87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5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965E-17"/>
                  <c:y val="-1.374570446735418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8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03_04-05'!$C$38,'Distrib Plazas Autor 03_04-05'!$C$45,'Distrib Plazas Autor 03_04-05'!$C$56)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03_04-05'!$E$38,'Distrib Plazas Autor 03_04-05'!$E$45,'Distrib Plazas Autor 03_04-05'!$E$56)</c:f>
              <c:numCache>
                <c:formatCode>0.0%</c:formatCode>
                <c:ptCount val="3"/>
                <c:pt idx="0">
                  <c:v>0.70570609692548203</c:v>
                </c:pt>
                <c:pt idx="1">
                  <c:v>0.29429390307451797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gapWidth val="90"/>
        <c:overlap val="-30"/>
        <c:axId val="218184320"/>
        <c:axId val="218198784"/>
      </c:barChart>
      <c:catAx>
        <c:axId val="2181843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24E-3"/>
              <c:y val="0.93127256000215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8198784"/>
        <c:crosses val="autoZero"/>
        <c:auto val="1"/>
        <c:lblAlgn val="ctr"/>
        <c:lblOffset val="100"/>
        <c:tickLblSkip val="1"/>
        <c:tickMarkSkip val="1"/>
      </c:catAx>
      <c:valAx>
        <c:axId val="218198784"/>
        <c:scaling>
          <c:orientation val="minMax"/>
        </c:scaling>
        <c:delete val="1"/>
        <c:axPos val="l"/>
        <c:numFmt formatCode="0.0%" sourceLinked="1"/>
        <c:tickLblPos val="none"/>
        <c:crossAx val="2181843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19190661772928963"/>
          <c:w val="0.33109278987186508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03_04-05'!$G$35:$I$35</c:f>
          <c:strCache>
            <c:ptCount val="1"/>
            <c:pt idx="0">
              <c:v>DISTRIBUCIÓN DE LAS PLAZAS TURÍSTICAS AUTORIZADAS EN SANTA CRUZ SEGÚN TIPOLOGÍA Y CATEGORÍA </c:v>
            </c:pt>
          </c:strCache>
        </c:strRef>
      </c:tx>
      <c:layout>
        <c:manualLayout>
          <c:xMode val="edge"/>
          <c:yMode val="edge"/>
          <c:x val="0.13221306160259391"/>
          <c:y val="2.6494542259470017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04"/>
          <c:w val="0.8857150125681445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03_04-05'!$H$36</c:f>
              <c:strCache>
                <c:ptCount val="1"/>
                <c:pt idx="0">
                  <c:v>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87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5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965E-17"/>
                  <c:y val="-1.374570446735418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8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03_04-05'!$G$38,'Distrib Plazas Autor 03_04-05'!$G$45,'Distrib Plazas Autor 03_04-05'!$G$56)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03_04-05'!$I$38,'Distrib Plazas Autor 03_04-05'!$I$45,'Distrib Plazas Autor 03_04-05'!$I$56)</c:f>
              <c:numCache>
                <c:formatCode>0.0%</c:formatCode>
                <c:ptCount val="3"/>
                <c:pt idx="0">
                  <c:v>0.99478972832154822</c:v>
                </c:pt>
                <c:pt idx="1">
                  <c:v>2.2329735764793448E-3</c:v>
                </c:pt>
                <c:pt idx="2">
                  <c:v>2.9772981019724602E-3</c:v>
                </c:pt>
              </c:numCache>
            </c:numRef>
          </c:val>
        </c:ser>
        <c:dLbls>
          <c:showVal val="1"/>
        </c:dLbls>
        <c:gapWidth val="90"/>
        <c:overlap val="-30"/>
        <c:axId val="218239744"/>
        <c:axId val="218241664"/>
      </c:barChart>
      <c:catAx>
        <c:axId val="218239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24E-3"/>
              <c:y val="0.93127256000215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8241664"/>
        <c:crosses val="autoZero"/>
        <c:auto val="1"/>
        <c:lblAlgn val="ctr"/>
        <c:lblOffset val="100"/>
        <c:tickLblSkip val="1"/>
        <c:tickMarkSkip val="1"/>
      </c:catAx>
      <c:valAx>
        <c:axId val="218241664"/>
        <c:scaling>
          <c:orientation val="minMax"/>
        </c:scaling>
        <c:delete val="1"/>
        <c:axPos val="l"/>
        <c:numFmt formatCode="0.0%" sourceLinked="1"/>
        <c:tickLblPos val="none"/>
        <c:crossAx val="2182397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611553089542633"/>
          <c:y val="0.1778953793566502"/>
          <c:w val="0.33109278987186508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687"/>
          <c:y val="0.24115633955649593"/>
          <c:w val="0.84763751506150764"/>
          <c:h val="0.48670357901375438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merc'!$C$6:$C$17</c:f>
              <c:numCache>
                <c:formatCode>#,##0</c:formatCode>
                <c:ptCount val="12"/>
                <c:pt idx="0">
                  <c:v>16982</c:v>
                </c:pt>
                <c:pt idx="1">
                  <c:v>19355</c:v>
                </c:pt>
                <c:pt idx="2">
                  <c:v>16551</c:v>
                </c:pt>
                <c:pt idx="3">
                  <c:v>17593</c:v>
                </c:pt>
                <c:pt idx="4">
                  <c:v>17437</c:v>
                </c:pt>
                <c:pt idx="5">
                  <c:v>15440</c:v>
                </c:pt>
                <c:pt idx="6">
                  <c:v>16337</c:v>
                </c:pt>
                <c:pt idx="7">
                  <c:v>12308</c:v>
                </c:pt>
                <c:pt idx="8">
                  <c:v>15134</c:v>
                </c:pt>
                <c:pt idx="9">
                  <c:v>18706</c:v>
                </c:pt>
                <c:pt idx="10">
                  <c:v>17843</c:v>
                </c:pt>
                <c:pt idx="11">
                  <c:v>16132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merc'!$D$6:$D$17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merc'!$E$6:$E$11,'graficas evol mensual merc'!$E$12)</c:f>
              <c:numCache>
                <c:formatCode>#,##0</c:formatCode>
                <c:ptCount val="7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</c:numCache>
            </c:numRef>
          </c:val>
        </c:ser>
        <c:marker val="1"/>
        <c:axId val="151431040"/>
        <c:axId val="151490560"/>
      </c:lineChart>
      <c:catAx>
        <c:axId val="151431040"/>
        <c:scaling>
          <c:orientation val="minMax"/>
        </c:scaling>
        <c:axPos val="b"/>
        <c:numFmt formatCode="General" sourceLinked="1"/>
        <c:tickLblPos val="nextTo"/>
        <c:crossAx val="151490560"/>
        <c:crosses val="autoZero"/>
        <c:auto val="1"/>
        <c:lblAlgn val="ctr"/>
        <c:lblOffset val="100"/>
      </c:catAx>
      <c:valAx>
        <c:axId val="151490560"/>
        <c:scaling>
          <c:orientation val="minMax"/>
        </c:scaling>
        <c:axPos val="l"/>
        <c:numFmt formatCode="#,##0" sourceLinked="1"/>
        <c:tickLblPos val="nextTo"/>
        <c:crossAx val="151431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34"/>
          <c:y val="0.22614840989399324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merc'!$C$24:$C$35</c:f>
              <c:numCache>
                <c:formatCode>#,##0</c:formatCode>
                <c:ptCount val="12"/>
                <c:pt idx="0">
                  <c:v>348</c:v>
                </c:pt>
                <c:pt idx="1">
                  <c:v>402</c:v>
                </c:pt>
                <c:pt idx="2">
                  <c:v>349</c:v>
                </c:pt>
                <c:pt idx="3">
                  <c:v>256</c:v>
                </c:pt>
                <c:pt idx="4">
                  <c:v>192</c:v>
                </c:pt>
                <c:pt idx="5">
                  <c:v>122</c:v>
                </c:pt>
                <c:pt idx="6">
                  <c:v>180</c:v>
                </c:pt>
                <c:pt idx="7">
                  <c:v>144</c:v>
                </c:pt>
                <c:pt idx="8">
                  <c:v>171</c:v>
                </c:pt>
                <c:pt idx="9">
                  <c:v>430</c:v>
                </c:pt>
                <c:pt idx="10">
                  <c:v>402</c:v>
                </c:pt>
                <c:pt idx="11">
                  <c:v>467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merc'!$D$24:$D$35</c:f>
              <c:numCache>
                <c:formatCode>#,##0</c:formatCode>
                <c:ptCount val="12"/>
                <c:pt idx="0">
                  <c:v>355</c:v>
                </c:pt>
                <c:pt idx="1">
                  <c:v>322</c:v>
                </c:pt>
                <c:pt idx="2">
                  <c:v>271</c:v>
                </c:pt>
                <c:pt idx="3">
                  <c:v>182</c:v>
                </c:pt>
                <c:pt idx="4">
                  <c:v>200</c:v>
                </c:pt>
                <c:pt idx="5">
                  <c:v>141</c:v>
                </c:pt>
                <c:pt idx="6">
                  <c:v>156</c:v>
                </c:pt>
                <c:pt idx="7">
                  <c:v>103</c:v>
                </c:pt>
                <c:pt idx="8">
                  <c:v>122</c:v>
                </c:pt>
                <c:pt idx="9">
                  <c:v>215</c:v>
                </c:pt>
                <c:pt idx="10">
                  <c:v>258</c:v>
                </c:pt>
                <c:pt idx="11">
                  <c:v>385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merc'!$E$24:$E$29,'graficas evol mensual merc'!$E$30)</c:f>
              <c:numCache>
                <c:formatCode>#,##0</c:formatCode>
                <c:ptCount val="7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</c:numCache>
            </c:numRef>
          </c:val>
        </c:ser>
        <c:marker val="1"/>
        <c:axId val="151504384"/>
        <c:axId val="151505920"/>
      </c:lineChart>
      <c:catAx>
        <c:axId val="151504384"/>
        <c:scaling>
          <c:orientation val="minMax"/>
        </c:scaling>
        <c:axPos val="b"/>
        <c:numFmt formatCode="General" sourceLinked="1"/>
        <c:tickLblPos val="nextTo"/>
        <c:crossAx val="151505920"/>
        <c:crosses val="autoZero"/>
        <c:auto val="1"/>
        <c:lblAlgn val="ctr"/>
        <c:lblOffset val="100"/>
      </c:catAx>
      <c:valAx>
        <c:axId val="151505920"/>
        <c:scaling>
          <c:orientation val="minMax"/>
        </c:scaling>
        <c:axPos val="l"/>
        <c:numFmt formatCode="#,##0" sourceLinked="1"/>
        <c:tickLblPos val="nextTo"/>
        <c:crossAx val="151504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336"/>
          <c:y val="0.2449941107184928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municipios tur&#237;sticos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3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hyperlink" Target="#'Men&#250; municipios tur&#237;sticos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municipios tur&#237;sticos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hyperlink" Target="#'Men&#250; municipios tur&#237;sticos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hyperlink" Target="#'Men&#250; municipios tur&#237;sticos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4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hyperlink" Target="#'Men&#250; municipios tur&#237;sticos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hyperlink" Target="#'Men&#250; municipios tur&#237;sticos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hyperlink" Target="#'Men&#250; municipios tur&#237;sticos'!A1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hyperlink" Target="#'Men&#250; zonas y tipolog&#237;a'!A1"/><Relationship Id="rId4" Type="http://schemas.openxmlformats.org/officeDocument/2006/relationships/image" Target="../media/image2.jpe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Oferta Alojativa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Oferta Alojativa'!A1"/><Relationship Id="rId1" Type="http://schemas.openxmlformats.org/officeDocument/2006/relationships/chart" Target="../charts/chart55.xml"/><Relationship Id="rId5" Type="http://schemas.openxmlformats.org/officeDocument/2006/relationships/chart" Target="../charts/chart56.xml"/><Relationship Id="rId4" Type="http://schemas.openxmlformats.org/officeDocument/2006/relationships/image" Target="../media/image2.jpe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Oferta Alojativa'!A1"/><Relationship Id="rId4" Type="http://schemas.openxmlformats.org/officeDocument/2006/relationships/hyperlink" Target="#'Men&#250; Oferta Alojativa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60.xml"/><Relationship Id="rId2" Type="http://schemas.openxmlformats.org/officeDocument/2006/relationships/hyperlink" Target="#'Men&#250; Oferta Alojativa'!A1"/><Relationship Id="rId1" Type="http://schemas.openxmlformats.org/officeDocument/2006/relationships/chart" Target="../charts/chart57.xml"/><Relationship Id="rId6" Type="http://schemas.openxmlformats.org/officeDocument/2006/relationships/chart" Target="../charts/chart59.xml"/><Relationship Id="rId11" Type="http://schemas.openxmlformats.org/officeDocument/2006/relationships/chart" Target="../charts/chart64.xml"/><Relationship Id="rId5" Type="http://schemas.openxmlformats.org/officeDocument/2006/relationships/chart" Target="../charts/chart58.xml"/><Relationship Id="rId10" Type="http://schemas.openxmlformats.org/officeDocument/2006/relationships/chart" Target="../charts/chart63.xml"/><Relationship Id="rId4" Type="http://schemas.openxmlformats.org/officeDocument/2006/relationships/image" Target="../media/image2.jpeg"/><Relationship Id="rId9" Type="http://schemas.openxmlformats.org/officeDocument/2006/relationships/chart" Target="../charts/chart62.xml"/></Relationships>
</file>

<file path=xl/drawings/_rels/drawing1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68.xml"/><Relationship Id="rId2" Type="http://schemas.openxmlformats.org/officeDocument/2006/relationships/hyperlink" Target="#'Men&#250; Oferta Alojativa'!A1"/><Relationship Id="rId1" Type="http://schemas.openxmlformats.org/officeDocument/2006/relationships/chart" Target="../charts/chart65.xml"/><Relationship Id="rId6" Type="http://schemas.openxmlformats.org/officeDocument/2006/relationships/chart" Target="../charts/chart67.xml"/><Relationship Id="rId11" Type="http://schemas.openxmlformats.org/officeDocument/2006/relationships/chart" Target="../charts/chart72.xml"/><Relationship Id="rId5" Type="http://schemas.openxmlformats.org/officeDocument/2006/relationships/chart" Target="../charts/chart66.xml"/><Relationship Id="rId10" Type="http://schemas.openxmlformats.org/officeDocument/2006/relationships/chart" Target="../charts/chart71.xml"/><Relationship Id="rId4" Type="http://schemas.openxmlformats.org/officeDocument/2006/relationships/image" Target="../media/image2.jpeg"/><Relationship Id="rId9" Type="http://schemas.openxmlformats.org/officeDocument/2006/relationships/chart" Target="../charts/chart70.xml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lazas autorizada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lazas autorizadas'!A1"/><Relationship Id="rId1" Type="http://schemas.openxmlformats.org/officeDocument/2006/relationships/chart" Target="../charts/chart73.xml"/><Relationship Id="rId4" Type="http://schemas.openxmlformats.org/officeDocument/2006/relationships/image" Target="../media/image2.jpeg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lazas autorizada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lazas autorizada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77.xml"/><Relationship Id="rId2" Type="http://schemas.openxmlformats.org/officeDocument/2006/relationships/hyperlink" Target="#'Men&#250; plazas autorizadas'!A1"/><Relationship Id="rId1" Type="http://schemas.openxmlformats.org/officeDocument/2006/relationships/chart" Target="../charts/chart74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3.xml"/><Relationship Id="rId6" Type="http://schemas.openxmlformats.org/officeDocument/2006/relationships/chart" Target="../charts/chart4.xml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categor&#237;a-tipolog&#237;a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chart" Target="../charts/chart5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chart" Target="../charts/chart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categor&#237;a-tipolog&#237;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nacionalidades'!A1"/><Relationship Id="rId13" Type="http://schemas.openxmlformats.org/officeDocument/2006/relationships/hyperlink" Target="#'Men&#250; nacionalidades'!A1"/><Relationship Id="rId18" Type="http://schemas.openxmlformats.org/officeDocument/2006/relationships/image" Target="../media/image2.jpeg"/><Relationship Id="rId26" Type="http://schemas.openxmlformats.org/officeDocument/2006/relationships/chart" Target="../charts/chart15.xml"/><Relationship Id="rId3" Type="http://schemas.openxmlformats.org/officeDocument/2006/relationships/hyperlink" Target="#'Men&#250; nacionalidades'!A1"/><Relationship Id="rId21" Type="http://schemas.openxmlformats.org/officeDocument/2006/relationships/chart" Target="../charts/chart10.xml"/><Relationship Id="rId34" Type="http://schemas.openxmlformats.org/officeDocument/2006/relationships/chart" Target="../charts/chart23.xml"/><Relationship Id="rId7" Type="http://schemas.openxmlformats.org/officeDocument/2006/relationships/hyperlink" Target="#'Men&#250; nacionalidades'!A1"/><Relationship Id="rId12" Type="http://schemas.openxmlformats.org/officeDocument/2006/relationships/hyperlink" Target="#'Men&#250; nacionalidades'!A1"/><Relationship Id="rId17" Type="http://schemas.openxmlformats.org/officeDocument/2006/relationships/hyperlink" Target="#'Men&#250; Principal'!A1"/><Relationship Id="rId25" Type="http://schemas.openxmlformats.org/officeDocument/2006/relationships/chart" Target="../charts/chart14.xml"/><Relationship Id="rId33" Type="http://schemas.openxmlformats.org/officeDocument/2006/relationships/chart" Target="../charts/chart22.xml"/><Relationship Id="rId2" Type="http://schemas.openxmlformats.org/officeDocument/2006/relationships/hyperlink" Target="#'Men&#250; nacionalidades'!A1"/><Relationship Id="rId16" Type="http://schemas.openxmlformats.org/officeDocument/2006/relationships/hyperlink" Target="#'Men&#250; nacionalidades'!A1"/><Relationship Id="rId20" Type="http://schemas.openxmlformats.org/officeDocument/2006/relationships/chart" Target="../charts/chart9.xml"/><Relationship Id="rId29" Type="http://schemas.openxmlformats.org/officeDocument/2006/relationships/chart" Target="../charts/chart18.xml"/><Relationship Id="rId1" Type="http://schemas.openxmlformats.org/officeDocument/2006/relationships/hyperlink" Target="#'Men&#250; nacionalidades'!A1"/><Relationship Id="rId6" Type="http://schemas.openxmlformats.org/officeDocument/2006/relationships/hyperlink" Target="#'Men&#250; nacionalidades'!A1"/><Relationship Id="rId11" Type="http://schemas.openxmlformats.org/officeDocument/2006/relationships/hyperlink" Target="#'Men&#250; nacionalidades'!A1"/><Relationship Id="rId24" Type="http://schemas.openxmlformats.org/officeDocument/2006/relationships/chart" Target="../charts/chart13.xml"/><Relationship Id="rId32" Type="http://schemas.openxmlformats.org/officeDocument/2006/relationships/chart" Target="../charts/chart21.xml"/><Relationship Id="rId5" Type="http://schemas.openxmlformats.org/officeDocument/2006/relationships/hyperlink" Target="#'Men&#250; nacionalidades'!A1"/><Relationship Id="rId15" Type="http://schemas.openxmlformats.org/officeDocument/2006/relationships/hyperlink" Target="#'Men&#250; nacionalidades'!A1"/><Relationship Id="rId23" Type="http://schemas.openxmlformats.org/officeDocument/2006/relationships/chart" Target="../charts/chart12.xml"/><Relationship Id="rId28" Type="http://schemas.openxmlformats.org/officeDocument/2006/relationships/chart" Target="../charts/chart17.xml"/><Relationship Id="rId10" Type="http://schemas.openxmlformats.org/officeDocument/2006/relationships/hyperlink" Target="#'Men&#250; nacionalidades'!A1"/><Relationship Id="rId19" Type="http://schemas.openxmlformats.org/officeDocument/2006/relationships/chart" Target="../charts/chart8.xml"/><Relationship Id="rId31" Type="http://schemas.openxmlformats.org/officeDocument/2006/relationships/chart" Target="../charts/chart20.xml"/><Relationship Id="rId4" Type="http://schemas.openxmlformats.org/officeDocument/2006/relationships/hyperlink" Target="#'Men&#250; nacionalidades'!A1"/><Relationship Id="rId9" Type="http://schemas.openxmlformats.org/officeDocument/2006/relationships/hyperlink" Target="#'Men&#250; nacionalidades'!A1"/><Relationship Id="rId14" Type="http://schemas.openxmlformats.org/officeDocument/2006/relationships/hyperlink" Target="#'Men&#250; nacionalidades'!A1"/><Relationship Id="rId22" Type="http://schemas.openxmlformats.org/officeDocument/2006/relationships/chart" Target="../charts/chart11.xml"/><Relationship Id="rId27" Type="http://schemas.openxmlformats.org/officeDocument/2006/relationships/chart" Target="../charts/chart16.xml"/><Relationship Id="rId30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ipolog&#237;a de establecimien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nacionalidade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ipolog&#237;a de establecimien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nacionalidades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chart" Target="../charts/chart24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chart" Target="../charts/chart25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ipolog&#237;a de establecimien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urismo alojado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ernoctaciones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ernoctacion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ernoctacion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ipolog&#237;a de establecimien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ernoctaciones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ernoctacion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8.xml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IO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IO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IO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IO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IO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IO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ipolog&#237;a de establecimien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IO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IO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IO'!A1"/><Relationship Id="rId1" Type="http://schemas.openxmlformats.org/officeDocument/2006/relationships/chart" Target="../charts/chart30.xml"/><Relationship Id="rId4" Type="http://schemas.openxmlformats.org/officeDocument/2006/relationships/image" Target="../media/image9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IO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1.xml"/><Relationship Id="rId1" Type="http://schemas.openxmlformats.org/officeDocument/2006/relationships/hyperlink" Target="#'Men&#250; IO'!A1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EM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EM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EM'!A1"/><Relationship Id="rId1" Type="http://schemas.openxmlformats.org/officeDocument/2006/relationships/chart" Target="../charts/chart33.xml"/><Relationship Id="rId4" Type="http://schemas.openxmlformats.org/officeDocument/2006/relationships/image" Target="../media/image2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EM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4.xml"/><Relationship Id="rId1" Type="http://schemas.openxmlformats.org/officeDocument/2006/relationships/hyperlink" Target="#'Men&#250; EM'!A1"/><Relationship Id="rId4" Type="http://schemas.openxmlformats.org/officeDocument/2006/relationships/image" Target="../media/image2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0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0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0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0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1.emf"/><Relationship Id="rId1" Type="http://schemas.openxmlformats.org/officeDocument/2006/relationships/image" Target="../media/image3.jpeg"/><Relationship Id="rId4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7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190500</xdr:colOff>
      <xdr:row>26</xdr:row>
      <xdr:rowOff>0</xdr:rowOff>
    </xdr:from>
    <xdr:to>
      <xdr:col>7</xdr:col>
      <xdr:colOff>552450</xdr:colOff>
      <xdr:row>27</xdr:row>
      <xdr:rowOff>171450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277350" y="592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279400</xdr:colOff>
      <xdr:row>29</xdr:row>
      <xdr:rowOff>171450</xdr:rowOff>
    </xdr:from>
    <xdr:to>
      <xdr:col>9</xdr:col>
      <xdr:colOff>641350</xdr:colOff>
      <xdr:row>30</xdr:row>
      <xdr:rowOff>346075</xdr:rowOff>
    </xdr:to>
    <xdr:sp macro="" textlink="">
      <xdr:nvSpPr>
        <xdr:cNvPr id="3" name="AutoShape 6">
          <a:hlinkClick xmlns:r="http://schemas.openxmlformats.org/officeDocument/2006/relationships" r:id="rId2" tooltip="Volver menú pernoctaciones"/>
        </xdr:cNvPr>
        <xdr:cNvSpPr>
          <a:spLocks noChangeArrowheads="1"/>
        </xdr:cNvSpPr>
      </xdr:nvSpPr>
      <xdr:spPr bwMode="auto">
        <a:xfrm rot="10800000">
          <a:off x="7708900" y="50196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7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0.08453</cdr:y>
    </cdr:to>
    <cdr:sp macro="" textlink="'Alojados por municipio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336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82F83B-DB81-43E0-836D-9244C80BAC24}" type="TxLink">
            <a:rPr lang="es-ES" sz="1600" b="1"/>
            <a:pPr algn="ctr"/>
            <a:t>ALOJADOS POR MUNICIPIO TURÍSTICO Y TIPOLOGÍA DE ESTABLECIMIENTO</a:t>
          </a:fld>
          <a:endParaRPr lang="es-ES" sz="1600" b="1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866775</xdr:colOff>
      <xdr:row>17</xdr:row>
      <xdr:rowOff>66675</xdr:rowOff>
    </xdr:from>
    <xdr:to>
      <xdr:col>15</xdr:col>
      <xdr:colOff>342900</xdr:colOff>
      <xdr:row>19</xdr:row>
      <xdr:rowOff>107950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3877925" y="36195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542925</xdr:colOff>
      <xdr:row>16</xdr:row>
      <xdr:rowOff>152400</xdr:rowOff>
    </xdr:from>
    <xdr:to>
      <xdr:col>18</xdr:col>
      <xdr:colOff>142875</xdr:colOff>
      <xdr:row>18</xdr:row>
      <xdr:rowOff>136525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14049375" y="30575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0</xdr:colOff>
      <xdr:row>23</xdr:row>
      <xdr:rowOff>0</xdr:rowOff>
    </xdr:from>
    <xdr:to>
      <xdr:col>8</xdr:col>
      <xdr:colOff>3174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257175</xdr:colOff>
      <xdr:row>29</xdr:row>
      <xdr:rowOff>9525</xdr:rowOff>
    </xdr:from>
    <xdr:to>
      <xdr:col>7</xdr:col>
      <xdr:colOff>619125</xdr:colOff>
      <xdr:row>29</xdr:row>
      <xdr:rowOff>374650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715125" y="51720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30</xdr:row>
      <xdr:rowOff>0</xdr:rowOff>
    </xdr:from>
    <xdr:to>
      <xdr:col>9</xdr:col>
      <xdr:colOff>590550</xdr:colOff>
      <xdr:row>30</xdr:row>
      <xdr:rowOff>365125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7658100" y="50387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6:$G$6">
      <cdr:nvSpPr>
        <cdr:cNvPr id="3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866775</xdr:colOff>
      <xdr:row>17</xdr:row>
      <xdr:rowOff>66675</xdr:rowOff>
    </xdr:from>
    <xdr:to>
      <xdr:col>15</xdr:col>
      <xdr:colOff>342900</xdr:colOff>
      <xdr:row>19</xdr:row>
      <xdr:rowOff>107950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3877925" y="36195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8</xdr:col>
      <xdr:colOff>180974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542925</xdr:colOff>
      <xdr:row>16</xdr:row>
      <xdr:rowOff>152400</xdr:rowOff>
    </xdr:from>
    <xdr:to>
      <xdr:col>18</xdr:col>
      <xdr:colOff>142875</xdr:colOff>
      <xdr:row>18</xdr:row>
      <xdr:rowOff>136525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14049375" y="30575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761999</xdr:colOff>
      <xdr:row>5</xdr:row>
      <xdr:rowOff>0</xdr:rowOff>
    </xdr:from>
    <xdr:to>
      <xdr:col>17</xdr:col>
      <xdr:colOff>66674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19050</xdr:colOff>
      <xdr:row>23</xdr:row>
      <xdr:rowOff>47625</xdr:rowOff>
    </xdr:from>
    <xdr:to>
      <xdr:col>8</xdr:col>
      <xdr:colOff>400050</xdr:colOff>
      <xdr:row>39</xdr:row>
      <xdr:rowOff>53975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27</xdr:row>
      <xdr:rowOff>0</xdr:rowOff>
    </xdr:from>
    <xdr:to>
      <xdr:col>6</xdr:col>
      <xdr:colOff>361950</xdr:colOff>
      <xdr:row>28</xdr:row>
      <xdr:rowOff>79375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200775" y="5086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676275</xdr:colOff>
      <xdr:row>14</xdr:row>
      <xdr:rowOff>276225</xdr:rowOff>
    </xdr:from>
    <xdr:to>
      <xdr:col>9</xdr:col>
      <xdr:colOff>276225</xdr:colOff>
      <xdr:row>15</xdr:row>
      <xdr:rowOff>257175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86775" y="2924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57150</xdr:rowOff>
    </xdr:to>
    <xdr:pic>
      <xdr:nvPicPr>
        <xdr:cNvPr id="3" name="Picture 8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428625</xdr:colOff>
      <xdr:row>24</xdr:row>
      <xdr:rowOff>104775</xdr:rowOff>
    </xdr:from>
    <xdr:to>
      <xdr:col>10</xdr:col>
      <xdr:colOff>28575</xdr:colOff>
      <xdr:row>26</xdr:row>
      <xdr:rowOff>117475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7600950" y="46863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municipio y Tipología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EF9A64A-D321-4DFB-9462-13E2BFC45F5F}" type="TxLink">
            <a:rPr lang="es-ES" sz="1600" b="1"/>
            <a:pPr algn="ctr"/>
            <a:t>ÍNDICES DE OCUPACIÓN POR MUNICIPIO TURÍSTICO Y TIPOLOGÍA DE ESTABLECIMIENTO (%)</a:t>
          </a:fld>
          <a:endParaRPr lang="es-ES" sz="1600" b="1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228600</xdr:colOff>
      <xdr:row>15</xdr:row>
      <xdr:rowOff>104775</xdr:rowOff>
    </xdr:from>
    <xdr:to>
      <xdr:col>11</xdr:col>
      <xdr:colOff>590550</xdr:colOff>
      <xdr:row>17</xdr:row>
      <xdr:rowOff>146050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1229975" y="35718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542925</xdr:colOff>
      <xdr:row>16</xdr:row>
      <xdr:rowOff>152400</xdr:rowOff>
    </xdr:from>
    <xdr:to>
      <xdr:col>18</xdr:col>
      <xdr:colOff>142875</xdr:colOff>
      <xdr:row>18</xdr:row>
      <xdr:rowOff>136525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14049375" y="30575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79375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305550" y="52101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285750</xdr:colOff>
      <xdr:row>26</xdr:row>
      <xdr:rowOff>95250</xdr:rowOff>
    </xdr:from>
    <xdr:to>
      <xdr:col>9</xdr:col>
      <xdr:colOff>647700</xdr:colOff>
      <xdr:row>27</xdr:row>
      <xdr:rowOff>269875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7515225" y="46672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MUNICIPIO y tipología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B006B54-6134-40C3-AB65-D8DB3C0895ED}" type="TxLink">
            <a:rPr lang="es-ES" sz="1600" b="1"/>
            <a:pPr algn="ctr"/>
            <a:t>ESTANCIAS MEDIAS POR MUNICIPIO TURÍSTICO Y TIPOLOGÍA DE ESTABLECIMIENTO</a:t>
          </a:fld>
          <a:endParaRPr lang="es-ES" sz="1600" b="1"/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15</xdr:row>
      <xdr:rowOff>114300</xdr:rowOff>
    </xdr:from>
    <xdr:to>
      <xdr:col>11</xdr:col>
      <xdr:colOff>457200</xdr:colOff>
      <xdr:row>17</xdr:row>
      <xdr:rowOff>155575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1096625" y="3581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542925</xdr:colOff>
      <xdr:row>16</xdr:row>
      <xdr:rowOff>152400</xdr:rowOff>
    </xdr:from>
    <xdr:to>
      <xdr:col>18</xdr:col>
      <xdr:colOff>142875</xdr:colOff>
      <xdr:row>18</xdr:row>
      <xdr:rowOff>136525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14049375" y="30575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276225</xdr:colOff>
      <xdr:row>29</xdr:row>
      <xdr:rowOff>104775</xdr:rowOff>
    </xdr:from>
    <xdr:to>
      <xdr:col>7</xdr:col>
      <xdr:colOff>638175</xdr:colOff>
      <xdr:row>31</xdr:row>
      <xdr:rowOff>155575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276975" y="48958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22</xdr:row>
      <xdr:rowOff>155575</xdr:rowOff>
    </xdr:from>
    <xdr:to>
      <xdr:col>10</xdr:col>
      <xdr:colOff>752475</xdr:colOff>
      <xdr:row>24</xdr:row>
      <xdr:rowOff>149225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91525" y="42799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4" name="Picture 6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228600</xdr:colOff>
      <xdr:row>29</xdr:row>
      <xdr:rowOff>0</xdr:rowOff>
    </xdr:from>
    <xdr:to>
      <xdr:col>7</xdr:col>
      <xdr:colOff>590550</xdr:colOff>
      <xdr:row>30</xdr:row>
      <xdr:rowOff>174625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877050" y="57721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152400</xdr:rowOff>
    </xdr:from>
    <xdr:to>
      <xdr:col>8</xdr:col>
      <xdr:colOff>361950</xdr:colOff>
      <xdr:row>31</xdr:row>
      <xdr:rowOff>203200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819900" y="5105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590550</xdr:colOff>
      <xdr:row>18</xdr:row>
      <xdr:rowOff>123825</xdr:rowOff>
    </xdr:from>
    <xdr:to>
      <xdr:col>8</xdr:col>
      <xdr:colOff>190500</xdr:colOff>
      <xdr:row>19</xdr:row>
      <xdr:rowOff>238125</xdr:rowOff>
    </xdr:to>
    <xdr:sp macro="" textlink="">
      <xdr:nvSpPr>
        <xdr:cNvPr id="2" name="AutoShape 3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795337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736600</xdr:colOff>
      <xdr:row>39</xdr:row>
      <xdr:rowOff>47625</xdr:rowOff>
    </xdr:from>
    <xdr:to>
      <xdr:col>15</xdr:col>
      <xdr:colOff>336550</xdr:colOff>
      <xdr:row>39</xdr:row>
      <xdr:rowOff>403225</xdr:rowOff>
    </xdr:to>
    <xdr:sp macro="" textlink="">
      <xdr:nvSpPr>
        <xdr:cNvPr id="2" name="AutoShape 5">
          <a:hlinkClick xmlns:r="http://schemas.openxmlformats.org/officeDocument/2006/relationships" r:id="rId1" tooltip="Volver menú Oferta Alojativa"/>
        </xdr:cNvPr>
        <xdr:cNvSpPr>
          <a:spLocks noChangeArrowheads="1"/>
        </xdr:cNvSpPr>
      </xdr:nvSpPr>
      <xdr:spPr bwMode="auto">
        <a:xfrm rot="10800000">
          <a:off x="13442950" y="6705600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346075</xdr:colOff>
      <xdr:row>3</xdr:row>
      <xdr:rowOff>130175</xdr:rowOff>
    </xdr:from>
    <xdr:to>
      <xdr:col>9</xdr:col>
      <xdr:colOff>292100</xdr:colOff>
      <xdr:row>27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206375</xdr:colOff>
      <xdr:row>27</xdr:row>
      <xdr:rowOff>66675</xdr:rowOff>
    </xdr:from>
    <xdr:to>
      <xdr:col>10</xdr:col>
      <xdr:colOff>568325</xdr:colOff>
      <xdr:row>29</xdr:row>
      <xdr:rowOff>111125</xdr:rowOff>
    </xdr:to>
    <xdr:sp macro="" textlink="">
      <xdr:nvSpPr>
        <xdr:cNvPr id="3" name="AutoShape 2">
          <a:hlinkClick xmlns:r="http://schemas.openxmlformats.org/officeDocument/2006/relationships" r:id="rId2" tooltip="Volver menú Oferta Alojativa"/>
        </xdr:cNvPr>
        <xdr:cNvSpPr>
          <a:spLocks noChangeArrowheads="1"/>
        </xdr:cNvSpPr>
      </xdr:nvSpPr>
      <xdr:spPr bwMode="auto">
        <a:xfrm rot="10800000">
          <a:off x="8178800" y="44386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209550</xdr:colOff>
      <xdr:row>30</xdr:row>
      <xdr:rowOff>0</xdr:rowOff>
    </xdr:from>
    <xdr:to>
      <xdr:col>9</xdr:col>
      <xdr:colOff>155575</xdr:colOff>
      <xdr:row>53</xdr:row>
      <xdr:rowOff>174625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257175</xdr:colOff>
      <xdr:row>14</xdr:row>
      <xdr:rowOff>66675</xdr:rowOff>
    </xdr:from>
    <xdr:to>
      <xdr:col>15</xdr:col>
      <xdr:colOff>619125</xdr:colOff>
      <xdr:row>15</xdr:row>
      <xdr:rowOff>120650</xdr:rowOff>
    </xdr:to>
    <xdr:sp macro="" textlink="">
      <xdr:nvSpPr>
        <xdr:cNvPr id="2" name="AutoShape 5">
          <a:hlinkClick xmlns:r="http://schemas.openxmlformats.org/officeDocument/2006/relationships" r:id="rId1" tooltip="Volver menú Oferta Alojativa"/>
        </xdr:cNvPr>
        <xdr:cNvSpPr>
          <a:spLocks noChangeArrowheads="1"/>
        </xdr:cNvSpPr>
      </xdr:nvSpPr>
      <xdr:spPr bwMode="auto">
        <a:xfrm rot="10800000">
          <a:off x="13315950" y="2676525"/>
          <a:ext cx="361950" cy="349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158750</xdr:colOff>
      <xdr:row>49</xdr:row>
      <xdr:rowOff>139700</xdr:rowOff>
    </xdr:from>
    <xdr:to>
      <xdr:col>15</xdr:col>
      <xdr:colOff>520700</xdr:colOff>
      <xdr:row>50</xdr:row>
      <xdr:rowOff>288925</xdr:rowOff>
    </xdr:to>
    <xdr:sp macro="" textlink="">
      <xdr:nvSpPr>
        <xdr:cNvPr id="4" name="AutoShape 5">
          <a:hlinkClick xmlns:r="http://schemas.openxmlformats.org/officeDocument/2006/relationships" r:id="rId4" tooltip="Volver menú Oferta Alojativa"/>
        </xdr:cNvPr>
        <xdr:cNvSpPr>
          <a:spLocks noChangeArrowheads="1"/>
        </xdr:cNvSpPr>
      </xdr:nvSpPr>
      <xdr:spPr bwMode="auto">
        <a:xfrm rot="10800000">
          <a:off x="13217525" y="99028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15875</xdr:colOff>
      <xdr:row>2</xdr:row>
      <xdr:rowOff>57150</xdr:rowOff>
    </xdr:from>
    <xdr:to>
      <xdr:col>8</xdr:col>
      <xdr:colOff>828675</xdr:colOff>
      <xdr:row>22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19</xdr:col>
      <xdr:colOff>336550</xdr:colOff>
      <xdr:row>19</xdr:row>
      <xdr:rowOff>69850</xdr:rowOff>
    </xdr:from>
    <xdr:to>
      <xdr:col>19</xdr:col>
      <xdr:colOff>698500</xdr:colOff>
      <xdr:row>21</xdr:row>
      <xdr:rowOff>117475</xdr:rowOff>
    </xdr:to>
    <xdr:sp macro="" textlink="">
      <xdr:nvSpPr>
        <xdr:cNvPr id="3" name="AutoShape 2">
          <a:hlinkClick xmlns:r="http://schemas.openxmlformats.org/officeDocument/2006/relationships" r:id="rId2" tooltip="Volver menú Oferta Alojativa"/>
        </xdr:cNvPr>
        <xdr:cNvSpPr>
          <a:spLocks noChangeArrowheads="1"/>
        </xdr:cNvSpPr>
      </xdr:nvSpPr>
      <xdr:spPr bwMode="auto">
        <a:xfrm rot="10800000">
          <a:off x="15176500" y="314642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1</xdr:row>
      <xdr:rowOff>152400</xdr:rowOff>
    </xdr:from>
    <xdr:to>
      <xdr:col>18</xdr:col>
      <xdr:colOff>92075</xdr:colOff>
      <xdr:row>22</xdr:row>
      <xdr:rowOff>38099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9525</xdr:colOff>
      <xdr:row>25</xdr:row>
      <xdr:rowOff>95250</xdr:rowOff>
    </xdr:from>
    <xdr:to>
      <xdr:col>8</xdr:col>
      <xdr:colOff>822325</xdr:colOff>
      <xdr:row>45</xdr:row>
      <xdr:rowOff>85725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10</xdr:col>
      <xdr:colOff>19050</xdr:colOff>
      <xdr:row>24</xdr:row>
      <xdr:rowOff>114300</xdr:rowOff>
    </xdr:from>
    <xdr:to>
      <xdr:col>18</xdr:col>
      <xdr:colOff>111125</xdr:colOff>
      <xdr:row>44</xdr:row>
      <xdr:rowOff>133349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</xdr:col>
      <xdr:colOff>0</xdr:colOff>
      <xdr:row>48</xdr:row>
      <xdr:rowOff>0</xdr:rowOff>
    </xdr:from>
    <xdr:to>
      <xdr:col>8</xdr:col>
      <xdr:colOff>812800</xdr:colOff>
      <xdr:row>64</xdr:row>
      <xdr:rowOff>114300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10</xdr:col>
      <xdr:colOff>0</xdr:colOff>
      <xdr:row>48</xdr:row>
      <xdr:rowOff>0</xdr:rowOff>
    </xdr:from>
    <xdr:to>
      <xdr:col>18</xdr:col>
      <xdr:colOff>92075</xdr:colOff>
      <xdr:row>64</xdr:row>
      <xdr:rowOff>142874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10</xdr:col>
      <xdr:colOff>9525</xdr:colOff>
      <xdr:row>66</xdr:row>
      <xdr:rowOff>152400</xdr:rowOff>
    </xdr:from>
    <xdr:to>
      <xdr:col>18</xdr:col>
      <xdr:colOff>101600</xdr:colOff>
      <xdr:row>87</xdr:row>
      <xdr:rowOff>47624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67</xdr:row>
      <xdr:rowOff>0</xdr:rowOff>
    </xdr:from>
    <xdr:to>
      <xdr:col>8</xdr:col>
      <xdr:colOff>812800</xdr:colOff>
      <xdr:row>87</xdr:row>
      <xdr:rowOff>28575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85725</xdr:colOff>
      <xdr:row>1</xdr:row>
      <xdr:rowOff>79376</xdr:rowOff>
    </xdr:from>
    <xdr:to>
      <xdr:col>8</xdr:col>
      <xdr:colOff>50799</xdr:colOff>
      <xdr:row>18</xdr:row>
      <xdr:rowOff>79375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736600</xdr:colOff>
      <xdr:row>20</xdr:row>
      <xdr:rowOff>22225</xdr:rowOff>
    </xdr:from>
    <xdr:to>
      <xdr:col>17</xdr:col>
      <xdr:colOff>288925</xdr:colOff>
      <xdr:row>21</xdr:row>
      <xdr:rowOff>190500</xdr:rowOff>
    </xdr:to>
    <xdr:sp macro="" textlink="">
      <xdr:nvSpPr>
        <xdr:cNvPr id="3" name="AutoShape 2">
          <a:hlinkClick xmlns:r="http://schemas.openxmlformats.org/officeDocument/2006/relationships" r:id="rId2" tooltip="Volver menú Oferta Alojativa"/>
        </xdr:cNvPr>
        <xdr:cNvSpPr>
          <a:spLocks noChangeArrowheads="1"/>
        </xdr:cNvSpPr>
      </xdr:nvSpPr>
      <xdr:spPr bwMode="auto">
        <a:xfrm rot="10800000">
          <a:off x="13928725" y="402272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85725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749300</xdr:colOff>
      <xdr:row>1</xdr:row>
      <xdr:rowOff>88900</xdr:rowOff>
    </xdr:from>
    <xdr:to>
      <xdr:col>15</xdr:col>
      <xdr:colOff>720725</xdr:colOff>
      <xdr:row>18</xdr:row>
      <xdr:rowOff>88900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161925</xdr:colOff>
      <xdr:row>19</xdr:row>
      <xdr:rowOff>184150</xdr:rowOff>
    </xdr:from>
    <xdr:to>
      <xdr:col>8</xdr:col>
      <xdr:colOff>133350</xdr:colOff>
      <xdr:row>36</xdr:row>
      <xdr:rowOff>130174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8</xdr:col>
      <xdr:colOff>701675</xdr:colOff>
      <xdr:row>19</xdr:row>
      <xdr:rowOff>174625</xdr:rowOff>
    </xdr:from>
    <xdr:to>
      <xdr:col>15</xdr:col>
      <xdr:colOff>682625</xdr:colOff>
      <xdr:row>36</xdr:row>
      <xdr:rowOff>120649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</xdr:col>
      <xdr:colOff>0</xdr:colOff>
      <xdr:row>39</xdr:row>
      <xdr:rowOff>0</xdr:rowOff>
    </xdr:from>
    <xdr:to>
      <xdr:col>7</xdr:col>
      <xdr:colOff>774699</xdr:colOff>
      <xdr:row>55</xdr:row>
      <xdr:rowOff>200024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9</xdr:col>
      <xdr:colOff>12700</xdr:colOff>
      <xdr:row>39</xdr:row>
      <xdr:rowOff>19049</xdr:rowOff>
    </xdr:from>
    <xdr:to>
      <xdr:col>15</xdr:col>
      <xdr:colOff>793750</xdr:colOff>
      <xdr:row>56</xdr:row>
      <xdr:rowOff>19049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12700</xdr:colOff>
      <xdr:row>58</xdr:row>
      <xdr:rowOff>19049</xdr:rowOff>
    </xdr:from>
    <xdr:to>
      <xdr:col>7</xdr:col>
      <xdr:colOff>793750</xdr:colOff>
      <xdr:row>74</xdr:row>
      <xdr:rowOff>171448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12700</xdr:colOff>
      <xdr:row>58</xdr:row>
      <xdr:rowOff>9524</xdr:rowOff>
    </xdr:from>
    <xdr:to>
      <xdr:col>15</xdr:col>
      <xdr:colOff>803275</xdr:colOff>
      <xdr:row>74</xdr:row>
      <xdr:rowOff>161923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4232275</xdr:colOff>
      <xdr:row>21</xdr:row>
      <xdr:rowOff>114300</xdr:rowOff>
    </xdr:from>
    <xdr:to>
      <xdr:col>6</xdr:col>
      <xdr:colOff>292100</xdr:colOff>
      <xdr:row>23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7651750" y="5010150"/>
          <a:ext cx="35560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3</xdr:row>
      <xdr:rowOff>28575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438150</xdr:colOff>
      <xdr:row>36</xdr:row>
      <xdr:rowOff>142875</xdr:rowOff>
    </xdr:from>
    <xdr:to>
      <xdr:col>18</xdr:col>
      <xdr:colOff>285750</xdr:colOff>
      <xdr:row>39</xdr:row>
      <xdr:rowOff>19050</xdr:rowOff>
    </xdr:to>
    <xdr:sp macro="" textlink="">
      <xdr:nvSpPr>
        <xdr:cNvPr id="3" name="AutoShape 8">
          <a:hlinkClick xmlns:r="http://schemas.openxmlformats.org/officeDocument/2006/relationships" r:id="rId3" tooltip="Volver menú Oferta Alojativa Autorizada"/>
        </xdr:cNvPr>
        <xdr:cNvSpPr>
          <a:spLocks noChangeArrowheads="1"/>
        </xdr:cNvSpPr>
      </xdr:nvSpPr>
      <xdr:spPr bwMode="auto">
        <a:xfrm rot="10800000">
          <a:off x="13277850" y="666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412750</xdr:colOff>
      <xdr:row>56</xdr:row>
      <xdr:rowOff>76200</xdr:rowOff>
    </xdr:from>
    <xdr:to>
      <xdr:col>10</xdr:col>
      <xdr:colOff>12700</xdr:colOff>
      <xdr:row>71</xdr:row>
      <xdr:rowOff>57150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613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1</xdr:row>
      <xdr:rowOff>104774</xdr:rowOff>
    </xdr:from>
    <xdr:to>
      <xdr:col>9</xdr:col>
      <xdr:colOff>717550</xdr:colOff>
      <xdr:row>26</xdr:row>
      <xdr:rowOff>50799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212725</xdr:colOff>
      <xdr:row>27</xdr:row>
      <xdr:rowOff>44450</xdr:rowOff>
    </xdr:from>
    <xdr:to>
      <xdr:col>10</xdr:col>
      <xdr:colOff>574675</xdr:colOff>
      <xdr:row>28</xdr:row>
      <xdr:rowOff>22225</xdr:rowOff>
    </xdr:to>
    <xdr:sp macro="" textlink="">
      <xdr:nvSpPr>
        <xdr:cNvPr id="3" name="AutoShape 3">
          <a:hlinkClick xmlns:r="http://schemas.openxmlformats.org/officeDocument/2006/relationships" r:id="rId2" tooltip="Volver menú Oferta Alojativa Autorizada"/>
        </xdr:cNvPr>
        <xdr:cNvSpPr>
          <a:spLocks noChangeArrowheads="1"/>
        </xdr:cNvSpPr>
      </xdr:nvSpPr>
      <xdr:spPr bwMode="auto">
        <a:xfrm rot="10800000">
          <a:off x="7537450" y="4445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0.08764</cdr:x>
      <cdr:y>0.00955</cdr:y>
    </cdr:from>
    <cdr:to>
      <cdr:x>0.92175</cdr:x>
      <cdr:y>0.09547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3400" y="38101"/>
          <a:ext cx="5076825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AUTORIZADAS SEGÚN TIPOLOGÍAS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37</xdr:row>
      <xdr:rowOff>152400</xdr:rowOff>
    </xdr:from>
    <xdr:to>
      <xdr:col>13</xdr:col>
      <xdr:colOff>733425</xdr:colOff>
      <xdr:row>39</xdr:row>
      <xdr:rowOff>190500</xdr:rowOff>
    </xdr:to>
    <xdr:sp macro="" textlink="">
      <xdr:nvSpPr>
        <xdr:cNvPr id="3" name="AutoShape 6">
          <a:hlinkClick xmlns:r="http://schemas.openxmlformats.org/officeDocument/2006/relationships" r:id="rId3" tooltip="Volver menú Oferta Alojativa Autorizada"/>
        </xdr:cNvPr>
        <xdr:cNvSpPr>
          <a:spLocks noChangeArrowheads="1"/>
        </xdr:cNvSpPr>
      </xdr:nvSpPr>
      <xdr:spPr bwMode="auto">
        <a:xfrm rot="10800000">
          <a:off x="9696450" y="6791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400050</xdr:colOff>
      <xdr:row>33</xdr:row>
      <xdr:rowOff>276225</xdr:rowOff>
    </xdr:from>
    <xdr:to>
      <xdr:col>9</xdr:col>
      <xdr:colOff>762000</xdr:colOff>
      <xdr:row>33</xdr:row>
      <xdr:rowOff>638175</xdr:rowOff>
    </xdr:to>
    <xdr:sp macro="" textlink="">
      <xdr:nvSpPr>
        <xdr:cNvPr id="3" name="AutoShape 6">
          <a:hlinkClick xmlns:r="http://schemas.openxmlformats.org/officeDocument/2006/relationships" r:id="rId3" tooltip="Volver menú Oferta Alojativa Autorizada"/>
        </xdr:cNvPr>
        <xdr:cNvSpPr>
          <a:spLocks noChangeArrowheads="1"/>
        </xdr:cNvSpPr>
      </xdr:nvSpPr>
      <xdr:spPr bwMode="auto">
        <a:xfrm rot="10800000">
          <a:off x="10039350" y="5838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1044576</xdr:colOff>
      <xdr:row>4</xdr:row>
      <xdr:rowOff>0</xdr:rowOff>
    </xdr:from>
    <xdr:to>
      <xdr:col>7</xdr:col>
      <xdr:colOff>762000</xdr:colOff>
      <xdr:row>21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165100</xdr:colOff>
      <xdr:row>23</xdr:row>
      <xdr:rowOff>12700</xdr:rowOff>
    </xdr:from>
    <xdr:to>
      <xdr:col>17</xdr:col>
      <xdr:colOff>527050</xdr:colOff>
      <xdr:row>25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Oferta Alojativa Autorizada"/>
        </xdr:cNvPr>
        <xdr:cNvSpPr>
          <a:spLocks noChangeArrowheads="1"/>
        </xdr:cNvSpPr>
      </xdr:nvSpPr>
      <xdr:spPr bwMode="auto">
        <a:xfrm rot="10800000">
          <a:off x="13804900" y="4117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</xdr:colOff>
      <xdr:row>3</xdr:row>
      <xdr:rowOff>161926</xdr:rowOff>
    </xdr:from>
    <xdr:to>
      <xdr:col>16</xdr:col>
      <xdr:colOff>19050</xdr:colOff>
      <xdr:row>21</xdr:row>
      <xdr:rowOff>9526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1</xdr:colOff>
      <xdr:row>23</xdr:row>
      <xdr:rowOff>171450</xdr:rowOff>
    </xdr:from>
    <xdr:to>
      <xdr:col>8</xdr:col>
      <xdr:colOff>9526</xdr:colOff>
      <xdr:row>40</xdr:row>
      <xdr:rowOff>161924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19050</xdr:colOff>
      <xdr:row>23</xdr:row>
      <xdr:rowOff>171452</xdr:rowOff>
    </xdr:from>
    <xdr:to>
      <xdr:col>16</xdr:col>
      <xdr:colOff>28575</xdr:colOff>
      <xdr:row>41</xdr:row>
      <xdr:rowOff>9526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733425</xdr:colOff>
      <xdr:row>61</xdr:row>
      <xdr:rowOff>47625</xdr:rowOff>
    </xdr:from>
    <xdr:to>
      <xdr:col>18</xdr:col>
      <xdr:colOff>333375</xdr:colOff>
      <xdr:row>61</xdr:row>
      <xdr:rowOff>47625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019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298450</xdr:colOff>
      <xdr:row>43</xdr:row>
      <xdr:rowOff>107950</xdr:rowOff>
    </xdr:from>
    <xdr:to>
      <xdr:col>8</xdr:col>
      <xdr:colOff>660400</xdr:colOff>
      <xdr:row>57</xdr:row>
      <xdr:rowOff>88900</xdr:rowOff>
    </xdr:to>
    <xdr:sp macro="" textlink="">
      <xdr:nvSpPr>
        <xdr:cNvPr id="4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61250" y="393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295275</xdr:colOff>
      <xdr:row>17</xdr:row>
      <xdr:rowOff>66675</xdr:rowOff>
    </xdr:from>
    <xdr:to>
      <xdr:col>11</xdr:col>
      <xdr:colOff>657225</xdr:colOff>
      <xdr:row>18</xdr:row>
      <xdr:rowOff>114300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58275" y="378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352425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225425</xdr:colOff>
      <xdr:row>17</xdr:row>
      <xdr:rowOff>187325</xdr:rowOff>
    </xdr:from>
    <xdr:to>
      <xdr:col>10</xdr:col>
      <xdr:colOff>587375</xdr:colOff>
      <xdr:row>19</xdr:row>
      <xdr:rowOff>168275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9275" y="342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320675</xdr:colOff>
      <xdr:row>37</xdr:row>
      <xdr:rowOff>120650</xdr:rowOff>
    </xdr:from>
    <xdr:to>
      <xdr:col>10</xdr:col>
      <xdr:colOff>682625</xdr:colOff>
      <xdr:row>39</xdr:row>
      <xdr:rowOff>101600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64525" y="719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161925</xdr:colOff>
      <xdr:row>20</xdr:row>
      <xdr:rowOff>142875</xdr:rowOff>
    </xdr:from>
    <xdr:to>
      <xdr:col>7</xdr:col>
      <xdr:colOff>523875</xdr:colOff>
      <xdr:row>22</xdr:row>
      <xdr:rowOff>123825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248775" y="469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69850</xdr:colOff>
      <xdr:row>10</xdr:row>
      <xdr:rowOff>9525</xdr:rowOff>
    </xdr:from>
    <xdr:to>
      <xdr:col>19</xdr:col>
      <xdr:colOff>431800</xdr:colOff>
      <xdr:row>11</xdr:row>
      <xdr:rowOff>180975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414625" y="2895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19</xdr:col>
      <xdr:colOff>127000</xdr:colOff>
      <xdr:row>35</xdr:row>
      <xdr:rowOff>123825</xdr:rowOff>
    </xdr:from>
    <xdr:to>
      <xdr:col>19</xdr:col>
      <xdr:colOff>488950</xdr:colOff>
      <xdr:row>37</xdr:row>
      <xdr:rowOff>104775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71775" y="827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428625</xdr:colOff>
      <xdr:row>31</xdr:row>
      <xdr:rowOff>0</xdr:rowOff>
    </xdr:from>
    <xdr:to>
      <xdr:col>8</xdr:col>
      <xdr:colOff>28575</xdr:colOff>
      <xdr:row>32</xdr:row>
      <xdr:rowOff>171450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515475" y="7038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752475</xdr:colOff>
      <xdr:row>84</xdr:row>
      <xdr:rowOff>0</xdr:rowOff>
    </xdr:from>
    <xdr:to>
      <xdr:col>12</xdr:col>
      <xdr:colOff>257175</xdr:colOff>
      <xdr:row>84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701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15</xdr:row>
      <xdr:rowOff>0</xdr:rowOff>
    </xdr:from>
    <xdr:to>
      <xdr:col>11</xdr:col>
      <xdr:colOff>361950</xdr:colOff>
      <xdr:row>16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43950" y="282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196850</xdr:colOff>
      <xdr:row>20</xdr:row>
      <xdr:rowOff>38100</xdr:rowOff>
    </xdr:from>
    <xdr:to>
      <xdr:col>11</xdr:col>
      <xdr:colOff>558800</xdr:colOff>
      <xdr:row>22</xdr:row>
      <xdr:rowOff>19050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69350" y="420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0.95037</cdr:y>
    </cdr:from>
    <cdr:to>
      <cdr:x>0.58562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2914650"/>
          <a:ext cx="3223418" cy="1489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190500</xdr:colOff>
      <xdr:row>19</xdr:row>
      <xdr:rowOff>142875</xdr:rowOff>
    </xdr:from>
    <xdr:to>
      <xdr:col>10</xdr:col>
      <xdr:colOff>552450</xdr:colOff>
      <xdr:row>21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0050" y="4124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609600</xdr:colOff>
      <xdr:row>1</xdr:row>
      <xdr:rowOff>273050</xdr:rowOff>
    </xdr:from>
    <xdr:to>
      <xdr:col>9</xdr:col>
      <xdr:colOff>352425</xdr:colOff>
      <xdr:row>19</xdr:row>
      <xdr:rowOff>60325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#REF!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0.00958</cdr:x>
      <cdr:y>0.95707</cdr:y>
    </cdr:from>
    <cdr:to>
      <cdr:x>0.64451</cdr:x>
      <cdr:y>0.99869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09975"/>
          <a:ext cx="3156906" cy="1569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0.07692</cdr:x>
      <cdr:y>0.00266</cdr:y>
    </cdr:from>
    <cdr:to>
      <cdr:x>0.97059</cdr:x>
      <cdr:y>0.14324</cdr:y>
    </cdr:to>
    <cdr:sp macro="" textlink="'[2]Turistas por categorías '!$L$4:$N$4">
      <cdr:nvSpPr>
        <cdr:cNvPr id="10" name="1 CuadroTexto"/>
        <cdr:cNvSpPr txBox="1"/>
      </cdr:nvSpPr>
      <cdr:spPr>
        <a:xfrm xmlns:a="http://schemas.openxmlformats.org/drawingml/2006/main">
          <a:off x="390525" y="9525"/>
          <a:ext cx="4536998" cy="503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/>
            <a:pPr algn="ctr"/>
            <a:t>DISTRIBUCIÓN DE TURISTAS  ALOJADOS EN SANTA CRUZ POR CATEGORÍA </a:t>
          </a:fld>
          <a:endParaRPr lang="es-ES" sz="1600" b="1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20</xdr:row>
      <xdr:rowOff>38100</xdr:rowOff>
    </xdr:from>
    <xdr:to>
      <xdr:col>10</xdr:col>
      <xdr:colOff>361950</xdr:colOff>
      <xdr:row>22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9550" y="421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447675</xdr:colOff>
      <xdr:row>1</xdr:row>
      <xdr:rowOff>409575</xdr:rowOff>
    </xdr:from>
    <xdr:to>
      <xdr:col>8</xdr:col>
      <xdr:colOff>247651</xdr:colOff>
      <xdr:row>19</xdr:row>
      <xdr:rowOff>139700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0.06994</cdr:x>
      <cdr:y>0</cdr:y>
    </cdr:from>
    <cdr:to>
      <cdr:x>0.95366</cdr:x>
      <cdr:y>0.14286</cdr:y>
    </cdr:to>
    <cdr:sp macro="" textlink="'[2]Turistas por categorías '!$L$4:$N$4">
      <cdr:nvSpPr>
        <cdr:cNvPr id="2" name="1 CuadroTexto"/>
        <cdr:cNvSpPr txBox="1"/>
      </cdr:nvSpPr>
      <cdr:spPr>
        <a:xfrm xmlns:a="http://schemas.openxmlformats.org/drawingml/2006/main">
          <a:off x="352425" y="0"/>
          <a:ext cx="4452798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623343C0-E643-43E9-BA2E-1469D8C8E8B0}" type="TxLink">
            <a:rPr lang="es-ES" sz="1600" b="1"/>
            <a:pPr algn="ctr"/>
            <a:t>DISTRIBUCIÓN DE TURISTAS  ALOJADOS EN SANTA CRUZ POR CATEGORÍA </a:t>
          </a:fld>
          <a:endParaRPr lang="es-ES" sz="1600" b="1"/>
        </a:p>
      </cdr:txBody>
    </cdr:sp>
  </cdr:relSizeAnchor>
  <cdr:relSizeAnchor xmlns:cdr="http://schemas.openxmlformats.org/drawingml/2006/chartDrawing">
    <cdr:from>
      <cdr:x>0</cdr:x>
      <cdr:y>0.95771</cdr:y>
    </cdr:from>
    <cdr:to>
      <cdr:x>0.62786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76625"/>
          <a:ext cx="3223428" cy="1490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238125</xdr:colOff>
      <xdr:row>42</xdr:row>
      <xdr:rowOff>79375</xdr:rowOff>
    </xdr:from>
    <xdr:to>
      <xdr:col>9</xdr:col>
      <xdr:colOff>600075</xdr:colOff>
      <xdr:row>56</xdr:row>
      <xdr:rowOff>60325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15225" y="378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142875</xdr:colOff>
      <xdr:row>21</xdr:row>
      <xdr:rowOff>95250</xdr:rowOff>
    </xdr:from>
    <xdr:to>
      <xdr:col>7</xdr:col>
      <xdr:colOff>504825</xdr:colOff>
      <xdr:row>22</xdr:row>
      <xdr:rowOff>266700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229725" y="4838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257175</xdr:colOff>
      <xdr:row>21</xdr:row>
      <xdr:rowOff>0</xdr:rowOff>
    </xdr:from>
    <xdr:to>
      <xdr:col>10</xdr:col>
      <xdr:colOff>619125</xdr:colOff>
      <xdr:row>22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86700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2</xdr:row>
      <xdr:rowOff>104775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142875</xdr:colOff>
      <xdr:row>21</xdr:row>
      <xdr:rowOff>95250</xdr:rowOff>
    </xdr:from>
    <xdr:to>
      <xdr:col>7</xdr:col>
      <xdr:colOff>504825</xdr:colOff>
      <xdr:row>22</xdr:row>
      <xdr:rowOff>266700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229725" y="4838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200025</xdr:colOff>
      <xdr:row>12</xdr:row>
      <xdr:rowOff>168275</xdr:rowOff>
    </xdr:from>
    <xdr:to>
      <xdr:col>14</xdr:col>
      <xdr:colOff>561975</xdr:colOff>
      <xdr:row>14</xdr:row>
      <xdr:rowOff>149225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360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238125</xdr:colOff>
      <xdr:row>30</xdr:row>
      <xdr:rowOff>82550</xdr:rowOff>
    </xdr:from>
    <xdr:to>
      <xdr:col>14</xdr:col>
      <xdr:colOff>600075</xdr:colOff>
      <xdr:row>32</xdr:row>
      <xdr:rowOff>63500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544300" y="727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234950</xdr:colOff>
      <xdr:row>47</xdr:row>
      <xdr:rowOff>161925</xdr:rowOff>
    </xdr:from>
    <xdr:to>
      <xdr:col>14</xdr:col>
      <xdr:colOff>596900</xdr:colOff>
      <xdr:row>49</xdr:row>
      <xdr:rowOff>142875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541125" y="1091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180975</xdr:colOff>
      <xdr:row>66</xdr:row>
      <xdr:rowOff>6350</xdr:rowOff>
    </xdr:from>
    <xdr:to>
      <xdr:col>14</xdr:col>
      <xdr:colOff>542925</xdr:colOff>
      <xdr:row>67</xdr:row>
      <xdr:rowOff>177800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487150" y="1470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269875</xdr:colOff>
      <xdr:row>81</xdr:row>
      <xdr:rowOff>165100</xdr:rowOff>
    </xdr:from>
    <xdr:to>
      <xdr:col>14</xdr:col>
      <xdr:colOff>631825</xdr:colOff>
      <xdr:row>83</xdr:row>
      <xdr:rowOff>146050</xdr:rowOff>
    </xdr:to>
    <xdr:sp macro="" textlink="">
      <xdr:nvSpPr>
        <xdr:cNvPr id="6" name="AutoShape 3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1576050" y="18072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219075</xdr:colOff>
      <xdr:row>100</xdr:row>
      <xdr:rowOff>66675</xdr:rowOff>
    </xdr:from>
    <xdr:to>
      <xdr:col>14</xdr:col>
      <xdr:colOff>581025</xdr:colOff>
      <xdr:row>102</xdr:row>
      <xdr:rowOff>47625</xdr:rowOff>
    </xdr:to>
    <xdr:sp macro="" textlink="">
      <xdr:nvSpPr>
        <xdr:cNvPr id="7" name="AutoShape 3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1525250" y="2188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168275</xdr:colOff>
      <xdr:row>117</xdr:row>
      <xdr:rowOff>111125</xdr:rowOff>
    </xdr:from>
    <xdr:to>
      <xdr:col>14</xdr:col>
      <xdr:colOff>530225</xdr:colOff>
      <xdr:row>119</xdr:row>
      <xdr:rowOff>92075</xdr:rowOff>
    </xdr:to>
    <xdr:sp macro="" textlink="">
      <xdr:nvSpPr>
        <xdr:cNvPr id="8" name="AutoShape 3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1474450" y="2546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104775</xdr:colOff>
      <xdr:row>135</xdr:row>
      <xdr:rowOff>133350</xdr:rowOff>
    </xdr:from>
    <xdr:to>
      <xdr:col>14</xdr:col>
      <xdr:colOff>466725</xdr:colOff>
      <xdr:row>137</xdr:row>
      <xdr:rowOff>114300</xdr:rowOff>
    </xdr:to>
    <xdr:sp macro="" textlink="">
      <xdr:nvSpPr>
        <xdr:cNvPr id="9" name="AutoShape 3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1410950" y="29203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114300</xdr:colOff>
      <xdr:row>152</xdr:row>
      <xdr:rowOff>133350</xdr:rowOff>
    </xdr:from>
    <xdr:to>
      <xdr:col>14</xdr:col>
      <xdr:colOff>476250</xdr:colOff>
      <xdr:row>154</xdr:row>
      <xdr:rowOff>114300</xdr:rowOff>
    </xdr:to>
    <xdr:sp macro="" textlink="">
      <xdr:nvSpPr>
        <xdr:cNvPr id="10" name="AutoShape 3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11420475" y="32775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177800</xdr:colOff>
      <xdr:row>171</xdr:row>
      <xdr:rowOff>66675</xdr:rowOff>
    </xdr:from>
    <xdr:to>
      <xdr:col>14</xdr:col>
      <xdr:colOff>539750</xdr:colOff>
      <xdr:row>173</xdr:row>
      <xdr:rowOff>47625</xdr:rowOff>
    </xdr:to>
    <xdr:sp macro="" textlink="">
      <xdr:nvSpPr>
        <xdr:cNvPr id="11" name="AutoShape 3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11483975" y="36642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203200</xdr:colOff>
      <xdr:row>187</xdr:row>
      <xdr:rowOff>114300</xdr:rowOff>
    </xdr:from>
    <xdr:to>
      <xdr:col>14</xdr:col>
      <xdr:colOff>565150</xdr:colOff>
      <xdr:row>189</xdr:row>
      <xdr:rowOff>95250</xdr:rowOff>
    </xdr:to>
    <xdr:sp macro="" textlink="">
      <xdr:nvSpPr>
        <xdr:cNvPr id="12" name="AutoShape 3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11509375" y="4006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204</xdr:row>
      <xdr:rowOff>184150</xdr:rowOff>
    </xdr:from>
    <xdr:to>
      <xdr:col>14</xdr:col>
      <xdr:colOff>546100</xdr:colOff>
      <xdr:row>206</xdr:row>
      <xdr:rowOff>165100</xdr:rowOff>
    </xdr:to>
    <xdr:sp macro="" textlink="">
      <xdr:nvSpPr>
        <xdr:cNvPr id="13" name="AutoShape 3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11490325" y="43656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187325</xdr:colOff>
      <xdr:row>222</xdr:row>
      <xdr:rowOff>101600</xdr:rowOff>
    </xdr:from>
    <xdr:to>
      <xdr:col>14</xdr:col>
      <xdr:colOff>549275</xdr:colOff>
      <xdr:row>224</xdr:row>
      <xdr:rowOff>82550</xdr:rowOff>
    </xdr:to>
    <xdr:sp macro="" textlink="">
      <xdr:nvSpPr>
        <xdr:cNvPr id="14" name="AutoShape 3">
          <a:hlinkClick xmlns:r="http://schemas.openxmlformats.org/officeDocument/2006/relationships" r:id="rId13" tooltip="Volver menú alojados"/>
        </xdr:cNvPr>
        <xdr:cNvSpPr>
          <a:spLocks noChangeArrowheads="1"/>
        </xdr:cNvSpPr>
      </xdr:nvSpPr>
      <xdr:spPr bwMode="auto">
        <a:xfrm rot="10800000">
          <a:off x="11493500" y="47297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222250</xdr:colOff>
      <xdr:row>240</xdr:row>
      <xdr:rowOff>6350</xdr:rowOff>
    </xdr:from>
    <xdr:to>
      <xdr:col>14</xdr:col>
      <xdr:colOff>584200</xdr:colOff>
      <xdr:row>241</xdr:row>
      <xdr:rowOff>177800</xdr:rowOff>
    </xdr:to>
    <xdr:sp macro="" textlink="">
      <xdr:nvSpPr>
        <xdr:cNvPr id="15" name="AutoShape 3">
          <a:hlinkClick xmlns:r="http://schemas.openxmlformats.org/officeDocument/2006/relationships" r:id="rId14" tooltip="Volver menú alojados"/>
        </xdr:cNvPr>
        <xdr:cNvSpPr>
          <a:spLocks noChangeArrowheads="1"/>
        </xdr:cNvSpPr>
      </xdr:nvSpPr>
      <xdr:spPr bwMode="auto">
        <a:xfrm rot="10800000">
          <a:off x="11528425" y="50936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120650</xdr:colOff>
      <xdr:row>257</xdr:row>
      <xdr:rowOff>31750</xdr:rowOff>
    </xdr:from>
    <xdr:to>
      <xdr:col>14</xdr:col>
      <xdr:colOff>482600</xdr:colOff>
      <xdr:row>259</xdr:row>
      <xdr:rowOff>12700</xdr:rowOff>
    </xdr:to>
    <xdr:sp macro="" textlink="">
      <xdr:nvSpPr>
        <xdr:cNvPr id="16" name="AutoShape 3">
          <a:hlinkClick xmlns:r="http://schemas.openxmlformats.org/officeDocument/2006/relationships" r:id="rId15" tooltip="Volver menú alojados"/>
        </xdr:cNvPr>
        <xdr:cNvSpPr>
          <a:spLocks noChangeArrowheads="1"/>
        </xdr:cNvSpPr>
      </xdr:nvSpPr>
      <xdr:spPr bwMode="auto">
        <a:xfrm rot="10800000">
          <a:off x="11426825" y="5450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149225</xdr:colOff>
      <xdr:row>275</xdr:row>
      <xdr:rowOff>19050</xdr:rowOff>
    </xdr:from>
    <xdr:to>
      <xdr:col>14</xdr:col>
      <xdr:colOff>511175</xdr:colOff>
      <xdr:row>277</xdr:row>
      <xdr:rowOff>0</xdr:rowOff>
    </xdr:to>
    <xdr:sp macro="" textlink="">
      <xdr:nvSpPr>
        <xdr:cNvPr id="17" name="AutoShape 3">
          <a:hlinkClick xmlns:r="http://schemas.openxmlformats.org/officeDocument/2006/relationships" r:id="rId16" tooltip="Volver menú alojados"/>
        </xdr:cNvPr>
        <xdr:cNvSpPr>
          <a:spLocks noChangeArrowheads="1"/>
        </xdr:cNvSpPr>
      </xdr:nvSpPr>
      <xdr:spPr bwMode="auto">
        <a:xfrm rot="10800000">
          <a:off x="11455400" y="58159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0</xdr:row>
      <xdr:rowOff>692150</xdr:rowOff>
    </xdr:to>
    <xdr:pic>
      <xdr:nvPicPr>
        <xdr:cNvPr id="18" name="Picture 3" descr="MARCA TENERIFE">
          <a:hlinkClick xmlns:r="http://schemas.openxmlformats.org/officeDocument/2006/relationships" r:id="rId1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3</xdr:row>
      <xdr:rowOff>85725</xdr:rowOff>
    </xdr:from>
    <xdr:to>
      <xdr:col>13</xdr:col>
      <xdr:colOff>866775</xdr:colOff>
      <xdr:row>15</xdr:row>
      <xdr:rowOff>95250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7</xdr:col>
      <xdr:colOff>161925</xdr:colOff>
      <xdr:row>21</xdr:row>
      <xdr:rowOff>142875</xdr:rowOff>
    </xdr:from>
    <xdr:to>
      <xdr:col>13</xdr:col>
      <xdr:colOff>942975</xdr:colOff>
      <xdr:row>33</xdr:row>
      <xdr:rowOff>161925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7</xdr:col>
      <xdr:colOff>228600</xdr:colOff>
      <xdr:row>39</xdr:row>
      <xdr:rowOff>19050</xdr:rowOff>
    </xdr:from>
    <xdr:to>
      <xdr:col>13</xdr:col>
      <xdr:colOff>1009650</xdr:colOff>
      <xdr:row>51</xdr:row>
      <xdr:rowOff>38100</xdr:rowOff>
    </xdr:to>
    <xdr:graphicFrame macro="">
      <xdr:nvGraphicFramePr>
        <xdr:cNvPr id="21" name="2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7</xdr:col>
      <xdr:colOff>238125</xdr:colOff>
      <xdr:row>57</xdr:row>
      <xdr:rowOff>133350</xdr:rowOff>
    </xdr:from>
    <xdr:to>
      <xdr:col>13</xdr:col>
      <xdr:colOff>1019175</xdr:colOff>
      <xdr:row>69</xdr:row>
      <xdr:rowOff>161925</xdr:rowOff>
    </xdr:to>
    <xdr:graphicFrame macro="">
      <xdr:nvGraphicFramePr>
        <xdr:cNvPr id="22" name="2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7</xdr:col>
      <xdr:colOff>152400</xdr:colOff>
      <xdr:row>75</xdr:row>
      <xdr:rowOff>85725</xdr:rowOff>
    </xdr:from>
    <xdr:to>
      <xdr:col>13</xdr:col>
      <xdr:colOff>933450</xdr:colOff>
      <xdr:row>87</xdr:row>
      <xdr:rowOff>95250</xdr:rowOff>
    </xdr:to>
    <xdr:graphicFrame macro="">
      <xdr:nvGraphicFramePr>
        <xdr:cNvPr id="23" name="2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7</xdr:col>
      <xdr:colOff>171450</xdr:colOff>
      <xdr:row>93</xdr:row>
      <xdr:rowOff>66675</xdr:rowOff>
    </xdr:from>
    <xdr:to>
      <xdr:col>13</xdr:col>
      <xdr:colOff>952500</xdr:colOff>
      <xdr:row>105</xdr:row>
      <xdr:rowOff>95250</xdr:rowOff>
    </xdr:to>
    <xdr:graphicFrame macro="">
      <xdr:nvGraphicFramePr>
        <xdr:cNvPr id="24" name="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7</xdr:col>
      <xdr:colOff>133350</xdr:colOff>
      <xdr:row>111</xdr:row>
      <xdr:rowOff>66675</xdr:rowOff>
    </xdr:from>
    <xdr:to>
      <xdr:col>13</xdr:col>
      <xdr:colOff>914400</xdr:colOff>
      <xdr:row>123</xdr:row>
      <xdr:rowOff>104775</xdr:rowOff>
    </xdr:to>
    <xdr:graphicFrame macro="">
      <xdr:nvGraphicFramePr>
        <xdr:cNvPr id="25" name="2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7</xdr:col>
      <xdr:colOff>133350</xdr:colOff>
      <xdr:row>129</xdr:row>
      <xdr:rowOff>85725</xdr:rowOff>
    </xdr:from>
    <xdr:to>
      <xdr:col>13</xdr:col>
      <xdr:colOff>914400</xdr:colOff>
      <xdr:row>141</xdr:row>
      <xdr:rowOff>114300</xdr:rowOff>
    </xdr:to>
    <xdr:graphicFrame macro="">
      <xdr:nvGraphicFramePr>
        <xdr:cNvPr id="26" name="2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7</xdr:col>
      <xdr:colOff>114300</xdr:colOff>
      <xdr:row>147</xdr:row>
      <xdr:rowOff>104775</xdr:rowOff>
    </xdr:from>
    <xdr:to>
      <xdr:col>13</xdr:col>
      <xdr:colOff>895350</xdr:colOff>
      <xdr:row>159</xdr:row>
      <xdr:rowOff>123825</xdr:rowOff>
    </xdr:to>
    <xdr:graphicFrame macro="">
      <xdr:nvGraphicFramePr>
        <xdr:cNvPr id="27" name="2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7</xdr:col>
      <xdr:colOff>152400</xdr:colOff>
      <xdr:row>165</xdr:row>
      <xdr:rowOff>38100</xdr:rowOff>
    </xdr:from>
    <xdr:to>
      <xdr:col>13</xdr:col>
      <xdr:colOff>933450</xdr:colOff>
      <xdr:row>177</xdr:row>
      <xdr:rowOff>66675</xdr:rowOff>
    </xdr:to>
    <xdr:graphicFrame macro="">
      <xdr:nvGraphicFramePr>
        <xdr:cNvPr id="28" name="2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7</xdr:col>
      <xdr:colOff>206375</xdr:colOff>
      <xdr:row>183</xdr:row>
      <xdr:rowOff>28575</xdr:rowOff>
    </xdr:from>
    <xdr:to>
      <xdr:col>13</xdr:col>
      <xdr:colOff>987425</xdr:colOff>
      <xdr:row>195</xdr:row>
      <xdr:rowOff>57150</xdr:rowOff>
    </xdr:to>
    <xdr:graphicFrame macro="">
      <xdr:nvGraphicFramePr>
        <xdr:cNvPr id="29" name="2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7</xdr:col>
      <xdr:colOff>219075</xdr:colOff>
      <xdr:row>201</xdr:row>
      <xdr:rowOff>38100</xdr:rowOff>
    </xdr:from>
    <xdr:to>
      <xdr:col>13</xdr:col>
      <xdr:colOff>1000125</xdr:colOff>
      <xdr:row>213</xdr:row>
      <xdr:rowOff>57150</xdr:rowOff>
    </xdr:to>
    <xdr:graphicFrame macro="">
      <xdr:nvGraphicFramePr>
        <xdr:cNvPr id="30" name="2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7</xdr:col>
      <xdr:colOff>104775</xdr:colOff>
      <xdr:row>219</xdr:row>
      <xdr:rowOff>28575</xdr:rowOff>
    </xdr:from>
    <xdr:to>
      <xdr:col>13</xdr:col>
      <xdr:colOff>885825</xdr:colOff>
      <xdr:row>231</xdr:row>
      <xdr:rowOff>47625</xdr:rowOff>
    </xdr:to>
    <xdr:graphicFrame macro="">
      <xdr:nvGraphicFramePr>
        <xdr:cNvPr id="31" name="3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7</xdr:col>
      <xdr:colOff>200025</xdr:colOff>
      <xdr:row>237</xdr:row>
      <xdr:rowOff>28575</xdr:rowOff>
    </xdr:from>
    <xdr:to>
      <xdr:col>13</xdr:col>
      <xdr:colOff>981075</xdr:colOff>
      <xdr:row>249</xdr:row>
      <xdr:rowOff>38100</xdr:rowOff>
    </xdr:to>
    <xdr:graphicFrame macro="">
      <xdr:nvGraphicFramePr>
        <xdr:cNvPr id="32" name="3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7</xdr:col>
      <xdr:colOff>142875</xdr:colOff>
      <xdr:row>255</xdr:row>
      <xdr:rowOff>38100</xdr:rowOff>
    </xdr:from>
    <xdr:to>
      <xdr:col>13</xdr:col>
      <xdr:colOff>923925</xdr:colOff>
      <xdr:row>267</xdr:row>
      <xdr:rowOff>47625</xdr:rowOff>
    </xdr:to>
    <xdr:graphicFrame macro="">
      <xdr:nvGraphicFramePr>
        <xdr:cNvPr id="33" name="3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7</xdr:col>
      <xdr:colOff>133350</xdr:colOff>
      <xdr:row>273</xdr:row>
      <xdr:rowOff>47625</xdr:rowOff>
    </xdr:from>
    <xdr:to>
      <xdr:col>13</xdr:col>
      <xdr:colOff>914400</xdr:colOff>
      <xdr:row>285</xdr:row>
      <xdr:rowOff>76200</xdr:rowOff>
    </xdr:to>
    <xdr:graphicFrame macro="">
      <xdr:nvGraphicFramePr>
        <xdr:cNvPr id="34" name="3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TOTAL TURISTAS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2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09967FE-5898-4DB8-ACC6-6234658958E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2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0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C44529-A053-4A44-845D-8CE84BEC8D6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2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58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DFECB25-9988-4F35-851A-C9C91C1D09F8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2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6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338C0A8-C86C-42D8-99D7-286076086A9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2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4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48DD66E-914F-45B3-9B6B-5EFC2282CC2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2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2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B39BD0B-5433-46AA-8098-FE6BC77592E4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2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</xdr:colOff>
      <xdr:row>14</xdr:row>
      <xdr:rowOff>66675</xdr:rowOff>
    </xdr:from>
    <xdr:to>
      <xdr:col>8</xdr:col>
      <xdr:colOff>428625</xdr:colOff>
      <xdr:row>16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77175" y="2924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0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D5AA7D-A188-45DA-8C75-86FA51CD1A26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2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48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ED31BB7-91D7-4552-A454-25563F1D64BA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2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6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4CEF1A-8C0F-4018-8C8E-1F6A122A17FB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2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0.93016</cdr:x>
      <cdr:y>0.17948</cdr:y>
    </cdr:to>
    <cdr:sp macro="" textlink="'graficas evol mensual merc'!$B$184">
      <cdr:nvSpPr>
        <cdr:cNvPr id="9" name="1 CuadroTexto"/>
        <cdr:cNvSpPr txBox="1"/>
      </cdr:nvSpPr>
      <cdr:spPr>
        <a:xfrm xmlns:a="http://schemas.openxmlformats.org/drawingml/2006/main">
          <a:off x="580999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E78E7D6-EE15-47D4-B253-562E969E7D6C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2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2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3BA7D1E-E766-4801-9069-4E52425401C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2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0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8C116B4-2FFA-4EB4-9ADD-524728C3A3F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2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38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AF5775-F397-4CCC-910D-A2F315F20C76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2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6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42018D3-19D6-436C-B2B5-684415BDB721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2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4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387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65461D6-E2AD-42E6-826C-9E4A7496296E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200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209550</xdr:colOff>
      <xdr:row>1</xdr:row>
      <xdr:rowOff>66675</xdr:rowOff>
    </xdr:from>
    <xdr:to>
      <xdr:col>25</xdr:col>
      <xdr:colOff>571500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485775</xdr:colOff>
      <xdr:row>0</xdr:row>
      <xdr:rowOff>171450</xdr:rowOff>
    </xdr:from>
    <xdr:to>
      <xdr:col>1</xdr:col>
      <xdr:colOff>847725</xdr:colOff>
      <xdr:row>2</xdr:row>
      <xdr:rowOff>152400</xdr:rowOff>
    </xdr:to>
    <xdr:sp macro="" textlink="">
      <xdr:nvSpPr>
        <xdr:cNvPr id="4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47775" y="171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1</xdr:col>
      <xdr:colOff>161925</xdr:colOff>
      <xdr:row>2</xdr:row>
      <xdr:rowOff>47625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333375</xdr:colOff>
      <xdr:row>68</xdr:row>
      <xdr:rowOff>66675</xdr:rowOff>
    </xdr:from>
    <xdr:to>
      <xdr:col>6</xdr:col>
      <xdr:colOff>695325</xdr:colOff>
      <xdr:row>69</xdr:row>
      <xdr:rowOff>238125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0545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419100</xdr:colOff>
      <xdr:row>28</xdr:row>
      <xdr:rowOff>171450</xdr:rowOff>
    </xdr:from>
    <xdr:to>
      <xdr:col>7</xdr:col>
      <xdr:colOff>781050</xdr:colOff>
      <xdr:row>30</xdr:row>
      <xdr:rowOff>76200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53325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666750</xdr:colOff>
      <xdr:row>0</xdr:row>
      <xdr:rowOff>0</xdr:rowOff>
    </xdr:from>
    <xdr:to>
      <xdr:col>7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74676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228600</xdr:colOff>
      <xdr:row>26</xdr:row>
      <xdr:rowOff>85725</xdr:rowOff>
    </xdr:from>
    <xdr:to>
      <xdr:col>5</xdr:col>
      <xdr:colOff>590550</xdr:colOff>
      <xdr:row>28</xdr:row>
      <xdr:rowOff>123825</xdr:rowOff>
    </xdr:to>
    <xdr:sp macro="" textlink="">
      <xdr:nvSpPr>
        <xdr:cNvPr id="4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76925" y="5276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660400</xdr:colOff>
      <xdr:row>21</xdr:row>
      <xdr:rowOff>0</xdr:rowOff>
    </xdr:from>
    <xdr:to>
      <xdr:col>10</xdr:col>
      <xdr:colOff>260350</xdr:colOff>
      <xdr:row>22</xdr:row>
      <xdr:rowOff>171450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56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9</xdr:col>
      <xdr:colOff>590550</xdr:colOff>
      <xdr:row>42</xdr:row>
      <xdr:rowOff>123826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561975</xdr:colOff>
      <xdr:row>21</xdr:row>
      <xdr:rowOff>0</xdr:rowOff>
    </xdr:from>
    <xdr:to>
      <xdr:col>10</xdr:col>
      <xdr:colOff>161925</xdr:colOff>
      <xdr:row>22</xdr:row>
      <xdr:rowOff>171450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615950</xdr:colOff>
      <xdr:row>31</xdr:row>
      <xdr:rowOff>0</xdr:rowOff>
    </xdr:from>
    <xdr:to>
      <xdr:col>10</xdr:col>
      <xdr:colOff>215900</xdr:colOff>
      <xdr:row>33</xdr:row>
      <xdr:rowOff>38100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6350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31</xdr:row>
      <xdr:rowOff>19050</xdr:rowOff>
    </xdr:from>
    <xdr:to>
      <xdr:col>10</xdr:col>
      <xdr:colOff>657225</xdr:colOff>
      <xdr:row>33</xdr:row>
      <xdr:rowOff>0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649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704850</xdr:colOff>
      <xdr:row>31</xdr:row>
      <xdr:rowOff>161925</xdr:rowOff>
    </xdr:from>
    <xdr:to>
      <xdr:col>10</xdr:col>
      <xdr:colOff>304800</xdr:colOff>
      <xdr:row>33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10575" y="6105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3" name="Picture 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161925</xdr:colOff>
      <xdr:row>31</xdr:row>
      <xdr:rowOff>95250</xdr:rowOff>
    </xdr:from>
    <xdr:to>
      <xdr:col>10</xdr:col>
      <xdr:colOff>523875</xdr:colOff>
      <xdr:row>33</xdr:row>
      <xdr:rowOff>133350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77150" y="5391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158750</xdr:colOff>
      <xdr:row>20</xdr:row>
      <xdr:rowOff>158750</xdr:rowOff>
    </xdr:from>
    <xdr:to>
      <xdr:col>10</xdr:col>
      <xdr:colOff>520700</xdr:colOff>
      <xdr:row>22</xdr:row>
      <xdr:rowOff>139700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07350" y="396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133350</xdr:colOff>
      <xdr:row>0</xdr:row>
      <xdr:rowOff>180975</xdr:rowOff>
    </xdr:from>
    <xdr:to>
      <xdr:col>1</xdr:col>
      <xdr:colOff>495300</xdr:colOff>
      <xdr:row>2</xdr:row>
      <xdr:rowOff>161925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906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57150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12</xdr:row>
      <xdr:rowOff>19050</xdr:rowOff>
    </xdr:from>
    <xdr:to>
      <xdr:col>7</xdr:col>
      <xdr:colOff>485775</xdr:colOff>
      <xdr:row>14</xdr:row>
      <xdr:rowOff>76200</xdr:rowOff>
    </xdr:to>
    <xdr:sp macro="" textlink="">
      <xdr:nvSpPr>
        <xdr:cNvPr id="3" name="AutoShape 7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48275" y="172402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250825</xdr:colOff>
      <xdr:row>29</xdr:row>
      <xdr:rowOff>88900</xdr:rowOff>
    </xdr:from>
    <xdr:to>
      <xdr:col>10</xdr:col>
      <xdr:colOff>612775</xdr:colOff>
      <xdr:row>30</xdr:row>
      <xdr:rowOff>66675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413625" y="50704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428625</xdr:colOff>
      <xdr:row>19</xdr:row>
      <xdr:rowOff>184150</xdr:rowOff>
    </xdr:from>
    <xdr:to>
      <xdr:col>7</xdr:col>
      <xdr:colOff>28575</xdr:colOff>
      <xdr:row>20</xdr:row>
      <xdr:rowOff>260350</xdr:rowOff>
    </xdr:to>
    <xdr:sp macro="" textlink="">
      <xdr:nvSpPr>
        <xdr:cNvPr id="2" name="AutoShape 4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8620125" y="513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549275</xdr:colOff>
      <xdr:row>15</xdr:row>
      <xdr:rowOff>0</xdr:rowOff>
    </xdr:from>
    <xdr:to>
      <xdr:col>18</xdr:col>
      <xdr:colOff>149225</xdr:colOff>
      <xdr:row>15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282575</xdr:colOff>
      <xdr:row>1</xdr:row>
      <xdr:rowOff>542925</xdr:rowOff>
    </xdr:from>
    <xdr:to>
      <xdr:col>9</xdr:col>
      <xdr:colOff>644525</xdr:colOff>
      <xdr:row>3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54950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371475</xdr:colOff>
      <xdr:row>2</xdr:row>
      <xdr:rowOff>25400</xdr:rowOff>
    </xdr:from>
    <xdr:to>
      <xdr:col>9</xdr:col>
      <xdr:colOff>733425</xdr:colOff>
      <xdr:row>3</xdr:row>
      <xdr:rowOff>50800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00975" y="7778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165100</xdr:colOff>
      <xdr:row>1</xdr:row>
      <xdr:rowOff>533400</xdr:rowOff>
    </xdr:from>
    <xdr:to>
      <xdr:col>11</xdr:col>
      <xdr:colOff>527050</xdr:colOff>
      <xdr:row>2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090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2</xdr:row>
      <xdr:rowOff>9525</xdr:rowOff>
    </xdr:from>
    <xdr:to>
      <xdr:col>11</xdr:col>
      <xdr:colOff>561975</xdr:colOff>
      <xdr:row>2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439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266700</xdr:colOff>
      <xdr:row>15</xdr:row>
      <xdr:rowOff>47625</xdr:rowOff>
    </xdr:from>
    <xdr:to>
      <xdr:col>7</xdr:col>
      <xdr:colOff>628650</xdr:colOff>
      <xdr:row>17</xdr:row>
      <xdr:rowOff>85725</xdr:rowOff>
    </xdr:to>
    <xdr:sp macro="" textlink="">
      <xdr:nvSpPr>
        <xdr:cNvPr id="2" name="AutoShape 1031">
          <a:hlinkClick xmlns:r="http://schemas.openxmlformats.org/officeDocument/2006/relationships" r:id="rId1" tooltip="Volver menú pernoctaciones"/>
        </xdr:cNvPr>
        <xdr:cNvSpPr>
          <a:spLocks noChangeArrowheads="1"/>
        </xdr:cNvSpPr>
      </xdr:nvSpPr>
      <xdr:spPr bwMode="auto">
        <a:xfrm rot="10800000">
          <a:off x="7115175" y="2981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03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66675</xdr:colOff>
      <xdr:row>18</xdr:row>
      <xdr:rowOff>85725</xdr:rowOff>
    </xdr:from>
    <xdr:to>
      <xdr:col>7</xdr:col>
      <xdr:colOff>428625</xdr:colOff>
      <xdr:row>20</xdr:row>
      <xdr:rowOff>95250</xdr:rowOff>
    </xdr:to>
    <xdr:sp macro="" textlink="">
      <xdr:nvSpPr>
        <xdr:cNvPr id="2" name="AutoShape 4">
          <a:hlinkClick xmlns:r="http://schemas.openxmlformats.org/officeDocument/2006/relationships" r:id="rId1" tooltip="Volver menú pernoctaciones"/>
        </xdr:cNvPr>
        <xdr:cNvSpPr>
          <a:spLocks noChangeArrowheads="1"/>
        </xdr:cNvSpPr>
      </xdr:nvSpPr>
      <xdr:spPr bwMode="auto">
        <a:xfrm rot="10800000">
          <a:off x="6657975" y="3524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2</xdr:row>
      <xdr:rowOff>104775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514350</xdr:colOff>
      <xdr:row>56</xdr:row>
      <xdr:rowOff>47625</xdr:rowOff>
    </xdr:from>
    <xdr:to>
      <xdr:col>7</xdr:col>
      <xdr:colOff>114300</xdr:colOff>
      <xdr:row>57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8645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222250</xdr:colOff>
      <xdr:row>29</xdr:row>
      <xdr:rowOff>19050</xdr:rowOff>
    </xdr:from>
    <xdr:to>
      <xdr:col>9</xdr:col>
      <xdr:colOff>584200</xdr:colOff>
      <xdr:row>29</xdr:row>
      <xdr:rowOff>377825</xdr:rowOff>
    </xdr:to>
    <xdr:sp macro="" textlink="">
      <xdr:nvSpPr>
        <xdr:cNvPr id="3" name="AutoShape 5">
          <a:hlinkClick xmlns:r="http://schemas.openxmlformats.org/officeDocument/2006/relationships" r:id="rId2" tooltip="Volver menú pernoctaciones"/>
        </xdr:cNvPr>
        <xdr:cNvSpPr>
          <a:spLocks noChangeArrowheads="1"/>
        </xdr:cNvSpPr>
      </xdr:nvSpPr>
      <xdr:spPr bwMode="auto">
        <a:xfrm rot="10800000">
          <a:off x="7318375" y="474345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6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152400</xdr:colOff>
      <xdr:row>4</xdr:row>
      <xdr:rowOff>142875</xdr:rowOff>
    </xdr:from>
    <xdr:to>
      <xdr:col>6</xdr:col>
      <xdr:colOff>514350</xdr:colOff>
      <xdr:row>6</xdr:row>
      <xdr:rowOff>9525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49815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190500</xdr:colOff>
      <xdr:row>29</xdr:row>
      <xdr:rowOff>28575</xdr:rowOff>
    </xdr:from>
    <xdr:to>
      <xdr:col>9</xdr:col>
      <xdr:colOff>552450</xdr:colOff>
      <xdr:row>30</xdr:row>
      <xdr:rowOff>6350</xdr:rowOff>
    </xdr:to>
    <xdr:sp macro="" textlink="">
      <xdr:nvSpPr>
        <xdr:cNvPr id="2" name="AutoShape 3">
          <a:hlinkClick xmlns:r="http://schemas.openxmlformats.org/officeDocument/2006/relationships" r:id="rId1" tooltip="Volver menú pernoctaciones"/>
        </xdr:cNvPr>
        <xdr:cNvSpPr>
          <a:spLocks noChangeArrowheads="1"/>
        </xdr:cNvSpPr>
      </xdr:nvSpPr>
      <xdr:spPr bwMode="auto">
        <a:xfrm rot="10800000">
          <a:off x="7419975" y="475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530225</xdr:colOff>
      <xdr:row>21</xdr:row>
      <xdr:rowOff>177800</xdr:rowOff>
    </xdr:from>
    <xdr:to>
      <xdr:col>7</xdr:col>
      <xdr:colOff>130175</xdr:colOff>
      <xdr:row>23</xdr:row>
      <xdr:rowOff>82550</xdr:rowOff>
    </xdr:to>
    <xdr:sp macro="" textlink="">
      <xdr:nvSpPr>
        <xdr:cNvPr id="2" name="AutoShape 3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9188450" y="4892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381000</xdr:colOff>
      <xdr:row>3</xdr:row>
      <xdr:rowOff>152400</xdr:rowOff>
    </xdr:from>
    <xdr:to>
      <xdr:col>12</xdr:col>
      <xdr:colOff>742950</xdr:colOff>
      <xdr:row>4</xdr:row>
      <xdr:rowOff>323850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096500" y="124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171450</xdr:colOff>
      <xdr:row>1</xdr:row>
      <xdr:rowOff>552450</xdr:rowOff>
    </xdr:from>
    <xdr:to>
      <xdr:col>17</xdr:col>
      <xdr:colOff>533400</xdr:colOff>
      <xdr:row>3</xdr:row>
      <xdr:rowOff>9525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696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</xdr:colOff>
      <xdr:row>29</xdr:row>
      <xdr:rowOff>95250</xdr:rowOff>
    </xdr:from>
    <xdr:to>
      <xdr:col>11</xdr:col>
      <xdr:colOff>409575</xdr:colOff>
      <xdr:row>55</xdr:row>
      <xdr:rowOff>76200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3562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295275</xdr:colOff>
      <xdr:row>2</xdr:row>
      <xdr:rowOff>19050</xdr:rowOff>
    </xdr:from>
    <xdr:to>
      <xdr:col>11</xdr:col>
      <xdr:colOff>657225</xdr:colOff>
      <xdr:row>2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39225" y="40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11</xdr:row>
      <xdr:rowOff>76200</xdr:rowOff>
    </xdr:from>
    <xdr:to>
      <xdr:col>6</xdr:col>
      <xdr:colOff>361950</xdr:colOff>
      <xdr:row>13</xdr:row>
      <xdr:rowOff>114300</xdr:rowOff>
    </xdr:to>
    <xdr:sp macro="" textlink="">
      <xdr:nvSpPr>
        <xdr:cNvPr id="2" name="AutoShape 3">
          <a:hlinkClick xmlns:r="http://schemas.openxmlformats.org/officeDocument/2006/relationships" r:id="rId1" tooltip="Volver menú Indice de Ocupación"/>
        </xdr:cNvPr>
        <xdr:cNvSpPr>
          <a:spLocks noChangeArrowheads="1"/>
        </xdr:cNvSpPr>
      </xdr:nvSpPr>
      <xdr:spPr bwMode="auto">
        <a:xfrm rot="10800000">
          <a:off x="6667500" y="2333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17</xdr:row>
      <xdr:rowOff>200025</xdr:rowOff>
    </xdr:from>
    <xdr:to>
      <xdr:col>6</xdr:col>
      <xdr:colOff>361950</xdr:colOff>
      <xdr:row>19</xdr:row>
      <xdr:rowOff>19050</xdr:rowOff>
    </xdr:to>
    <xdr:sp macro="" textlink="">
      <xdr:nvSpPr>
        <xdr:cNvPr id="3" name="AutoShape 3">
          <a:hlinkClick xmlns:r="http://schemas.openxmlformats.org/officeDocument/2006/relationships" r:id="rId3" tooltip="Volver menú Indice de Ocupación"/>
        </xdr:cNvPr>
        <xdr:cNvSpPr>
          <a:spLocks noChangeArrowheads="1"/>
        </xdr:cNvSpPr>
      </xdr:nvSpPr>
      <xdr:spPr bwMode="auto">
        <a:xfrm rot="10800000">
          <a:off x="6200775" y="373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419100</xdr:colOff>
      <xdr:row>16</xdr:row>
      <xdr:rowOff>76200</xdr:rowOff>
    </xdr:from>
    <xdr:to>
      <xdr:col>7</xdr:col>
      <xdr:colOff>19050</xdr:colOff>
      <xdr:row>18</xdr:row>
      <xdr:rowOff>57150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76875" y="3943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25</xdr:row>
      <xdr:rowOff>152400</xdr:rowOff>
    </xdr:from>
    <xdr:to>
      <xdr:col>9</xdr:col>
      <xdr:colOff>666750</xdr:colOff>
      <xdr:row>26</xdr:row>
      <xdr:rowOff>323850</xdr:rowOff>
    </xdr:to>
    <xdr:sp macro="" textlink="">
      <xdr:nvSpPr>
        <xdr:cNvPr id="4" name="AutoShape 3">
          <a:hlinkClick xmlns:r="http://schemas.openxmlformats.org/officeDocument/2006/relationships" r:id="rId4" tooltip="Volver menú Indice de Ocupación"/>
        </xdr:cNvPr>
        <xdr:cNvSpPr>
          <a:spLocks noChangeArrowheads="1"/>
        </xdr:cNvSpPr>
      </xdr:nvSpPr>
      <xdr:spPr bwMode="auto">
        <a:xfrm rot="10800000">
          <a:off x="7477125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/>
            <a:pPr algn="ctr"/>
            <a:t>ÍNDICES DE OCUPACIÓN POR ZONAS  Y TIPOLOGÍA DE ESTABLECIMIENTO (%)</a:t>
          </a:fld>
          <a:endParaRPr lang="es-ES" sz="1600" b="1"/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76200</xdr:colOff>
      <xdr:row>19</xdr:row>
      <xdr:rowOff>38100</xdr:rowOff>
    </xdr:from>
    <xdr:to>
      <xdr:col>5</xdr:col>
      <xdr:colOff>438150</xdr:colOff>
      <xdr:row>20</xdr:row>
      <xdr:rowOff>209550</xdr:rowOff>
    </xdr:to>
    <xdr:sp macro="" textlink="">
      <xdr:nvSpPr>
        <xdr:cNvPr id="2" name="AutoShape 4">
          <a:hlinkClick xmlns:r="http://schemas.openxmlformats.org/officeDocument/2006/relationships" r:id="rId1" tooltip="Volver menú Indice de Ocupación"/>
        </xdr:cNvPr>
        <xdr:cNvSpPr>
          <a:spLocks noChangeArrowheads="1"/>
        </xdr:cNvSpPr>
      </xdr:nvSpPr>
      <xdr:spPr bwMode="auto">
        <a:xfrm rot="10800000">
          <a:off x="5676900" y="382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161925</xdr:colOff>
      <xdr:row>30</xdr:row>
      <xdr:rowOff>19050</xdr:rowOff>
    </xdr:from>
    <xdr:to>
      <xdr:col>9</xdr:col>
      <xdr:colOff>523875</xdr:colOff>
      <xdr:row>30</xdr:row>
      <xdr:rowOff>377825</xdr:rowOff>
    </xdr:to>
    <xdr:sp macro="" textlink="">
      <xdr:nvSpPr>
        <xdr:cNvPr id="3" name="AutoShape 3">
          <a:hlinkClick xmlns:r="http://schemas.openxmlformats.org/officeDocument/2006/relationships" r:id="rId2" tooltip="Volver menú Indice de Ocupación"/>
        </xdr:cNvPr>
        <xdr:cNvSpPr>
          <a:spLocks noChangeArrowheads="1"/>
        </xdr:cNvSpPr>
      </xdr:nvSpPr>
      <xdr:spPr bwMode="auto">
        <a:xfrm rot="10800000">
          <a:off x="7105650" y="49053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5</xdr:row>
      <xdr:rowOff>0</xdr:rowOff>
    </xdr:from>
    <xdr:to>
      <xdr:col>7</xdr:col>
      <xdr:colOff>361950</xdr:colOff>
      <xdr:row>6</xdr:row>
      <xdr:rowOff>9525</xdr:rowOff>
    </xdr:to>
    <xdr:sp macro="" textlink="">
      <xdr:nvSpPr>
        <xdr:cNvPr id="3" name="AutoShape 6">
          <a:hlinkClick xmlns:r="http://schemas.openxmlformats.org/officeDocument/2006/relationships" r:id="rId3" tooltip="Volver menú Indice de Ocupación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234950</xdr:colOff>
      <xdr:row>31</xdr:row>
      <xdr:rowOff>158750</xdr:rowOff>
    </xdr:from>
    <xdr:to>
      <xdr:col>9</xdr:col>
      <xdr:colOff>596900</xdr:colOff>
      <xdr:row>32</xdr:row>
      <xdr:rowOff>327025</xdr:rowOff>
    </xdr:to>
    <xdr:sp macro="" textlink="">
      <xdr:nvSpPr>
        <xdr:cNvPr id="2" name="AutoShape 3">
          <a:hlinkClick xmlns:r="http://schemas.openxmlformats.org/officeDocument/2006/relationships" r:id="rId1" tooltip="Volver menú Indice de Ocupación"/>
        </xdr:cNvPr>
        <xdr:cNvSpPr>
          <a:spLocks noChangeArrowheads="1"/>
        </xdr:cNvSpPr>
      </xdr:nvSpPr>
      <xdr:spPr bwMode="auto">
        <a:xfrm rot="10800000">
          <a:off x="7378700" y="51784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517525</xdr:colOff>
      <xdr:row>21</xdr:row>
      <xdr:rowOff>85725</xdr:rowOff>
    </xdr:from>
    <xdr:to>
      <xdr:col>8</xdr:col>
      <xdr:colOff>117475</xdr:colOff>
      <xdr:row>22</xdr:row>
      <xdr:rowOff>209550</xdr:rowOff>
    </xdr:to>
    <xdr:sp macro="" textlink="">
      <xdr:nvSpPr>
        <xdr:cNvPr id="2" name="AutoShape 3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9575800" y="490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200025</xdr:colOff>
      <xdr:row>2</xdr:row>
      <xdr:rowOff>47625</xdr:rowOff>
    </xdr:from>
    <xdr:to>
      <xdr:col>9</xdr:col>
      <xdr:colOff>561975</xdr:colOff>
      <xdr:row>3</xdr:row>
      <xdr:rowOff>66675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647700</xdr:colOff>
      <xdr:row>1</xdr:row>
      <xdr:rowOff>523875</xdr:rowOff>
    </xdr:from>
    <xdr:to>
      <xdr:col>11</xdr:col>
      <xdr:colOff>247650</xdr:colOff>
      <xdr:row>2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2965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323850</xdr:colOff>
      <xdr:row>1</xdr:row>
      <xdr:rowOff>523875</xdr:rowOff>
    </xdr:from>
    <xdr:to>
      <xdr:col>10</xdr:col>
      <xdr:colOff>685800</xdr:colOff>
      <xdr:row>2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058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298450</xdr:colOff>
      <xdr:row>16</xdr:row>
      <xdr:rowOff>69850</xdr:rowOff>
    </xdr:from>
    <xdr:to>
      <xdr:col>8</xdr:col>
      <xdr:colOff>660400</xdr:colOff>
      <xdr:row>16</xdr:row>
      <xdr:rowOff>431800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94575" y="381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295275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123825</xdr:colOff>
      <xdr:row>14</xdr:row>
      <xdr:rowOff>66675</xdr:rowOff>
    </xdr:from>
    <xdr:to>
      <xdr:col>6</xdr:col>
      <xdr:colOff>485775</xdr:colOff>
      <xdr:row>16</xdr:row>
      <xdr:rowOff>104775</xdr:rowOff>
    </xdr:to>
    <xdr:sp macro="" textlink="">
      <xdr:nvSpPr>
        <xdr:cNvPr id="2" name="AutoShape 4">
          <a:hlinkClick xmlns:r="http://schemas.openxmlformats.org/officeDocument/2006/relationships" r:id="rId1" tooltip="Volver menú Estancias Medias"/>
        </xdr:cNvPr>
        <xdr:cNvSpPr>
          <a:spLocks noChangeArrowheads="1"/>
        </xdr:cNvSpPr>
      </xdr:nvSpPr>
      <xdr:spPr bwMode="auto">
        <a:xfrm rot="10800000">
          <a:off x="6724650" y="278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180975</xdr:colOff>
      <xdr:row>19</xdr:row>
      <xdr:rowOff>104775</xdr:rowOff>
    </xdr:from>
    <xdr:to>
      <xdr:col>5</xdr:col>
      <xdr:colOff>542925</xdr:colOff>
      <xdr:row>21</xdr:row>
      <xdr:rowOff>142875</xdr:rowOff>
    </xdr:to>
    <xdr:sp macro="" textlink="">
      <xdr:nvSpPr>
        <xdr:cNvPr id="3" name="AutoShape 4">
          <a:hlinkClick xmlns:r="http://schemas.openxmlformats.org/officeDocument/2006/relationships" r:id="rId3" tooltip="Volver menú Estancias Medias"/>
        </xdr:cNvPr>
        <xdr:cNvSpPr>
          <a:spLocks noChangeArrowheads="1"/>
        </xdr:cNvSpPr>
      </xdr:nvSpPr>
      <xdr:spPr bwMode="auto">
        <a:xfrm rot="10800000">
          <a:off x="6096000" y="416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26</xdr:row>
      <xdr:rowOff>171450</xdr:rowOff>
    </xdr:from>
    <xdr:to>
      <xdr:col>9</xdr:col>
      <xdr:colOff>590550</xdr:colOff>
      <xdr:row>27</xdr:row>
      <xdr:rowOff>342900</xdr:rowOff>
    </xdr:to>
    <xdr:sp macro="" textlink="">
      <xdr:nvSpPr>
        <xdr:cNvPr id="4" name="AutoShape 4">
          <a:hlinkClick xmlns:r="http://schemas.openxmlformats.org/officeDocument/2006/relationships" r:id="rId4" tooltip="Volver menú Estancias Medias"/>
        </xdr:cNvPr>
        <xdr:cNvSpPr>
          <a:spLocks noChangeArrowheads="1"/>
        </xdr:cNvSpPr>
      </xdr:nvSpPr>
      <xdr:spPr bwMode="auto">
        <a:xfrm rot="10800000">
          <a:off x="7458075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/>
            <a:pPr algn="ctr"/>
            <a:t>ESTANCIAS MEDIAS POR ZONA Y TIPOLOGÍA DE ESTABLECIMIENTO</a:t>
          </a:fld>
          <a:endParaRPr lang="es-ES" sz="1600" b="1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238125</xdr:colOff>
      <xdr:row>16</xdr:row>
      <xdr:rowOff>95250</xdr:rowOff>
    </xdr:from>
    <xdr:to>
      <xdr:col>5</xdr:col>
      <xdr:colOff>600075</xdr:colOff>
      <xdr:row>18</xdr:row>
      <xdr:rowOff>133350</xdr:rowOff>
    </xdr:to>
    <xdr:sp macro="" textlink="">
      <xdr:nvSpPr>
        <xdr:cNvPr id="2" name="AutoShape 4">
          <a:hlinkClick xmlns:r="http://schemas.openxmlformats.org/officeDocument/2006/relationships" r:id="rId1" tooltip="Volver menú Estancias Medias"/>
        </xdr:cNvPr>
        <xdr:cNvSpPr>
          <a:spLocks noChangeArrowheads="1"/>
        </xdr:cNvSpPr>
      </xdr:nvSpPr>
      <xdr:spPr bwMode="auto">
        <a:xfrm rot="10800000">
          <a:off x="6324600" y="3476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193675</xdr:colOff>
      <xdr:row>26</xdr:row>
      <xdr:rowOff>187325</xdr:rowOff>
    </xdr:from>
    <xdr:to>
      <xdr:col>9</xdr:col>
      <xdr:colOff>555625</xdr:colOff>
      <xdr:row>27</xdr:row>
      <xdr:rowOff>355600</xdr:rowOff>
    </xdr:to>
    <xdr:sp macro="" textlink="">
      <xdr:nvSpPr>
        <xdr:cNvPr id="3" name="AutoShape 3">
          <a:hlinkClick xmlns:r="http://schemas.openxmlformats.org/officeDocument/2006/relationships" r:id="rId2" tooltip="Volver menú Estancias Medias"/>
        </xdr:cNvPr>
        <xdr:cNvSpPr>
          <a:spLocks noChangeArrowheads="1"/>
        </xdr:cNvSpPr>
      </xdr:nvSpPr>
      <xdr:spPr bwMode="auto">
        <a:xfrm rot="10800000">
          <a:off x="7337425" y="457835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5</xdr:row>
      <xdr:rowOff>9525</xdr:rowOff>
    </xdr:from>
    <xdr:to>
      <xdr:col>6</xdr:col>
      <xdr:colOff>657225</xdr:colOff>
      <xdr:row>6</xdr:row>
      <xdr:rowOff>19050</xdr:rowOff>
    </xdr:to>
    <xdr:sp macro="" textlink="">
      <xdr:nvSpPr>
        <xdr:cNvPr id="3" name="AutoShape 4">
          <a:hlinkClick xmlns:r="http://schemas.openxmlformats.org/officeDocument/2006/relationships" r:id="rId3" tooltip="Volver menú Estancias Medias"/>
        </xdr:cNvPr>
        <xdr:cNvSpPr>
          <a:spLocks noChangeArrowheads="1"/>
        </xdr:cNvSpPr>
      </xdr:nvSpPr>
      <xdr:spPr bwMode="auto">
        <a:xfrm rot="10800000">
          <a:off x="4953000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209550</xdr:colOff>
      <xdr:row>28</xdr:row>
      <xdr:rowOff>3175</xdr:rowOff>
    </xdr:from>
    <xdr:to>
      <xdr:col>10</xdr:col>
      <xdr:colOff>571500</xdr:colOff>
      <xdr:row>28</xdr:row>
      <xdr:rowOff>361950</xdr:rowOff>
    </xdr:to>
    <xdr:sp macro="" textlink="">
      <xdr:nvSpPr>
        <xdr:cNvPr id="2" name="AutoShape 3">
          <a:hlinkClick xmlns:r="http://schemas.openxmlformats.org/officeDocument/2006/relationships" r:id="rId1" tooltip="Volver menú Estancias Medias"/>
        </xdr:cNvPr>
        <xdr:cNvSpPr>
          <a:spLocks noChangeArrowheads="1"/>
        </xdr:cNvSpPr>
      </xdr:nvSpPr>
      <xdr:spPr bwMode="auto">
        <a:xfrm rot="10800000">
          <a:off x="7124700" y="46609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285750</xdr:colOff>
      <xdr:row>33</xdr:row>
      <xdr:rowOff>0</xdr:rowOff>
    </xdr:from>
    <xdr:to>
      <xdr:col>7</xdr:col>
      <xdr:colOff>647700</xdr:colOff>
      <xdr:row>34</xdr:row>
      <xdr:rowOff>114300</xdr:rowOff>
    </xdr:to>
    <xdr:sp macro="" textlink="">
      <xdr:nvSpPr>
        <xdr:cNvPr id="3" name="AutoShape 10">
          <a:hlinkClick xmlns:r="http://schemas.openxmlformats.org/officeDocument/2006/relationships" r:id="rId3" tooltip="Volver a menú principal"/>
        </xdr:cNvPr>
        <xdr:cNvSpPr>
          <a:spLocks noChangeAspect="1" noChangeArrowheads="1"/>
        </xdr:cNvSpPr>
      </xdr:nvSpPr>
      <xdr:spPr bwMode="auto">
        <a:xfrm rot="10800000">
          <a:off x="8467725" y="767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333375</xdr:colOff>
      <xdr:row>28</xdr:row>
      <xdr:rowOff>161925</xdr:rowOff>
    </xdr:from>
    <xdr:to>
      <xdr:col>7</xdr:col>
      <xdr:colOff>695325</xdr:colOff>
      <xdr:row>29</xdr:row>
      <xdr:rowOff>336550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791325" y="51149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nú Principal"/>
      <sheetName val="INDICE"/>
      <sheetName val="Hoja9"/>
      <sheetName val="Menú Turismo alojado"/>
      <sheetName val="Menú tipología de establecimien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tabla dinámica municipios"/>
      <sheetName val="Alojados por municipio"/>
      <sheetName val="Gráfica alojados municipio"/>
      <sheetName val="Alojados tipología y categoría"/>
      <sheetName val="Gráfico aloj tipolog y categorí"/>
      <sheetName val="Pernoctaciones munic y tipologí"/>
      <sheetName val="Gráfica pernoct munic tipología"/>
      <sheetName val="pernocta municipio y catego"/>
      <sheetName val="Gráfico pernocta munic y cate"/>
      <sheetName val="IO municipio y Tipología"/>
      <sheetName val="gráfica IO MUNICIPI y tipología"/>
      <sheetName val="IO municipio y catego"/>
      <sheetName val="Gráfico IOa munic y ca "/>
      <sheetName val="EM MUNICIPIO y tipología"/>
      <sheetName val="gráfico EM MUNICIPI y tipología"/>
      <sheetName val="EM municipio y catego"/>
      <sheetName val="Gráfico EM munic y ca "/>
      <sheetName val="tabla dinámica nacionalidad zon"/>
      <sheetName val="Nacionalidad-Zona (datos)"/>
      <sheetName val="evolucion nac zonas"/>
      <sheetName val="Nacionalidad-Zona"/>
      <sheetName val="Menú Oferta Alojativa"/>
      <sheetName val="tabla dinámica oferta alojativa"/>
      <sheetName val="Ofe Aloj Estim zona cat "/>
      <sheetName val="Graf plazas estim zona tipologí"/>
      <sheetName val="Oferta Alojat Estim tipol categ"/>
      <sheetName val="Gráfica plazas estim tipo categ"/>
      <sheetName val="Gráfica distrib plazas est tipo"/>
      <sheetName val="Menú plazas autorizadas"/>
      <sheetName val="tabla dinámica plazas auto"/>
      <sheetName val="Plazas Autorizadas tipología"/>
      <sheetName val="Gráfic Plazas Autoriz tipología"/>
      <sheetName val="Cuotas Plazas Autorizadas05"/>
      <sheetName val="tabla dinámica plazas cat"/>
      <sheetName val="Distrib Plazas Autor 03_04-05"/>
      <sheetName val="Gráfica Distrib Plazas Autoriza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 t="str">
            <v>Suma de dato</v>
          </cell>
        </row>
      </sheetData>
      <sheetData sheetId="7">
        <row r="3">
          <cell r="C3" t="str">
            <v>TURISTAS ALOJADOS EN SANTA CRUZ POR TIPOLOGÍA DE ESTABLECIMIENTO</v>
          </cell>
        </row>
        <row r="4">
          <cell r="D4" t="str">
            <v>Hotelero</v>
          </cell>
          <cell r="E4" t="str">
            <v xml:space="preserve"> Extrahoteleros</v>
          </cell>
          <cell r="F4" t="str">
            <v xml:space="preserve"> TOTAL GENERAL</v>
          </cell>
        </row>
        <row r="30">
          <cell r="C30">
            <v>2009</v>
          </cell>
          <cell r="D30">
            <v>154373</v>
          </cell>
          <cell r="E30">
            <v>0</v>
          </cell>
          <cell r="F30">
            <v>154373</v>
          </cell>
        </row>
        <row r="43">
          <cell r="C43">
            <v>2008</v>
          </cell>
          <cell r="D43">
            <v>199818</v>
          </cell>
          <cell r="E43">
            <v>0</v>
          </cell>
          <cell r="F43">
            <v>199818</v>
          </cell>
        </row>
        <row r="56">
          <cell r="C56">
            <v>2007</v>
          </cell>
          <cell r="D56">
            <v>183665</v>
          </cell>
          <cell r="E56">
            <v>0</v>
          </cell>
          <cell r="F56">
            <v>183665</v>
          </cell>
        </row>
        <row r="69">
          <cell r="C69">
            <v>2006</v>
          </cell>
          <cell r="D69">
            <v>182773</v>
          </cell>
          <cell r="E69">
            <v>0</v>
          </cell>
          <cell r="F69">
            <v>182773</v>
          </cell>
        </row>
      </sheetData>
      <sheetData sheetId="8"/>
      <sheetData sheetId="9"/>
      <sheetData sheetId="10">
        <row r="5">
          <cell r="B5" t="str">
            <v>Suma de dato</v>
          </cell>
        </row>
        <row r="27">
          <cell r="B27" t="str">
            <v>Suma de dato</v>
          </cell>
        </row>
      </sheetData>
      <sheetData sheetId="11"/>
      <sheetData sheetId="12">
        <row r="5">
          <cell r="A5" t="str">
            <v>Suma de dato</v>
          </cell>
        </row>
      </sheetData>
      <sheetData sheetId="13"/>
      <sheetData sheetId="14"/>
      <sheetData sheetId="15">
        <row r="4">
          <cell r="F4" t="str">
            <v xml:space="preserve">acumulado julio 2010 </v>
          </cell>
        </row>
        <row r="6">
          <cell r="F6">
            <v>2766193</v>
          </cell>
        </row>
        <row r="7">
          <cell r="F7">
            <v>1677828</v>
          </cell>
        </row>
        <row r="8">
          <cell r="F8">
            <v>1088365</v>
          </cell>
        </row>
        <row r="10">
          <cell r="F10">
            <v>92816</v>
          </cell>
        </row>
        <row r="11">
          <cell r="F11">
            <v>92816</v>
          </cell>
        </row>
        <row r="12">
          <cell r="F12">
            <v>0</v>
          </cell>
        </row>
      </sheetData>
      <sheetData sheetId="16"/>
      <sheetData sheetId="17">
        <row r="4">
          <cell r="I4" t="str">
            <v>Suma de dato</v>
          </cell>
        </row>
      </sheetData>
      <sheetData sheetId="18"/>
      <sheetData sheetId="19"/>
      <sheetData sheetId="20">
        <row r="5">
          <cell r="A5" t="str">
            <v>Suma de dato</v>
          </cell>
        </row>
        <row r="44">
          <cell r="A44" t="str">
            <v>TURISTAS</v>
          </cell>
        </row>
      </sheetData>
      <sheetData sheetId="21">
        <row r="3">
          <cell r="C3" t="str">
            <v>TURISTAS  ALOJADOS EN SANTA CRUZ</v>
          </cell>
        </row>
        <row r="4">
          <cell r="G4">
            <v>2010</v>
          </cell>
        </row>
        <row r="5">
          <cell r="C5" t="str">
            <v>Enero</v>
          </cell>
          <cell r="D5">
            <v>14507</v>
          </cell>
          <cell r="E5">
            <v>16982</v>
          </cell>
          <cell r="F5">
            <v>13570</v>
          </cell>
          <cell r="G5">
            <v>13188</v>
          </cell>
        </row>
        <row r="6">
          <cell r="C6" t="str">
            <v>Febrero</v>
          </cell>
          <cell r="D6">
            <v>15222</v>
          </cell>
          <cell r="E6">
            <v>19355</v>
          </cell>
          <cell r="F6">
            <v>15172</v>
          </cell>
          <cell r="G6">
            <v>16759</v>
          </cell>
        </row>
        <row r="7">
          <cell r="C7" t="str">
            <v>Marzo</v>
          </cell>
          <cell r="D7">
            <v>19006</v>
          </cell>
          <cell r="E7">
            <v>16551</v>
          </cell>
          <cell r="F7">
            <v>15653</v>
          </cell>
          <cell r="G7">
            <v>14574</v>
          </cell>
        </row>
        <row r="8">
          <cell r="C8" t="str">
            <v>abril</v>
          </cell>
          <cell r="D8">
            <v>15492</v>
          </cell>
          <cell r="E8">
            <v>17593</v>
          </cell>
          <cell r="F8">
            <v>13079</v>
          </cell>
          <cell r="G8">
            <v>12595</v>
          </cell>
        </row>
        <row r="9">
          <cell r="C9" t="str">
            <v>Mayo</v>
          </cell>
          <cell r="D9">
            <v>14726</v>
          </cell>
          <cell r="E9">
            <v>17437</v>
          </cell>
          <cell r="F9">
            <v>13474</v>
          </cell>
          <cell r="G9">
            <v>12407</v>
          </cell>
        </row>
        <row r="10">
          <cell r="C10" t="str">
            <v>Junio</v>
          </cell>
          <cell r="D10">
            <v>13171</v>
          </cell>
          <cell r="E10">
            <v>15440</v>
          </cell>
          <cell r="F10">
            <v>12750</v>
          </cell>
          <cell r="G10">
            <v>12682</v>
          </cell>
        </row>
        <row r="11">
          <cell r="C11" t="str">
            <v>Julio</v>
          </cell>
          <cell r="D11">
            <v>14360</v>
          </cell>
          <cell r="E11">
            <v>16337</v>
          </cell>
          <cell r="F11">
            <v>11890</v>
          </cell>
          <cell r="G11">
            <v>10611</v>
          </cell>
        </row>
        <row r="12">
          <cell r="C12" t="str">
            <v>Agosto</v>
          </cell>
          <cell r="D12">
            <v>9967</v>
          </cell>
          <cell r="E12">
            <v>12308</v>
          </cell>
          <cell r="F12">
            <v>7777</v>
          </cell>
        </row>
        <row r="13">
          <cell r="C13" t="str">
            <v>Septiembre</v>
          </cell>
          <cell r="D13">
            <v>14065</v>
          </cell>
          <cell r="E13">
            <v>15134</v>
          </cell>
          <cell r="F13">
            <v>11123</v>
          </cell>
        </row>
        <row r="14">
          <cell r="C14" t="str">
            <v>Octubre</v>
          </cell>
          <cell r="D14">
            <v>17346</v>
          </cell>
          <cell r="E14">
            <v>18706</v>
          </cell>
          <cell r="F14">
            <v>12809</v>
          </cell>
        </row>
        <row r="15">
          <cell r="C15" t="str">
            <v>Noviembre</v>
          </cell>
          <cell r="D15">
            <v>18909</v>
          </cell>
          <cell r="E15">
            <v>17843</v>
          </cell>
          <cell r="F15">
            <v>13990</v>
          </cell>
        </row>
        <row r="16">
          <cell r="C16" t="str">
            <v>Diciembre</v>
          </cell>
          <cell r="D16">
            <v>16894</v>
          </cell>
          <cell r="E16">
            <v>16132</v>
          </cell>
          <cell r="F16">
            <v>13086</v>
          </cell>
        </row>
        <row r="21">
          <cell r="C21" t="str">
            <v>TURISTAS  ALOJADOS EN TENERIFE</v>
          </cell>
        </row>
        <row r="22">
          <cell r="D22">
            <v>2007</v>
          </cell>
          <cell r="E22">
            <v>2008</v>
          </cell>
          <cell r="F22">
            <v>2009</v>
          </cell>
          <cell r="G22">
            <v>2010</v>
          </cell>
        </row>
        <row r="23">
          <cell r="C23" t="str">
            <v>Enero</v>
          </cell>
          <cell r="D23">
            <v>407126</v>
          </cell>
          <cell r="E23">
            <v>409747</v>
          </cell>
          <cell r="F23">
            <v>380730</v>
          </cell>
          <cell r="G23">
            <v>382237</v>
          </cell>
        </row>
        <row r="24">
          <cell r="C24" t="str">
            <v>Febrero</v>
          </cell>
          <cell r="D24">
            <v>423886</v>
          </cell>
          <cell r="E24">
            <v>459918</v>
          </cell>
          <cell r="F24">
            <v>385582</v>
          </cell>
          <cell r="G24">
            <v>369547</v>
          </cell>
        </row>
        <row r="25">
          <cell r="C25" t="str">
            <v>Marzo</v>
          </cell>
          <cell r="D25">
            <v>489029</v>
          </cell>
          <cell r="E25">
            <v>508083</v>
          </cell>
          <cell r="F25">
            <v>409508</v>
          </cell>
          <cell r="G25">
            <v>404361</v>
          </cell>
        </row>
        <row r="26">
          <cell r="C26" t="str">
            <v>abril</v>
          </cell>
          <cell r="D26">
            <v>438237</v>
          </cell>
          <cell r="E26">
            <v>424514</v>
          </cell>
          <cell r="F26">
            <v>418430</v>
          </cell>
          <cell r="G26">
            <v>422549</v>
          </cell>
        </row>
        <row r="27">
          <cell r="C27" t="str">
            <v>Mayo</v>
          </cell>
          <cell r="D27">
            <v>341553</v>
          </cell>
          <cell r="E27">
            <v>413185</v>
          </cell>
          <cell r="F27">
            <v>350293</v>
          </cell>
          <cell r="G27">
            <v>361297</v>
          </cell>
        </row>
        <row r="28">
          <cell r="C28" t="str">
            <v>Junio</v>
          </cell>
          <cell r="D28">
            <v>411483</v>
          </cell>
          <cell r="E28">
            <v>402431</v>
          </cell>
          <cell r="F28">
            <v>349858</v>
          </cell>
          <cell r="G28">
            <v>374943</v>
          </cell>
        </row>
        <row r="29">
          <cell r="C29" t="str">
            <v>Julio</v>
          </cell>
          <cell r="D29">
            <v>466179</v>
          </cell>
          <cell r="E29">
            <v>467525</v>
          </cell>
          <cell r="F29">
            <v>434195</v>
          </cell>
          <cell r="G29">
            <v>451259</v>
          </cell>
        </row>
        <row r="30">
          <cell r="C30" t="str">
            <v>Agosto</v>
          </cell>
          <cell r="D30">
            <v>528592</v>
          </cell>
          <cell r="E30">
            <v>531765</v>
          </cell>
          <cell r="F30">
            <v>467782</v>
          </cell>
        </row>
        <row r="31">
          <cell r="C31" t="str">
            <v>Septiembre</v>
          </cell>
          <cell r="D31">
            <v>409689</v>
          </cell>
          <cell r="E31">
            <v>391359</v>
          </cell>
          <cell r="F31">
            <v>354214</v>
          </cell>
        </row>
        <row r="32">
          <cell r="C32" t="str">
            <v>Octubre</v>
          </cell>
          <cell r="D32">
            <v>467144</v>
          </cell>
          <cell r="E32">
            <v>441857</v>
          </cell>
          <cell r="F32">
            <v>404871</v>
          </cell>
        </row>
        <row r="33">
          <cell r="C33" t="str">
            <v>Noviembre</v>
          </cell>
          <cell r="D33">
            <v>457530</v>
          </cell>
          <cell r="E33">
            <v>431740</v>
          </cell>
          <cell r="F33">
            <v>371802</v>
          </cell>
        </row>
        <row r="34">
          <cell r="C34" t="str">
            <v>Diciembre</v>
          </cell>
          <cell r="D34">
            <v>438336</v>
          </cell>
          <cell r="E34">
            <v>410203</v>
          </cell>
          <cell r="F34">
            <v>380517</v>
          </cell>
        </row>
      </sheetData>
      <sheetData sheetId="22"/>
      <sheetData sheetId="23">
        <row r="4">
          <cell r="A4" t="str">
            <v>Suma de dato</v>
          </cell>
        </row>
        <row r="49">
          <cell r="A49" t="str">
            <v>Rótulos de fila</v>
          </cell>
        </row>
        <row r="70">
          <cell r="A70" t="str">
            <v>Suma de dato</v>
          </cell>
        </row>
      </sheetData>
      <sheetData sheetId="24"/>
      <sheetData sheetId="25"/>
      <sheetData sheetId="26">
        <row r="4">
          <cell r="A4" t="str">
            <v>Suma de dato</v>
          </cell>
        </row>
      </sheetData>
      <sheetData sheetId="27">
        <row r="3">
          <cell r="C3" t="str">
            <v xml:space="preserve">EVOLUCIÓN DEL TURISMO  ALOJADO EN SANTA CRUZ POR CATEGORÍA </v>
          </cell>
        </row>
        <row r="4">
          <cell r="D4" t="str">
            <v xml:space="preserve"> 1 * </v>
          </cell>
          <cell r="E4" t="str">
            <v xml:space="preserve"> 2 *</v>
          </cell>
          <cell r="F4" t="str">
            <v xml:space="preserve"> 3 *</v>
          </cell>
          <cell r="G4" t="str">
            <v>4* y  5 *</v>
          </cell>
          <cell r="I4" t="str">
            <v>Extrahoteleros</v>
          </cell>
        </row>
        <row r="30">
          <cell r="C30">
            <v>2009</v>
          </cell>
          <cell r="D30">
            <v>10332</v>
          </cell>
          <cell r="E30">
            <v>48863</v>
          </cell>
          <cell r="F30">
            <v>44447</v>
          </cell>
          <cell r="G30">
            <v>50731</v>
          </cell>
          <cell r="I30">
            <v>0</v>
          </cell>
        </row>
        <row r="43">
          <cell r="C43">
            <v>2008</v>
          </cell>
          <cell r="D43">
            <v>17396</v>
          </cell>
          <cell r="E43">
            <v>72615</v>
          </cell>
          <cell r="F43">
            <v>46555</v>
          </cell>
          <cell r="G43">
            <v>63252</v>
          </cell>
          <cell r="I43">
            <v>0</v>
          </cell>
        </row>
        <row r="56">
          <cell r="C56">
            <v>2007</v>
          </cell>
          <cell r="D56">
            <v>18290</v>
          </cell>
          <cell r="E56">
            <v>62768</v>
          </cell>
          <cell r="F56">
            <v>48529</v>
          </cell>
          <cell r="G56">
            <v>54078</v>
          </cell>
          <cell r="I56">
            <v>0</v>
          </cell>
        </row>
        <row r="69">
          <cell r="C69">
            <v>2006</v>
          </cell>
          <cell r="D69">
            <v>15065</v>
          </cell>
          <cell r="E69">
            <v>63038</v>
          </cell>
          <cell r="F69">
            <v>42061</v>
          </cell>
          <cell r="G69">
            <v>62609</v>
          </cell>
          <cell r="I69">
            <v>0</v>
          </cell>
        </row>
      </sheetData>
      <sheetData sheetId="28"/>
      <sheetData sheetId="29"/>
      <sheetData sheetId="30"/>
      <sheetData sheetId="31"/>
      <sheetData sheetId="32">
        <row r="4">
          <cell r="A4" t="str">
            <v>Suma de dato</v>
          </cell>
        </row>
      </sheetData>
      <sheetData sheetId="33"/>
      <sheetData sheetId="34"/>
      <sheetData sheetId="35">
        <row r="4">
          <cell r="A4" t="str">
            <v>Suma de dato</v>
          </cell>
        </row>
      </sheetData>
      <sheetData sheetId="36">
        <row r="6">
          <cell r="A6" t="str">
            <v>Rótulos de fila</v>
          </cell>
        </row>
        <row r="27">
          <cell r="A27" t="str">
            <v>Rótulos de fila</v>
          </cell>
        </row>
        <row r="48">
          <cell r="A48" t="str">
            <v>Rótulos de fila</v>
          </cell>
        </row>
        <row r="69">
          <cell r="A69" t="str">
            <v>Rótulos de fila</v>
          </cell>
        </row>
        <row r="90">
          <cell r="A90" t="str">
            <v>Rótulos de fila</v>
          </cell>
        </row>
        <row r="111">
          <cell r="A111" t="str">
            <v>Rótulos de fila</v>
          </cell>
        </row>
        <row r="132">
          <cell r="A132" t="str">
            <v>Rótulos de fila</v>
          </cell>
        </row>
        <row r="153">
          <cell r="A153" t="str">
            <v>Rótulos de fila</v>
          </cell>
        </row>
        <row r="174">
          <cell r="A174" t="str">
            <v>Rótulos de fila</v>
          </cell>
        </row>
        <row r="195">
          <cell r="A195" t="str">
            <v>Rótulos de fila</v>
          </cell>
        </row>
        <row r="216">
          <cell r="A216" t="str">
            <v>Rótulos de fila</v>
          </cell>
        </row>
        <row r="237">
          <cell r="A237" t="str">
            <v>Rótulos de fila</v>
          </cell>
        </row>
        <row r="258">
          <cell r="A258" t="str">
            <v>Rótulos de fila</v>
          </cell>
        </row>
        <row r="279">
          <cell r="A279" t="str">
            <v>Rótulos de fila</v>
          </cell>
        </row>
        <row r="299">
          <cell r="A299" t="str">
            <v>Rótulos de fila</v>
          </cell>
        </row>
        <row r="319">
          <cell r="A319" t="str">
            <v>Suma de dato</v>
          </cell>
        </row>
      </sheetData>
      <sheetData sheetId="37">
        <row r="5">
          <cell r="A5" t="str">
            <v>Suma de dato</v>
          </cell>
        </row>
        <row r="6">
          <cell r="J6">
            <v>2010</v>
          </cell>
        </row>
        <row r="8">
          <cell r="G8" t="str">
            <v>España</v>
          </cell>
          <cell r="J8">
            <v>76373</v>
          </cell>
          <cell r="K8">
            <v>-4.2584931678575903E-2</v>
          </cell>
        </row>
        <row r="9">
          <cell r="G9" t="str">
            <v>Alemania</v>
          </cell>
          <cell r="J9">
            <v>1950</v>
          </cell>
          <cell r="K9">
            <v>4.5576407506702415E-2</v>
          </cell>
        </row>
        <row r="10">
          <cell r="G10" t="str">
            <v>Reino Unido</v>
          </cell>
          <cell r="J10">
            <v>1735</v>
          </cell>
          <cell r="K10">
            <v>6.6379840196681014E-2</v>
          </cell>
        </row>
        <row r="11">
          <cell r="G11" t="str">
            <v>Italia</v>
          </cell>
          <cell r="J11">
            <v>1493</v>
          </cell>
          <cell r="K11">
            <v>-2.9889538661468484E-2</v>
          </cell>
        </row>
        <row r="12">
          <cell r="G12" t="str">
            <v>Francia</v>
          </cell>
          <cell r="J12">
            <v>1375</v>
          </cell>
          <cell r="K12">
            <v>-0.10540013012361743</v>
          </cell>
        </row>
        <row r="13">
          <cell r="G13" t="str">
            <v>Holanda</v>
          </cell>
          <cell r="J13">
            <v>506</v>
          </cell>
          <cell r="K13">
            <v>0.27777777777777779</v>
          </cell>
        </row>
        <row r="14">
          <cell r="G14" t="str">
            <v>Países del Este</v>
          </cell>
          <cell r="J14">
            <v>468</v>
          </cell>
          <cell r="K14">
            <v>-0.19310344827586207</v>
          </cell>
        </row>
        <row r="15">
          <cell r="G15" t="str">
            <v>Bélgica</v>
          </cell>
          <cell r="J15">
            <v>340</v>
          </cell>
          <cell r="K15">
            <v>4.2944785276073622E-2</v>
          </cell>
        </row>
        <row r="16">
          <cell r="G16" t="str">
            <v>Suiza</v>
          </cell>
          <cell r="J16">
            <v>309</v>
          </cell>
          <cell r="K16">
            <v>-4.3343653250773995E-2</v>
          </cell>
        </row>
        <row r="17">
          <cell r="G17" t="str">
            <v>Finlandia</v>
          </cell>
          <cell r="J17">
            <v>283</v>
          </cell>
          <cell r="K17">
            <v>-0.11006289308176101</v>
          </cell>
        </row>
        <row r="18">
          <cell r="G18" t="str">
            <v>Suecia</v>
          </cell>
          <cell r="J18">
            <v>254</v>
          </cell>
          <cell r="K18">
            <v>7.1729957805907171E-2</v>
          </cell>
        </row>
        <row r="19">
          <cell r="G19" t="str">
            <v>Rusia</v>
          </cell>
          <cell r="J19">
            <v>247</v>
          </cell>
          <cell r="K19">
            <v>-3.515625E-2</v>
          </cell>
        </row>
        <row r="20">
          <cell r="G20" t="str">
            <v>Irlanda</v>
          </cell>
          <cell r="J20">
            <v>238</v>
          </cell>
          <cell r="K20">
            <v>4.2194092827004216E-3</v>
          </cell>
        </row>
        <row r="21">
          <cell r="G21" t="str">
            <v>Dinamarca</v>
          </cell>
          <cell r="J21">
            <v>209</v>
          </cell>
          <cell r="K21">
            <v>-0.12184873949579832</v>
          </cell>
        </row>
        <row r="22">
          <cell r="G22" t="str">
            <v>Austria</v>
          </cell>
          <cell r="J22">
            <v>201</v>
          </cell>
          <cell r="K22">
            <v>1.5151515151515152E-2</v>
          </cell>
        </row>
        <row r="23">
          <cell r="G23" t="str">
            <v>Noruega</v>
          </cell>
          <cell r="J23">
            <v>171</v>
          </cell>
          <cell r="K23">
            <v>-0.27542372881355931</v>
          </cell>
        </row>
        <row r="24">
          <cell r="G24" t="str">
            <v>Resto de Europa</v>
          </cell>
          <cell r="J24">
            <v>984</v>
          </cell>
          <cell r="K24">
            <v>-9.8901098901098897E-2</v>
          </cell>
        </row>
        <row r="25">
          <cell r="G25" t="str">
            <v>USA</v>
          </cell>
          <cell r="J25">
            <v>786</v>
          </cell>
          <cell r="K25">
            <v>0.41366906474820142</v>
          </cell>
        </row>
        <row r="26">
          <cell r="G26" t="str">
            <v>Resto de América</v>
          </cell>
          <cell r="J26">
            <v>2741</v>
          </cell>
          <cell r="K26">
            <v>0.11332250203086922</v>
          </cell>
        </row>
        <row r="27">
          <cell r="G27" t="str">
            <v>Resto del Mundo</v>
          </cell>
          <cell r="J27">
            <v>2153</v>
          </cell>
          <cell r="K27">
            <v>0.19944289693593314</v>
          </cell>
        </row>
        <row r="55">
          <cell r="K55">
            <v>2009</v>
          </cell>
        </row>
        <row r="57">
          <cell r="H57" t="str">
            <v>España</v>
          </cell>
          <cell r="K57">
            <v>126919</v>
          </cell>
          <cell r="L57">
            <v>-0.24027439407634429</v>
          </cell>
        </row>
        <row r="58">
          <cell r="H58" t="str">
            <v>Alemania</v>
          </cell>
          <cell r="K58">
            <v>3620</v>
          </cell>
          <cell r="L58">
            <v>-0.15202623565237761</v>
          </cell>
        </row>
        <row r="59">
          <cell r="H59" t="str">
            <v>Reino Unido</v>
          </cell>
          <cell r="K59">
            <v>2710</v>
          </cell>
          <cell r="L59">
            <v>-0.2174415246895755</v>
          </cell>
        </row>
        <row r="60">
          <cell r="H60" t="str">
            <v>Italia</v>
          </cell>
          <cell r="K60">
            <v>2666</v>
          </cell>
          <cell r="L60">
            <v>-0.1471529110684581</v>
          </cell>
        </row>
        <row r="61">
          <cell r="H61" t="str">
            <v>Francia</v>
          </cell>
          <cell r="K61">
            <v>2529</v>
          </cell>
          <cell r="L61">
            <v>-0.13715455475946775</v>
          </cell>
        </row>
        <row r="62">
          <cell r="H62" t="str">
            <v>Países del Este</v>
          </cell>
          <cell r="K62">
            <v>947</v>
          </cell>
          <cell r="L62">
            <v>-7.3375262054507341E-3</v>
          </cell>
        </row>
        <row r="63">
          <cell r="H63" t="str">
            <v>Holanda</v>
          </cell>
          <cell r="K63">
            <v>674</v>
          </cell>
          <cell r="L63">
            <v>0.10310965630114566</v>
          </cell>
        </row>
        <row r="64">
          <cell r="H64" t="str">
            <v>Bélgica</v>
          </cell>
          <cell r="K64">
            <v>574</v>
          </cell>
          <cell r="L64">
            <v>6.8901303538175043E-2</v>
          </cell>
        </row>
        <row r="65">
          <cell r="H65" t="str">
            <v>Suiza</v>
          </cell>
          <cell r="K65">
            <v>557</v>
          </cell>
          <cell r="L65">
            <v>-0.10305958132045089</v>
          </cell>
        </row>
        <row r="66">
          <cell r="H66" t="str">
            <v>Finlandia</v>
          </cell>
          <cell r="K66">
            <v>466</v>
          </cell>
          <cell r="L66">
            <v>-0.10384615384615385</v>
          </cell>
        </row>
        <row r="67">
          <cell r="H67" t="str">
            <v>Rusia</v>
          </cell>
          <cell r="K67">
            <v>405</v>
          </cell>
          <cell r="L67">
            <v>-0.57051961823966069</v>
          </cell>
        </row>
        <row r="68">
          <cell r="H68" t="str">
            <v>Noruega</v>
          </cell>
          <cell r="K68">
            <v>383</v>
          </cell>
          <cell r="L68">
            <v>-0.22469635627530365</v>
          </cell>
        </row>
        <row r="69">
          <cell r="H69" t="str">
            <v>Irlanda</v>
          </cell>
          <cell r="K69">
            <v>378</v>
          </cell>
          <cell r="L69">
            <v>-7.8048780487804878E-2</v>
          </cell>
        </row>
        <row r="70">
          <cell r="H70" t="str">
            <v>Suecia</v>
          </cell>
          <cell r="K70">
            <v>365</v>
          </cell>
          <cell r="L70">
            <v>-0.39065108514190316</v>
          </cell>
        </row>
        <row r="71">
          <cell r="H71" t="str">
            <v>Austria</v>
          </cell>
          <cell r="K71">
            <v>362</v>
          </cell>
          <cell r="L71">
            <v>0.13479623824451412</v>
          </cell>
        </row>
        <row r="72">
          <cell r="H72" t="str">
            <v>Dinamarca</v>
          </cell>
          <cell r="K72">
            <v>323</v>
          </cell>
          <cell r="L72">
            <v>-0.20638820638820637</v>
          </cell>
        </row>
        <row r="73">
          <cell r="H73" t="str">
            <v>Resto de Europa</v>
          </cell>
          <cell r="K73">
            <v>1701</v>
          </cell>
          <cell r="L73">
            <v>-0.25979112271540472</v>
          </cell>
        </row>
        <row r="74">
          <cell r="H74" t="str">
            <v>USA</v>
          </cell>
          <cell r="K74">
            <v>931</v>
          </cell>
          <cell r="L74">
            <v>-2.3084994753410283E-2</v>
          </cell>
        </row>
        <row r="75">
          <cell r="H75" t="str">
            <v>Resto de América</v>
          </cell>
          <cell r="K75">
            <v>4688</v>
          </cell>
          <cell r="L75">
            <v>-0.187380828566476</v>
          </cell>
        </row>
        <row r="76">
          <cell r="H76" t="str">
            <v>Resto del Mundo</v>
          </cell>
          <cell r="K76">
            <v>3175</v>
          </cell>
          <cell r="L76">
            <v>-0.10183875530410184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4">
          <cell r="A4" t="str">
            <v>Suma de dato</v>
          </cell>
        </row>
      </sheetData>
      <sheetData sheetId="45"/>
      <sheetData sheetId="46"/>
      <sheetData sheetId="47"/>
      <sheetData sheetId="48"/>
      <sheetData sheetId="49"/>
      <sheetData sheetId="50">
        <row r="2">
          <cell r="A2" t="str">
            <v>enero</v>
          </cell>
        </row>
        <row r="3">
          <cell r="A3" t="str">
            <v>febrero</v>
          </cell>
        </row>
        <row r="4">
          <cell r="A4" t="str">
            <v>marzo</v>
          </cell>
        </row>
        <row r="5">
          <cell r="A5" t="str">
            <v>abril</v>
          </cell>
        </row>
        <row r="6">
          <cell r="A6" t="str">
            <v>mayo</v>
          </cell>
        </row>
        <row r="7">
          <cell r="A7" t="str">
            <v>junio</v>
          </cell>
        </row>
        <row r="8">
          <cell r="A8" t="str">
            <v>julio</v>
          </cell>
        </row>
        <row r="9">
          <cell r="A9" t="str">
            <v>agosto</v>
          </cell>
        </row>
        <row r="10">
          <cell r="A10" t="str">
            <v>septiembre</v>
          </cell>
        </row>
        <row r="11">
          <cell r="A11" t="str">
            <v>octubre</v>
          </cell>
        </row>
        <row r="12">
          <cell r="A12" t="str">
            <v>noviembre</v>
          </cell>
        </row>
        <row r="13">
          <cell r="A13" t="str">
            <v>diciembre</v>
          </cell>
        </row>
        <row r="18">
          <cell r="A18" t="str">
            <v>Suma de dato</v>
          </cell>
        </row>
        <row r="20">
          <cell r="B20">
            <v>14266</v>
          </cell>
          <cell r="C20">
            <v>14507</v>
          </cell>
          <cell r="D20">
            <v>16982</v>
          </cell>
          <cell r="E20">
            <v>13570</v>
          </cell>
          <cell r="F20">
            <v>13188</v>
          </cell>
        </row>
        <row r="21">
          <cell r="B21">
            <v>15692</v>
          </cell>
          <cell r="C21">
            <v>15222</v>
          </cell>
          <cell r="D21">
            <v>19355</v>
          </cell>
          <cell r="E21">
            <v>15172</v>
          </cell>
          <cell r="F21">
            <v>16759</v>
          </cell>
        </row>
        <row r="22">
          <cell r="B22">
            <v>17429</v>
          </cell>
          <cell r="C22">
            <v>19006</v>
          </cell>
          <cell r="D22">
            <v>16551</v>
          </cell>
          <cell r="E22">
            <v>15653</v>
          </cell>
          <cell r="F22">
            <v>14574</v>
          </cell>
        </row>
        <row r="23">
          <cell r="B23">
            <v>13849</v>
          </cell>
          <cell r="C23">
            <v>15492</v>
          </cell>
          <cell r="D23">
            <v>17593</v>
          </cell>
          <cell r="E23">
            <v>13079</v>
          </cell>
          <cell r="F23">
            <v>12595</v>
          </cell>
        </row>
        <row r="24">
          <cell r="B24">
            <v>14751</v>
          </cell>
          <cell r="C24">
            <v>14726</v>
          </cell>
          <cell r="D24">
            <v>17437</v>
          </cell>
          <cell r="E24">
            <v>13474</v>
          </cell>
          <cell r="F24">
            <v>12407</v>
          </cell>
        </row>
        <row r="25">
          <cell r="B25">
            <v>15747</v>
          </cell>
          <cell r="C25">
            <v>13171</v>
          </cell>
          <cell r="D25">
            <v>15440</v>
          </cell>
          <cell r="E25">
            <v>12750</v>
          </cell>
          <cell r="F25">
            <v>12682</v>
          </cell>
        </row>
        <row r="26">
          <cell r="B26">
            <v>14758</v>
          </cell>
          <cell r="C26">
            <v>14360</v>
          </cell>
          <cell r="D26">
            <v>16337</v>
          </cell>
          <cell r="E26">
            <v>11890</v>
          </cell>
          <cell r="F26">
            <v>10611</v>
          </cell>
        </row>
        <row r="27">
          <cell r="B27">
            <v>11231</v>
          </cell>
          <cell r="C27">
            <v>9967</v>
          </cell>
          <cell r="D27">
            <v>12308</v>
          </cell>
          <cell r="E27">
            <v>7777</v>
          </cell>
        </row>
        <row r="28">
          <cell r="B28">
            <v>14403</v>
          </cell>
          <cell r="C28">
            <v>14065</v>
          </cell>
          <cell r="D28">
            <v>15134</v>
          </cell>
          <cell r="E28">
            <v>11123</v>
          </cell>
        </row>
        <row r="29">
          <cell r="B29">
            <v>15731</v>
          </cell>
          <cell r="C29">
            <v>17346</v>
          </cell>
          <cell r="D29">
            <v>18706</v>
          </cell>
          <cell r="E29">
            <v>12809</v>
          </cell>
        </row>
        <row r="30">
          <cell r="B30">
            <v>18087</v>
          </cell>
          <cell r="C30">
            <v>18909</v>
          </cell>
          <cell r="D30">
            <v>17843</v>
          </cell>
          <cell r="E30">
            <v>13990</v>
          </cell>
        </row>
        <row r="31">
          <cell r="B31">
            <v>16829</v>
          </cell>
          <cell r="C31">
            <v>16894</v>
          </cell>
          <cell r="D31">
            <v>16132</v>
          </cell>
          <cell r="E31">
            <v>13086</v>
          </cell>
        </row>
      </sheetData>
      <sheetData sheetId="51"/>
      <sheetData sheetId="52">
        <row r="6">
          <cell r="B6" t="str">
            <v xml:space="preserve">EVOLUCIÓN MENSUAL DE TURISTAS  ALOJADOS EN SANTA CRUZ </v>
          </cell>
        </row>
      </sheetData>
      <sheetData sheetId="53"/>
      <sheetData sheetId="54"/>
      <sheetData sheetId="55">
        <row r="5">
          <cell r="P5" t="str">
            <v>Suma de dato</v>
          </cell>
        </row>
        <row r="6">
          <cell r="A6" t="str">
            <v>Suma de dato</v>
          </cell>
        </row>
      </sheetData>
      <sheetData sheetId="56"/>
      <sheetData sheetId="57"/>
      <sheetData sheetId="58"/>
      <sheetData sheetId="59"/>
      <sheetData sheetId="60"/>
      <sheetData sheetId="61"/>
      <sheetData sheetId="62">
        <row r="7">
          <cell r="B7" t="str">
            <v>PERNOCTACIONES EN SANTA CRUZ SEGÚN TIPOLOGÍA Y CATEGORÍA DE ESTABLECIMIENTO</v>
          </cell>
        </row>
        <row r="8">
          <cell r="C8" t="str">
            <v>acumulado julio 2009</v>
          </cell>
          <cell r="E8" t="str">
            <v xml:space="preserve">acumulado julio 2010 </v>
          </cell>
          <cell r="G8" t="str">
            <v>var. interanual</v>
          </cell>
        </row>
        <row r="10">
          <cell r="B10" t="str">
            <v>Totales</v>
          </cell>
          <cell r="C10">
            <v>224256</v>
          </cell>
          <cell r="E10">
            <v>193668</v>
          </cell>
          <cell r="G10">
            <v>-0.13639768835616439</v>
          </cell>
        </row>
        <row r="12">
          <cell r="B12" t="str">
            <v>Hotelera</v>
          </cell>
          <cell r="C12">
            <v>224256</v>
          </cell>
          <cell r="E12">
            <v>193668</v>
          </cell>
          <cell r="G12">
            <v>-0.13639768835616439</v>
          </cell>
        </row>
        <row r="13">
          <cell r="B13" t="str">
            <v>4* y 5*</v>
          </cell>
          <cell r="C13">
            <v>71618</v>
          </cell>
          <cell r="E13">
            <v>55034</v>
          </cell>
          <cell r="G13">
            <v>-0.23156189784691</v>
          </cell>
        </row>
        <row r="14">
          <cell r="B14" t="str">
            <v>3*</v>
          </cell>
          <cell r="C14">
            <v>57372</v>
          </cell>
          <cell r="E14">
            <v>58666</v>
          </cell>
          <cell r="G14">
            <v>2.2554556229519625E-2</v>
          </cell>
        </row>
        <row r="15">
          <cell r="B15" t="str">
            <v>2*</v>
          </cell>
          <cell r="C15">
            <v>75411</v>
          </cell>
          <cell r="E15">
            <v>61775</v>
          </cell>
          <cell r="G15">
            <v>-0.18082242643646151</v>
          </cell>
        </row>
        <row r="16">
          <cell r="B16" t="str">
            <v>1*</v>
          </cell>
          <cell r="C16">
            <v>19855</v>
          </cell>
          <cell r="E16">
            <v>18193</v>
          </cell>
          <cell r="G16">
            <v>-8.3706874842608914E-2</v>
          </cell>
        </row>
        <row r="18">
          <cell r="B18" t="str">
            <v>Extrahotelera</v>
          </cell>
          <cell r="C18">
            <v>0</v>
          </cell>
          <cell r="E18">
            <v>0</v>
          </cell>
          <cell r="G18" t="str">
            <v>-</v>
          </cell>
        </row>
      </sheetData>
      <sheetData sheetId="63"/>
      <sheetData sheetId="64">
        <row r="2">
          <cell r="A2" t="str">
            <v>enero</v>
          </cell>
        </row>
        <row r="3">
          <cell r="A3" t="str">
            <v>febrero</v>
          </cell>
        </row>
        <row r="4">
          <cell r="A4" t="str">
            <v>marzo</v>
          </cell>
        </row>
        <row r="5">
          <cell r="A5" t="str">
            <v>abril</v>
          </cell>
        </row>
        <row r="6">
          <cell r="A6" t="str">
            <v>mayo</v>
          </cell>
        </row>
        <row r="7">
          <cell r="A7" t="str">
            <v>junio</v>
          </cell>
        </row>
        <row r="8">
          <cell r="A8" t="str">
            <v>julio</v>
          </cell>
        </row>
        <row r="9">
          <cell r="A9" t="str">
            <v>agosto</v>
          </cell>
        </row>
        <row r="10">
          <cell r="A10" t="str">
            <v>septiembre</v>
          </cell>
        </row>
        <row r="11">
          <cell r="A11" t="str">
            <v>octubre</v>
          </cell>
        </row>
        <row r="12">
          <cell r="A12" t="str">
            <v>noviembre</v>
          </cell>
        </row>
        <row r="13">
          <cell r="A13" t="str">
            <v>diciembre</v>
          </cell>
        </row>
        <row r="19">
          <cell r="B19">
            <v>2006</v>
          </cell>
          <cell r="C19">
            <v>2007</v>
          </cell>
          <cell r="D19">
            <v>2008</v>
          </cell>
          <cell r="E19">
            <v>2009</v>
          </cell>
          <cell r="F19">
            <v>2010</v>
          </cell>
        </row>
        <row r="20">
          <cell r="B20">
            <v>33816</v>
          </cell>
          <cell r="C20">
            <v>38851</v>
          </cell>
          <cell r="D20">
            <v>43024</v>
          </cell>
          <cell r="E20">
            <v>32979</v>
          </cell>
          <cell r="F20">
            <v>28645</v>
          </cell>
        </row>
        <row r="21">
          <cell r="B21">
            <v>43193</v>
          </cell>
          <cell r="C21">
            <v>40231</v>
          </cell>
          <cell r="D21">
            <v>48549</v>
          </cell>
          <cell r="E21">
            <v>39273</v>
          </cell>
          <cell r="F21">
            <v>34631</v>
          </cell>
        </row>
        <row r="22">
          <cell r="B22">
            <v>43839</v>
          </cell>
          <cell r="C22">
            <v>49531</v>
          </cell>
          <cell r="D22">
            <v>48080</v>
          </cell>
          <cell r="E22">
            <v>36664</v>
          </cell>
          <cell r="F22">
            <v>28465</v>
          </cell>
        </row>
        <row r="23">
          <cell r="B23">
            <v>37211</v>
          </cell>
          <cell r="C23">
            <v>44433</v>
          </cell>
          <cell r="D23">
            <v>42222</v>
          </cell>
          <cell r="E23">
            <v>29837</v>
          </cell>
          <cell r="F23">
            <v>27550</v>
          </cell>
        </row>
        <row r="24">
          <cell r="B24">
            <v>34564</v>
          </cell>
          <cell r="C24">
            <v>43900</v>
          </cell>
          <cell r="D24">
            <v>47422</v>
          </cell>
          <cell r="E24">
            <v>30141</v>
          </cell>
          <cell r="F24">
            <v>25316</v>
          </cell>
        </row>
        <row r="25">
          <cell r="B25">
            <v>35179</v>
          </cell>
          <cell r="C25">
            <v>42274</v>
          </cell>
          <cell r="D25">
            <v>39136</v>
          </cell>
          <cell r="E25">
            <v>28102</v>
          </cell>
          <cell r="F25">
            <v>26127</v>
          </cell>
        </row>
        <row r="26">
          <cell r="B26">
            <v>36392</v>
          </cell>
          <cell r="C26">
            <v>41948</v>
          </cell>
          <cell r="D26">
            <v>42255</v>
          </cell>
          <cell r="E26">
            <v>27260</v>
          </cell>
          <cell r="F26">
            <v>22934</v>
          </cell>
        </row>
        <row r="27">
          <cell r="B27">
            <v>32936</v>
          </cell>
          <cell r="C27">
            <v>27092</v>
          </cell>
          <cell r="D27">
            <v>31889</v>
          </cell>
          <cell r="E27">
            <v>21384</v>
          </cell>
        </row>
        <row r="28">
          <cell r="B28">
            <v>38098</v>
          </cell>
          <cell r="C28">
            <v>36895</v>
          </cell>
          <cell r="D28">
            <v>34144</v>
          </cell>
          <cell r="E28">
            <v>25861</v>
          </cell>
        </row>
        <row r="29">
          <cell r="B29">
            <v>40563</v>
          </cell>
          <cell r="C29">
            <v>43633</v>
          </cell>
          <cell r="D29">
            <v>43114</v>
          </cell>
          <cell r="E29">
            <v>28970</v>
          </cell>
        </row>
        <row r="30">
          <cell r="B30">
            <v>45792</v>
          </cell>
          <cell r="C30">
            <v>43269</v>
          </cell>
          <cell r="D30">
            <v>42442</v>
          </cell>
          <cell r="E30">
            <v>27704</v>
          </cell>
        </row>
        <row r="31">
          <cell r="B31">
            <v>45766</v>
          </cell>
          <cell r="C31">
            <v>41680</v>
          </cell>
          <cell r="D31">
            <v>38168</v>
          </cell>
          <cell r="E31">
            <v>36076</v>
          </cell>
        </row>
      </sheetData>
      <sheetData sheetId="65">
        <row r="6">
          <cell r="B6" t="str">
            <v>EVOLUCIÓN  DE PERNOCTACIONES EN SANTA CRUZ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7">
          <cell r="D7" t="str">
            <v xml:space="preserve">acumulado julio 2010 </v>
          </cell>
        </row>
        <row r="9">
          <cell r="D9">
            <v>54.358202977071883</v>
          </cell>
        </row>
        <row r="10">
          <cell r="D10">
            <v>63.816408769433401</v>
          </cell>
        </row>
        <row r="11">
          <cell r="D11">
            <v>45.442623699464505</v>
          </cell>
        </row>
        <row r="13">
          <cell r="D13">
            <v>37.709338935825123</v>
          </cell>
        </row>
        <row r="14">
          <cell r="D14">
            <v>37.709338935825123</v>
          </cell>
        </row>
        <row r="15">
          <cell r="D15" t="str">
            <v>-</v>
          </cell>
        </row>
      </sheetData>
      <sheetData sheetId="76"/>
      <sheetData sheetId="77">
        <row r="7">
          <cell r="B7" t="str">
            <v>ÍNDICES DE OCUPACIÓN EN LOS ESTABLECIMIENTOS ALOJATIVOS DE SANTA CRUZ SEGÚN TIPOLOGÍA Y CATEGORÍA DE ESTABLECIMIENTO (%)</v>
          </cell>
        </row>
        <row r="8">
          <cell r="C8" t="str">
            <v>acumulado julio 2009</v>
          </cell>
          <cell r="D8" t="str">
            <v xml:space="preserve">acumulado julio 2010 </v>
          </cell>
          <cell r="E8" t="str">
            <v>Var. interanual</v>
          </cell>
        </row>
        <row r="10">
          <cell r="B10" t="str">
            <v>Ocupación Total</v>
          </cell>
          <cell r="C10">
            <v>41.859501432611275</v>
          </cell>
          <cell r="D10">
            <v>37.709338935825123</v>
          </cell>
          <cell r="E10">
            <v>-9.9145053207750466E-2</v>
          </cell>
        </row>
        <row r="12">
          <cell r="B12" t="str">
            <v>Hotelera</v>
          </cell>
          <cell r="C12">
            <v>41.859501432611275</v>
          </cell>
          <cell r="D12">
            <v>37.709338935825123</v>
          </cell>
          <cell r="E12">
            <v>-9.9145053207750466E-2</v>
          </cell>
        </row>
        <row r="13">
          <cell r="B13" t="str">
            <v>4* y 5*</v>
          </cell>
          <cell r="C13">
            <v>32.173405211141059</v>
          </cell>
          <cell r="D13">
            <v>26.802316237526359</v>
          </cell>
          <cell r="E13">
            <v>-0.16694188688969702</v>
          </cell>
        </row>
        <row r="14">
          <cell r="B14" t="str">
            <v>3*</v>
          </cell>
          <cell r="C14">
            <v>46.6590761223162</v>
          </cell>
          <cell r="D14">
            <v>47.711450878334418</v>
          </cell>
          <cell r="E14">
            <v>2.2554556229519518E-2</v>
          </cell>
        </row>
        <row r="15">
          <cell r="B15" t="str">
            <v>2*</v>
          </cell>
          <cell r="C15">
            <v>52.776300319131067</v>
          </cell>
          <cell r="D15">
            <v>43.23316163708639</v>
          </cell>
          <cell r="E15">
            <v>-0.18082242643646151</v>
          </cell>
        </row>
        <row r="16">
          <cell r="B16" t="str">
            <v>1*</v>
          </cell>
          <cell r="C16">
            <v>41.988284306469012</v>
          </cell>
          <cell r="D16">
            <v>42.908018867924532</v>
          </cell>
          <cell r="E16">
            <v>2.190455210654596E-2</v>
          </cell>
        </row>
        <row r="18">
          <cell r="B18" t="str">
            <v>Extrahotelera</v>
          </cell>
          <cell r="C18" t="str">
            <v>-</v>
          </cell>
          <cell r="D18" t="str">
            <v>-</v>
          </cell>
          <cell r="E18" t="str">
            <v>-</v>
          </cell>
        </row>
      </sheetData>
      <sheetData sheetId="78"/>
      <sheetData sheetId="79">
        <row r="2">
          <cell r="A2" t="str">
            <v>PAIS/INDICADOR</v>
          </cell>
        </row>
        <row r="96">
          <cell r="A96" t="str">
            <v>Suma de dato</v>
          </cell>
        </row>
        <row r="97">
          <cell r="B97">
            <v>2006</v>
          </cell>
          <cell r="C97">
            <v>2007</v>
          </cell>
          <cell r="D97">
            <v>2008</v>
          </cell>
          <cell r="E97">
            <v>2009</v>
          </cell>
          <cell r="F97">
            <v>2010</v>
          </cell>
        </row>
        <row r="105">
          <cell r="B105">
            <v>41.49</v>
          </cell>
          <cell r="C105">
            <v>47.67</v>
          </cell>
          <cell r="D105">
            <v>49.78</v>
          </cell>
          <cell r="E105">
            <v>42.03</v>
          </cell>
          <cell r="F105">
            <v>36.9</v>
          </cell>
        </row>
        <row r="113">
          <cell r="B113">
            <v>58.68</v>
          </cell>
          <cell r="C113">
            <v>54.65</v>
          </cell>
          <cell r="D113">
            <v>60.05</v>
          </cell>
          <cell r="E113">
            <v>55.42</v>
          </cell>
          <cell r="F113">
            <v>49.39</v>
          </cell>
        </row>
        <row r="121">
          <cell r="B121">
            <v>53.79</v>
          </cell>
          <cell r="C121">
            <v>60.77</v>
          </cell>
          <cell r="D121">
            <v>55.63</v>
          </cell>
          <cell r="E121">
            <v>46.73</v>
          </cell>
          <cell r="F121">
            <v>36.670359682572403</v>
          </cell>
        </row>
        <row r="129">
          <cell r="B129">
            <v>47.18</v>
          </cell>
          <cell r="C129">
            <v>56.34</v>
          </cell>
          <cell r="D129">
            <v>50.48</v>
          </cell>
          <cell r="E129">
            <v>39.299999999999997</v>
          </cell>
          <cell r="F129">
            <v>36.674653887113948</v>
          </cell>
        </row>
        <row r="137">
          <cell r="B137">
            <v>42.41</v>
          </cell>
          <cell r="C137">
            <v>53.87</v>
          </cell>
          <cell r="D137">
            <v>54.87</v>
          </cell>
          <cell r="E137">
            <v>38.42</v>
          </cell>
          <cell r="F137">
            <v>32.613624652169435</v>
          </cell>
        </row>
        <row r="145">
          <cell r="B145">
            <v>44.6</v>
          </cell>
          <cell r="C145">
            <v>53.6</v>
          </cell>
          <cell r="D145">
            <v>46.79</v>
          </cell>
          <cell r="E145">
            <v>37.010404319768206</v>
          </cell>
          <cell r="F145">
            <v>34.78</v>
          </cell>
        </row>
        <row r="153">
          <cell r="B153">
            <v>44.65</v>
          </cell>
          <cell r="C153">
            <v>50.91</v>
          </cell>
          <cell r="D153">
            <v>48.89</v>
          </cell>
          <cell r="E153">
            <v>35.119999999999997</v>
          </cell>
          <cell r="F153">
            <v>38</v>
          </cell>
        </row>
        <row r="161">
          <cell r="B161">
            <v>40.409999999999997</v>
          </cell>
          <cell r="C161">
            <v>32.880000000000003</v>
          </cell>
          <cell r="D161">
            <v>36.9</v>
          </cell>
          <cell r="E161">
            <v>27.55</v>
          </cell>
        </row>
        <row r="169">
          <cell r="B169">
            <v>48.3</v>
          </cell>
          <cell r="C169">
            <v>46.27</v>
          </cell>
          <cell r="D169">
            <v>40.82</v>
          </cell>
          <cell r="E169">
            <v>34.43</v>
          </cell>
        </row>
        <row r="177">
          <cell r="B177">
            <v>49.77</v>
          </cell>
          <cell r="C177">
            <v>52.95</v>
          </cell>
          <cell r="D177">
            <v>49.88</v>
          </cell>
          <cell r="E177">
            <v>37.320931670617334</v>
          </cell>
        </row>
        <row r="185">
          <cell r="B185">
            <v>58.06</v>
          </cell>
          <cell r="C185">
            <v>54.26</v>
          </cell>
          <cell r="D185">
            <v>50.74</v>
          </cell>
          <cell r="E185">
            <v>36.879659211927581</v>
          </cell>
        </row>
        <row r="193">
          <cell r="B193">
            <v>56.16</v>
          </cell>
          <cell r="C193">
            <v>50.58</v>
          </cell>
          <cell r="D193">
            <v>44.16</v>
          </cell>
          <cell r="E193">
            <v>46.475316912295163</v>
          </cell>
        </row>
        <row r="504">
          <cell r="B504">
            <v>51.619411702240626</v>
          </cell>
          <cell r="C504">
            <v>57.89371486969852</v>
          </cell>
          <cell r="D504">
            <v>54.185295578738199</v>
          </cell>
          <cell r="E504">
            <v>42.410158306264201</v>
          </cell>
        </row>
        <row r="505">
          <cell r="B505">
            <v>53.21258011813498</v>
          </cell>
          <cell r="C505">
            <v>51.901156214653767</v>
          </cell>
          <cell r="D505">
            <v>58.440492304607204</v>
          </cell>
          <cell r="E505">
            <v>47.104589244339664</v>
          </cell>
        </row>
        <row r="506">
          <cell r="B506">
            <v>45.866692482695193</v>
          </cell>
          <cell r="C506">
            <v>52.096421024449477</v>
          </cell>
          <cell r="D506">
            <v>50.91530054644808</v>
          </cell>
          <cell r="E506">
            <v>45.807746811525746</v>
          </cell>
        </row>
        <row r="507">
          <cell r="B507">
            <v>45.403103848243262</v>
          </cell>
          <cell r="C507">
            <v>47.973205741626792</v>
          </cell>
          <cell r="D507">
            <v>38.805360395524332</v>
          </cell>
          <cell r="E507">
            <v>30.88375733855186</v>
          </cell>
        </row>
        <row r="509">
          <cell r="B509">
            <v>48.703241505442456</v>
          </cell>
          <cell r="C509">
            <v>51.168644894245233</v>
          </cell>
          <cell r="D509">
            <v>49.043617846978854</v>
          </cell>
          <cell r="E509">
            <v>39.642181995479113</v>
          </cell>
        </row>
        <row r="510">
          <cell r="B510">
            <v>48.703241505442456</v>
          </cell>
          <cell r="C510">
            <v>51.168644894245233</v>
          </cell>
          <cell r="D510">
            <v>49.043617846978854</v>
          </cell>
          <cell r="E510">
            <v>39.642181995479113</v>
          </cell>
        </row>
        <row r="514">
          <cell r="A514" t="str">
            <v>enero</v>
          </cell>
        </row>
        <row r="515">
          <cell r="A515" t="str">
            <v>febrero</v>
          </cell>
        </row>
        <row r="516">
          <cell r="A516" t="str">
            <v>marzo</v>
          </cell>
        </row>
        <row r="517">
          <cell r="A517" t="str">
            <v>abril</v>
          </cell>
        </row>
        <row r="518">
          <cell r="A518" t="str">
            <v>mayo</v>
          </cell>
        </row>
        <row r="519">
          <cell r="A519" t="str">
            <v>junio</v>
          </cell>
        </row>
        <row r="520">
          <cell r="A520" t="str">
            <v>julio</v>
          </cell>
        </row>
        <row r="521">
          <cell r="A521" t="str">
            <v>agosto</v>
          </cell>
        </row>
        <row r="522">
          <cell r="A522" t="str">
            <v>septiembre</v>
          </cell>
        </row>
        <row r="523">
          <cell r="A523" t="str">
            <v>octubre</v>
          </cell>
        </row>
        <row r="524">
          <cell r="A524" t="str">
            <v>noviembre</v>
          </cell>
        </row>
        <row r="525">
          <cell r="A525" t="str">
            <v>diciembre</v>
          </cell>
        </row>
      </sheetData>
      <sheetData sheetId="80">
        <row r="6">
          <cell r="B6" t="str">
            <v>EVOLUCIÓN  DE INDICES DE OCUPACIÓN EN ESTABLECIMIENTOS ALOJATIVOS DE SANTA CRUZ</v>
          </cell>
        </row>
      </sheetData>
      <sheetData sheetId="81"/>
      <sheetData sheetId="82"/>
      <sheetData sheetId="83"/>
      <sheetData sheetId="84">
        <row r="58">
          <cell r="A58" t="str">
            <v>Suma de dato</v>
          </cell>
        </row>
        <row r="59">
          <cell r="B59">
            <v>2006</v>
          </cell>
          <cell r="C59">
            <v>2007</v>
          </cell>
          <cell r="D59">
            <v>2008</v>
          </cell>
          <cell r="E59">
            <v>2009</v>
          </cell>
          <cell r="F59">
            <v>2010</v>
          </cell>
        </row>
        <row r="139">
          <cell r="B139">
            <v>2.37</v>
          </cell>
          <cell r="C139">
            <v>2.68</v>
          </cell>
          <cell r="D139">
            <v>2.5335060652455543</v>
          </cell>
          <cell r="E139">
            <v>2.4300000000000002</v>
          </cell>
          <cell r="F139">
            <v>2.17</v>
          </cell>
        </row>
        <row r="140">
          <cell r="B140">
            <v>2.75</v>
          </cell>
          <cell r="C140">
            <v>2.64</v>
          </cell>
          <cell r="D140">
            <v>2.5099999999999998</v>
          </cell>
          <cell r="E140">
            <v>2.59</v>
          </cell>
          <cell r="F140">
            <v>2.0699999999999998</v>
          </cell>
        </row>
        <row r="141">
          <cell r="B141">
            <v>2.52</v>
          </cell>
          <cell r="C141">
            <v>2.61</v>
          </cell>
          <cell r="D141">
            <v>2.9</v>
          </cell>
          <cell r="E141">
            <v>2.34</v>
          </cell>
          <cell r="F141">
            <v>1.9531357211472484</v>
          </cell>
        </row>
        <row r="142">
          <cell r="B142">
            <v>2.69</v>
          </cell>
          <cell r="C142">
            <v>2.87</v>
          </cell>
          <cell r="D142">
            <v>2.4</v>
          </cell>
          <cell r="E142">
            <v>2.2799999999999998</v>
          </cell>
          <cell r="F142">
            <v>2.1873759430000002</v>
          </cell>
        </row>
        <row r="143">
          <cell r="B143">
            <v>2.34</v>
          </cell>
          <cell r="C143">
            <v>2.98</v>
          </cell>
          <cell r="D143">
            <v>2.72</v>
          </cell>
          <cell r="E143">
            <v>2.2400000000000002</v>
          </cell>
          <cell r="F143">
            <v>2.0404610300636739</v>
          </cell>
        </row>
        <row r="144">
          <cell r="B144">
            <v>2.23</v>
          </cell>
          <cell r="C144">
            <v>3.21</v>
          </cell>
          <cell r="D144">
            <v>2.5299999999999998</v>
          </cell>
          <cell r="E144">
            <v>2.2040784313725492</v>
          </cell>
          <cell r="F144">
            <v>2.0601640119854912</v>
          </cell>
        </row>
        <row r="145">
          <cell r="B145">
            <v>2.4700000000000002</v>
          </cell>
          <cell r="C145">
            <v>2.92</v>
          </cell>
          <cell r="D145">
            <v>2.59</v>
          </cell>
          <cell r="E145">
            <v>2.29</v>
          </cell>
          <cell r="F145">
            <v>2.16</v>
          </cell>
        </row>
        <row r="146">
          <cell r="B146">
            <v>2.93</v>
          </cell>
          <cell r="C146">
            <v>2.72</v>
          </cell>
          <cell r="D146">
            <v>2.59</v>
          </cell>
          <cell r="E146">
            <v>2.75</v>
          </cell>
        </row>
        <row r="147">
          <cell r="B147">
            <v>2.65</v>
          </cell>
          <cell r="C147">
            <v>2.62</v>
          </cell>
          <cell r="D147">
            <v>2.2599999999999998</v>
          </cell>
          <cell r="E147">
            <v>2.33</v>
          </cell>
        </row>
        <row r="148">
          <cell r="B148">
            <v>2.58</v>
          </cell>
          <cell r="C148">
            <v>2.52</v>
          </cell>
          <cell r="D148">
            <v>2.2999999999999998</v>
          </cell>
          <cell r="E148">
            <v>2.2616909985166678</v>
          </cell>
        </row>
        <row r="149">
          <cell r="B149">
            <v>2.5299999999999998</v>
          </cell>
          <cell r="C149">
            <v>2.29</v>
          </cell>
          <cell r="D149">
            <v>2.38</v>
          </cell>
          <cell r="E149">
            <v>1.9802716225875625</v>
          </cell>
        </row>
        <row r="150">
          <cell r="B150">
            <v>2.72</v>
          </cell>
          <cell r="C150">
            <v>2.4700000000000002</v>
          </cell>
          <cell r="D150">
            <v>2.37</v>
          </cell>
          <cell r="E150">
            <v>2.7568393703194252</v>
          </cell>
        </row>
        <row r="269">
          <cell r="B269">
            <v>3.2266843677397943</v>
          </cell>
          <cell r="C269">
            <v>3.097266265718972</v>
          </cell>
          <cell r="D269">
            <v>3.2604621752126928</v>
          </cell>
          <cell r="E269">
            <v>3.1970576848625627</v>
          </cell>
        </row>
        <row r="282">
          <cell r="B282">
            <v>2.6867127764205718</v>
          </cell>
          <cell r="C282">
            <v>2.6317709660973745</v>
          </cell>
          <cell r="D282">
            <v>2.568532672312883</v>
          </cell>
          <cell r="E282">
            <v>2.3715694902073143</v>
          </cell>
        </row>
        <row r="295">
          <cell r="B295">
            <v>2.2528232804735979</v>
          </cell>
          <cell r="C295">
            <v>2.2454202641719383</v>
          </cell>
          <cell r="D295">
            <v>2.3216195897325744</v>
          </cell>
          <cell r="E295">
            <v>2.1818120458073662</v>
          </cell>
        </row>
        <row r="308">
          <cell r="B308">
            <v>2.4695810506476703</v>
          </cell>
          <cell r="C308">
            <v>3.0128518066496541</v>
          </cell>
          <cell r="D308">
            <v>2.3576961993296655</v>
          </cell>
          <cell r="E308">
            <v>2.3331296445960064</v>
          </cell>
        </row>
        <row r="334">
          <cell r="B334">
            <v>2.5569914593512171</v>
          </cell>
          <cell r="C334">
            <v>2.6882476247515856</v>
          </cell>
          <cell r="D334">
            <v>2.5045040987298441</v>
          </cell>
          <cell r="E334">
            <v>2.3595512168578701</v>
          </cell>
        </row>
        <row r="347">
          <cell r="B347">
            <v>2.5569914593512171</v>
          </cell>
          <cell r="C347">
            <v>2.6882476247515856</v>
          </cell>
          <cell r="D347">
            <v>2.5045040987298441</v>
          </cell>
          <cell r="E347">
            <v>2.3595512168578701</v>
          </cell>
        </row>
        <row r="349">
          <cell r="A349" t="str">
            <v>enero</v>
          </cell>
        </row>
        <row r="350">
          <cell r="A350" t="str">
            <v>febrero</v>
          </cell>
        </row>
        <row r="351">
          <cell r="A351" t="str">
            <v>marzo</v>
          </cell>
        </row>
        <row r="352">
          <cell r="A352" t="str">
            <v>abril</v>
          </cell>
        </row>
        <row r="353">
          <cell r="A353" t="str">
            <v>mayo</v>
          </cell>
        </row>
        <row r="354">
          <cell r="A354" t="str">
            <v>junio</v>
          </cell>
        </row>
        <row r="355">
          <cell r="A355" t="str">
            <v>julio</v>
          </cell>
        </row>
        <row r="356">
          <cell r="A356" t="str">
            <v>agosto</v>
          </cell>
        </row>
        <row r="357">
          <cell r="A357" t="str">
            <v>septiembre</v>
          </cell>
        </row>
        <row r="358">
          <cell r="A358" t="str">
            <v>octubre</v>
          </cell>
        </row>
        <row r="359">
          <cell r="A359" t="str">
            <v>noviembre</v>
          </cell>
        </row>
        <row r="360">
          <cell r="A360" t="str">
            <v>diciembre</v>
          </cell>
        </row>
      </sheetData>
      <sheetData sheetId="85"/>
      <sheetData sheetId="86"/>
      <sheetData sheetId="87"/>
      <sheetData sheetId="88"/>
      <sheetData sheetId="89"/>
      <sheetData sheetId="90">
        <row r="7">
          <cell r="D7" t="str">
            <v xml:space="preserve">acumulado julio 2010 </v>
          </cell>
        </row>
        <row r="9">
          <cell r="D9">
            <v>7.4230055531193955</v>
          </cell>
        </row>
        <row r="10">
          <cell r="D10">
            <v>6.9716091279916652</v>
          </cell>
        </row>
        <row r="11">
          <cell r="D11">
            <v>8.1188801550950274</v>
          </cell>
        </row>
        <row r="13">
          <cell r="D13">
            <v>2.0865799000172385</v>
          </cell>
        </row>
        <row r="14">
          <cell r="D14">
            <v>2.0865799000172385</v>
          </cell>
        </row>
        <row r="15">
          <cell r="D15" t="str">
            <v>-</v>
          </cell>
        </row>
      </sheetData>
      <sheetData sheetId="91"/>
      <sheetData sheetId="92">
        <row r="6">
          <cell r="B6" t="str">
            <v>ESTANCIAS MEDIAS DE LOS TURISTAS ALOJADOS EN SANTA CRUZ SEGÚN TIPOLOGÍA Y CATEGORÍA DE ESTABLECIMIENTO</v>
          </cell>
        </row>
        <row r="7">
          <cell r="C7" t="str">
            <v>acumulado julio 2009</v>
          </cell>
          <cell r="D7" t="str">
            <v xml:space="preserve">acumulado julio 2010 </v>
          </cell>
          <cell r="E7" t="str">
            <v>Dif. interanual</v>
          </cell>
        </row>
        <row r="9">
          <cell r="B9" t="str">
            <v>Estancia Media Total</v>
          </cell>
          <cell r="C9">
            <v>2.3460685441687241</v>
          </cell>
          <cell r="D9">
            <v>2.0865799000172385</v>
          </cell>
          <cell r="E9">
            <v>-0.25948864415148565</v>
          </cell>
        </row>
        <row r="11">
          <cell r="B11" t="str">
            <v>Hotelera</v>
          </cell>
          <cell r="C11">
            <v>2.3460685441687241</v>
          </cell>
          <cell r="D11">
            <v>2.0865799000172385</v>
          </cell>
          <cell r="E11">
            <v>-0.25948864415148565</v>
          </cell>
        </row>
        <row r="12">
          <cell r="B12" t="str">
            <v>4* y 5*</v>
          </cell>
          <cell r="C12">
            <v>2.2300482640510664</v>
          </cell>
          <cell r="D12">
            <v>1.8100312448610425</v>
          </cell>
          <cell r="E12">
            <v>-0.42001701919002388</v>
          </cell>
        </row>
        <row r="13">
          <cell r="B13" t="str">
            <v>3*</v>
          </cell>
          <cell r="C13">
            <v>2.1653896961690884</v>
          </cell>
          <cell r="D13">
            <v>2.1225036179450072</v>
          </cell>
          <cell r="E13">
            <v>-4.2886078224081192E-2</v>
          </cell>
        </row>
        <row r="14">
          <cell r="B14" t="str">
            <v>2*</v>
          </cell>
          <cell r="C14">
            <v>2.5075981777674325</v>
          </cell>
          <cell r="D14">
            <v>2.071387855011233</v>
          </cell>
          <cell r="E14">
            <v>-0.43621032275619953</v>
          </cell>
        </row>
        <row r="15">
          <cell r="B15" t="str">
            <v>1*</v>
          </cell>
          <cell r="C15">
            <v>2.8754525706010137</v>
          </cell>
          <cell r="D15">
            <v>3.6768391269199676</v>
          </cell>
          <cell r="E15">
            <v>0.80138655631895395</v>
          </cell>
        </row>
        <row r="17">
          <cell r="B17" t="str">
            <v>Extrahotelera</v>
          </cell>
          <cell r="C17" t="str">
            <v>-</v>
          </cell>
          <cell r="D17" t="str">
            <v>-</v>
          </cell>
          <cell r="E17" t="str">
            <v>-</v>
          </cell>
        </row>
      </sheetData>
      <sheetData sheetId="93"/>
      <sheetData sheetId="94"/>
      <sheetData sheetId="95">
        <row r="6">
          <cell r="B6" t="str">
            <v>EVOLUCIÓN  DE LA ESTANCIA MEDIA  DE LOS TURISTAS ALOJADOS EN SANTA CRUZ</v>
          </cell>
        </row>
      </sheetData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>
        <row r="4">
          <cell r="A4" t="str">
            <v>Suma de dato</v>
          </cell>
        </row>
        <row r="298">
          <cell r="C298">
            <v>7.1304167959458065</v>
          </cell>
          <cell r="E298">
            <v>8.5624304832980513</v>
          </cell>
          <cell r="F298">
            <v>7.8551633954368834</v>
          </cell>
          <cell r="H298">
            <v>7.0403310578142939</v>
          </cell>
          <cell r="I298">
            <v>8.6704294442486187</v>
          </cell>
          <cell r="J298">
            <v>7.8624342994195553</v>
          </cell>
          <cell r="K298">
            <v>8.1532598605680882</v>
          </cell>
          <cell r="M298">
            <v>7.0084439083232812</v>
          </cell>
          <cell r="O298">
            <v>8.0533512306043331</v>
          </cell>
          <cell r="P298">
            <v>7.6012954952098388</v>
          </cell>
          <cell r="R298">
            <v>6.8197293570074127</v>
          </cell>
          <cell r="S298">
            <v>8.4760431611669063</v>
          </cell>
          <cell r="T298">
            <v>7.5495798162773262</v>
          </cell>
          <cell r="U298">
            <v>7.8662886756998951</v>
          </cell>
        </row>
        <row r="311">
          <cell r="C311">
            <v>0.6919309514251305</v>
          </cell>
          <cell r="E311">
            <v>0.62370645664187718</v>
          </cell>
          <cell r="F311">
            <v>0.68555698158423095</v>
          </cell>
          <cell r="H311">
            <v>0.60808670061779935</v>
          </cell>
          <cell r="I311">
            <v>0.44204648752749909</v>
          </cell>
          <cell r="J311">
            <v>0.6621501347837131</v>
          </cell>
          <cell r="K311">
            <v>0.55615451674608851</v>
          </cell>
          <cell r="M311">
            <v>0.6997189883580891</v>
          </cell>
          <cell r="O311">
            <v>0.61985202958174768</v>
          </cell>
          <cell r="P311">
            <v>0.72957887808063493</v>
          </cell>
          <cell r="R311">
            <v>0.65362406238641246</v>
          </cell>
          <cell r="S311">
            <v>0.4388509304754904</v>
          </cell>
          <cell r="T311">
            <v>0.69815886269859273</v>
          </cell>
          <cell r="U311">
            <v>0.57336689255463424</v>
          </cell>
        </row>
        <row r="325">
          <cell r="C325">
            <v>7.4716624685138537</v>
          </cell>
          <cell r="E325">
            <v>7.85412333410369</v>
          </cell>
          <cell r="F325">
            <v>8.3299753117415687</v>
          </cell>
          <cell r="H325">
            <v>7.8596404947500433</v>
          </cell>
          <cell r="I325">
            <v>8.1814172422394442</v>
          </cell>
          <cell r="J325">
            <v>8.1106801032478852</v>
          </cell>
          <cell r="K325">
            <v>8.1513584432960755</v>
          </cell>
          <cell r="M325">
            <v>6.5581481481481481</v>
          </cell>
          <cell r="O325">
            <v>7.6247996889845533</v>
          </cell>
          <cell r="P325">
            <v>7.791404938696374</v>
          </cell>
          <cell r="R325">
            <v>7.8531887638393263</v>
          </cell>
          <cell r="S325">
            <v>8.0703581236339179</v>
          </cell>
          <cell r="T325">
            <v>7.7246437529877481</v>
          </cell>
          <cell r="U325">
            <v>7.9130712621375832</v>
          </cell>
        </row>
        <row r="338">
          <cell r="C338">
            <v>0.4704599524187153</v>
          </cell>
          <cell r="E338">
            <v>0.57568979584922597</v>
          </cell>
          <cell r="F338">
            <v>0.71387114299494903</v>
          </cell>
          <cell r="H338">
            <v>0.60720066261901684</v>
          </cell>
          <cell r="I338">
            <v>0.51246327299783123</v>
          </cell>
          <cell r="J338">
            <v>0.64814816537400399</v>
          </cell>
          <cell r="K338">
            <v>0.56222793180322095</v>
          </cell>
          <cell r="M338">
            <v>0.46190968931245274</v>
          </cell>
          <cell r="O338">
            <v>0.56756159672952211</v>
          </cell>
          <cell r="P338">
            <v>0.74220568695190003</v>
          </cell>
          <cell r="R338">
            <v>0.65218960630399925</v>
          </cell>
          <cell r="S338">
            <v>0.51081542657664547</v>
          </cell>
          <cell r="T338">
            <v>0.66642848288749179</v>
          </cell>
          <cell r="U338">
            <v>0.56991904181811259</v>
          </cell>
        </row>
        <row r="352">
          <cell r="C352">
            <v>3.946580406654344</v>
          </cell>
          <cell r="E352">
            <v>6.9794759996857572</v>
          </cell>
          <cell r="G352">
            <v>7.4398236092265941</v>
          </cell>
          <cell r="I352">
            <v>8.1182500264186839</v>
          </cell>
          <cell r="J352">
            <v>7.2949145348877007</v>
          </cell>
          <cell r="K352">
            <v>7.5759489961088793</v>
          </cell>
          <cell r="M352">
            <v>3.9014183155314304</v>
          </cell>
          <cell r="O352">
            <v>7.4322975889355583</v>
          </cell>
          <cell r="Q352">
            <v>7.3756549726970864</v>
          </cell>
          <cell r="S352">
            <v>7.7342952665845504</v>
          </cell>
          <cell r="T352">
            <v>7.3144525342056204</v>
          </cell>
          <cell r="U352">
            <v>7.4466807543751008</v>
          </cell>
        </row>
        <row r="365">
          <cell r="C365">
            <v>0.27000607010976779</v>
          </cell>
          <cell r="E365">
            <v>0.52323487535576352</v>
          </cell>
          <cell r="G365">
            <v>0.62301000589417466</v>
          </cell>
          <cell r="I365">
            <v>0.48597891400732701</v>
          </cell>
          <cell r="J365">
            <v>0.59624365206741248</v>
          </cell>
          <cell r="K365">
            <v>0.55055308525715974</v>
          </cell>
          <cell r="M365">
            <v>0.28176690778491575</v>
          </cell>
          <cell r="O365">
            <v>0.49170663407864112</v>
          </cell>
          <cell r="Q365">
            <v>0.63245450507198353</v>
          </cell>
          <cell r="S365">
            <v>0.44995128586186195</v>
          </cell>
          <cell r="T365">
            <v>0.59811096091345739</v>
          </cell>
          <cell r="U365">
            <v>0.53995217413409313</v>
          </cell>
        </row>
        <row r="379">
          <cell r="B379">
            <v>2.8754525706010137</v>
          </cell>
          <cell r="D379">
            <v>2.5075981777674325</v>
          </cell>
          <cell r="E379">
            <v>2.1653896961690884</v>
          </cell>
          <cell r="G379">
            <v>2.2300482640510664</v>
          </cell>
          <cell r="J379">
            <v>2.3460685441687241</v>
          </cell>
          <cell r="K379">
            <v>2.3460685441687241</v>
          </cell>
          <cell r="L379">
            <v>3.6768391269199676</v>
          </cell>
          <cell r="N379">
            <v>2.071387855011233</v>
          </cell>
          <cell r="O379">
            <v>2.1225036179450072</v>
          </cell>
          <cell r="Q379">
            <v>1.8100312448610425</v>
          </cell>
          <cell r="T379">
            <v>2.0865799000172385</v>
          </cell>
          <cell r="U379">
            <v>2.0865799000172385</v>
          </cell>
        </row>
        <row r="392">
          <cell r="B392">
            <v>0.41988284306469009</v>
          </cell>
          <cell r="D392">
            <v>0.52776300319131064</v>
          </cell>
          <cell r="E392">
            <v>0.46659076122316201</v>
          </cell>
          <cell r="G392">
            <v>0.3217340521114106</v>
          </cell>
          <cell r="J392">
            <v>0.41859501432611274</v>
          </cell>
          <cell r="K392">
            <v>0.41859501432611274</v>
          </cell>
          <cell r="L392">
            <v>0.4290801886792453</v>
          </cell>
          <cell r="N392">
            <v>0.43233161637086387</v>
          </cell>
          <cell r="O392">
            <v>0.47711450878334416</v>
          </cell>
          <cell r="Q392">
            <v>0.26802316237526358</v>
          </cell>
          <cell r="T392">
            <v>0.37709338935825121</v>
          </cell>
          <cell r="U392">
            <v>0.37709338935825121</v>
          </cell>
        </row>
      </sheetData>
      <sheetData sheetId="115">
        <row r="7">
          <cell r="E7" t="str">
            <v xml:space="preserve">I semestre 2010 </v>
          </cell>
        </row>
        <row r="9">
          <cell r="E9">
            <v>2766193</v>
          </cell>
        </row>
        <row r="10">
          <cell r="E10">
            <v>1677828</v>
          </cell>
        </row>
        <row r="11">
          <cell r="E11">
            <v>1088365</v>
          </cell>
        </row>
        <row r="13">
          <cell r="E13">
            <v>978683</v>
          </cell>
        </row>
        <row r="14">
          <cell r="E14">
            <v>644123</v>
          </cell>
        </row>
        <row r="15">
          <cell r="E15">
            <v>334560</v>
          </cell>
        </row>
        <row r="17">
          <cell r="E17">
            <v>818429</v>
          </cell>
        </row>
        <row r="18">
          <cell r="E18">
            <v>372354</v>
          </cell>
        </row>
        <row r="19">
          <cell r="E19">
            <v>446075</v>
          </cell>
        </row>
        <row r="21">
          <cell r="E21">
            <v>415019</v>
          </cell>
        </row>
        <row r="22">
          <cell r="E22">
            <v>284310</v>
          </cell>
        </row>
        <row r="23">
          <cell r="E23">
            <v>130709</v>
          </cell>
        </row>
        <row r="25">
          <cell r="E25">
            <v>92816</v>
          </cell>
        </row>
        <row r="26">
          <cell r="E26">
            <v>92816</v>
          </cell>
        </row>
        <row r="27">
          <cell r="E27">
            <v>0</v>
          </cell>
        </row>
      </sheetData>
      <sheetData sheetId="116"/>
      <sheetData sheetId="117">
        <row r="7">
          <cell r="B7" t="str">
            <v>TURISMO ALOJADO EN ADEJE SEGÚN TIPOLOGÍA Y CATEGORÍA DE ESTABLECIMIENTO</v>
          </cell>
          <cell r="I7" t="str">
            <v>TURISMO ALOJADO EN ARONA SEGÚN TIPOLOGÍA Y CATEGORÍA DE ESTABLECIMIENTO</v>
          </cell>
        </row>
        <row r="8">
          <cell r="C8" t="str">
            <v>I semestre 2009</v>
          </cell>
          <cell r="E8" t="str">
            <v xml:space="preserve">I semestre 2010 </v>
          </cell>
          <cell r="G8" t="str">
            <v>var. interanual</v>
          </cell>
          <cell r="J8" t="str">
            <v>I semestre 2009</v>
          </cell>
          <cell r="L8" t="str">
            <v xml:space="preserve">I semestre 2010 </v>
          </cell>
          <cell r="N8" t="str">
            <v>var. interanual</v>
          </cell>
        </row>
        <row r="10">
          <cell r="B10" t="str">
            <v>Total Alojados</v>
          </cell>
          <cell r="C10">
            <v>945838</v>
          </cell>
          <cell r="E10">
            <v>978683</v>
          </cell>
          <cell r="G10">
            <v>3.472581985498574E-2</v>
          </cell>
          <cell r="I10" t="str">
            <v>Total Alojados</v>
          </cell>
          <cell r="J10">
            <v>808683</v>
          </cell>
          <cell r="L10">
            <v>818429</v>
          </cell>
          <cell r="N10">
            <v>1.2051693927039395E-2</v>
          </cell>
        </row>
        <row r="12">
          <cell r="B12" t="str">
            <v>Hotelera</v>
          </cell>
          <cell r="C12">
            <v>605398</v>
          </cell>
          <cell r="E12">
            <v>644123</v>
          </cell>
          <cell r="G12">
            <v>6.3966184229217807E-2</v>
          </cell>
          <cell r="I12" t="str">
            <v>Hotelera</v>
          </cell>
          <cell r="J12">
            <v>343639</v>
          </cell>
          <cell r="L12">
            <v>372354</v>
          </cell>
          <cell r="N12">
            <v>8.3561528231661714E-2</v>
          </cell>
        </row>
        <row r="13">
          <cell r="B13" t="str">
            <v>5*</v>
          </cell>
          <cell r="C13">
            <v>82765</v>
          </cell>
          <cell r="E13">
            <v>92816</v>
          </cell>
          <cell r="G13">
            <v>0.12144022231619646</v>
          </cell>
          <cell r="I13" t="str">
            <v>5*</v>
          </cell>
          <cell r="J13">
            <v>40667</v>
          </cell>
          <cell r="L13">
            <v>43716</v>
          </cell>
          <cell r="N13">
            <v>7.4974795288563212E-2</v>
          </cell>
        </row>
        <row r="14">
          <cell r="B14" t="str">
            <v>4*</v>
          </cell>
          <cell r="C14">
            <v>401480</v>
          </cell>
          <cell r="E14">
            <v>441530</v>
          </cell>
          <cell r="G14">
            <v>9.9755903158314244E-2</v>
          </cell>
          <cell r="I14" t="str">
            <v>4*</v>
          </cell>
          <cell r="J14">
            <v>191184</v>
          </cell>
          <cell r="L14">
            <v>215077</v>
          </cell>
          <cell r="N14">
            <v>0.12497384718386476</v>
          </cell>
        </row>
        <row r="15">
          <cell r="B15" t="str">
            <v>3*</v>
          </cell>
          <cell r="C15">
            <v>111484</v>
          </cell>
          <cell r="E15">
            <v>99829</v>
          </cell>
          <cell r="G15">
            <v>-0.10454414983315992</v>
          </cell>
          <cell r="I15" t="str">
            <v>3*</v>
          </cell>
          <cell r="J15">
            <v>103848</v>
          </cell>
          <cell r="L15">
            <v>105461</v>
          </cell>
          <cell r="N15">
            <v>1.5532316462522148E-2</v>
          </cell>
        </row>
        <row r="16">
          <cell r="B16" t="str">
            <v>1* y 2*</v>
          </cell>
          <cell r="C16">
            <v>9669</v>
          </cell>
          <cell r="E16">
            <v>9948</v>
          </cell>
          <cell r="G16">
            <v>2.8855103940428173E-2</v>
          </cell>
          <cell r="I16" t="str">
            <v>1* y 2*</v>
          </cell>
          <cell r="J16">
            <v>7940</v>
          </cell>
          <cell r="L16">
            <v>8100</v>
          </cell>
          <cell r="N16">
            <v>2.0151133501259445E-2</v>
          </cell>
        </row>
        <row r="18">
          <cell r="B18" t="str">
            <v>Extrahotelera</v>
          </cell>
          <cell r="C18">
            <v>340440</v>
          </cell>
          <cell r="E18">
            <v>334560</v>
          </cell>
          <cell r="G18">
            <v>-1.7271765949947126E-2</v>
          </cell>
          <cell r="I18" t="str">
            <v>Extrahotelera</v>
          </cell>
          <cell r="J18">
            <v>465044</v>
          </cell>
          <cell r="L18">
            <v>446075</v>
          </cell>
          <cell r="N18">
            <v>-4.0789688717626719E-2</v>
          </cell>
        </row>
        <row r="21">
          <cell r="B21" t="str">
            <v>TURISMO ALOJADO EN PUERTO DE LA CRUZ SEGÚN TIPOLOGÍA Y CATEGORÍA DE ESTABLECIMIENTO</v>
          </cell>
          <cell r="I21" t="str">
            <v>TURISMO ALOJADO EN SANTA CRUZ SEGÚN TIPOLOGÍA Y CATEGORÍA DE ESTABLECIMIENTO</v>
          </cell>
        </row>
        <row r="22">
          <cell r="C22" t="str">
            <v>I semestre 2009</v>
          </cell>
          <cell r="E22" t="str">
            <v xml:space="preserve">I semestre 2010 </v>
          </cell>
          <cell r="G22" t="str">
            <v>var. interanual</v>
          </cell>
          <cell r="J22" t="str">
            <v>I semestre 2009</v>
          </cell>
          <cell r="L22" t="str">
            <v xml:space="preserve">I semestre 2010 </v>
          </cell>
          <cell r="N22" t="str">
            <v>var. interanual</v>
          </cell>
        </row>
        <row r="24">
          <cell r="B24" t="str">
            <v>Total Alojados</v>
          </cell>
          <cell r="C24">
            <v>443574</v>
          </cell>
          <cell r="E24">
            <v>415019</v>
          </cell>
          <cell r="G24">
            <v>-6.4374828100835488E-2</v>
          </cell>
          <cell r="I24" t="str">
            <v>Total Alojados</v>
          </cell>
          <cell r="J24">
            <v>95588</v>
          </cell>
          <cell r="L24">
            <v>92816</v>
          </cell>
          <cell r="N24">
            <v>-2.8999455998660918E-2</v>
          </cell>
        </row>
        <row r="26">
          <cell r="B26" t="str">
            <v>Hotelera</v>
          </cell>
          <cell r="C26">
            <v>292166</v>
          </cell>
          <cell r="E26">
            <v>284310</v>
          </cell>
          <cell r="G26">
            <v>-2.6888823477064408E-2</v>
          </cell>
          <cell r="I26" t="str">
            <v>Hotelera</v>
          </cell>
          <cell r="J26">
            <v>95588</v>
          </cell>
          <cell r="L26">
            <v>92816</v>
          </cell>
          <cell r="N26">
            <v>-2.8999455998660918E-2</v>
          </cell>
        </row>
        <row r="27">
          <cell r="B27" t="str">
            <v>4* y 5*</v>
          </cell>
          <cell r="C27">
            <v>235840</v>
          </cell>
          <cell r="E27">
            <v>235506</v>
          </cell>
          <cell r="G27">
            <v>-1.4162143826322931E-3</v>
          </cell>
          <cell r="I27" t="str">
            <v>4* y 5*</v>
          </cell>
          <cell r="J27">
            <v>32115</v>
          </cell>
          <cell r="L27">
            <v>30405</v>
          </cell>
          <cell r="N27">
            <v>-5.3246146660439045E-2</v>
          </cell>
        </row>
        <row r="28">
          <cell r="B28" t="str">
            <v>3*</v>
          </cell>
          <cell r="C28">
            <v>50916</v>
          </cell>
          <cell r="E28">
            <v>43093</v>
          </cell>
          <cell r="G28">
            <v>-0.15364521957734306</v>
          </cell>
          <cell r="I28" t="str">
            <v>3*</v>
          </cell>
          <cell r="J28">
            <v>26495</v>
          </cell>
          <cell r="L28">
            <v>27640</v>
          </cell>
          <cell r="N28">
            <v>4.3215701075674656E-2</v>
          </cell>
        </row>
        <row r="29">
          <cell r="B29" t="str">
            <v>1* y 2*</v>
          </cell>
          <cell r="C29">
            <v>5410</v>
          </cell>
          <cell r="E29">
            <v>5711</v>
          </cell>
          <cell r="G29">
            <v>5.5637707948243992E-2</v>
          </cell>
          <cell r="I29" t="str">
            <v>2*</v>
          </cell>
          <cell r="J29">
            <v>30073</v>
          </cell>
          <cell r="L29">
            <v>29823</v>
          </cell>
          <cell r="N29">
            <v>-8.3131047783726267E-3</v>
          </cell>
        </row>
        <row r="30">
          <cell r="I30" t="str">
            <v>1*</v>
          </cell>
          <cell r="J30">
            <v>6905</v>
          </cell>
          <cell r="L30">
            <v>4948</v>
          </cell>
          <cell r="N30">
            <v>-0.28341781317885589</v>
          </cell>
        </row>
        <row r="31">
          <cell r="B31" t="str">
            <v>Extrahotelera</v>
          </cell>
          <cell r="C31">
            <v>151408</v>
          </cell>
          <cell r="E31">
            <v>130709</v>
          </cell>
          <cell r="G31">
            <v>-0.13671008136954454</v>
          </cell>
        </row>
        <row r="32">
          <cell r="I32" t="str">
            <v>Extrahotelera</v>
          </cell>
          <cell r="J32">
            <v>0</v>
          </cell>
          <cell r="L32">
            <v>0</v>
          </cell>
          <cell r="N32" t="str">
            <v>-</v>
          </cell>
        </row>
      </sheetData>
      <sheetData sheetId="118"/>
      <sheetData sheetId="119">
        <row r="7">
          <cell r="E7" t="str">
            <v xml:space="preserve">I semestre 2010 </v>
          </cell>
        </row>
        <row r="9">
          <cell r="E9">
            <v>20533466</v>
          </cell>
        </row>
        <row r="10">
          <cell r="E10">
            <v>11697161</v>
          </cell>
        </row>
        <row r="11">
          <cell r="E11">
            <v>8836305</v>
          </cell>
        </row>
        <row r="13">
          <cell r="E13">
            <v>7698603</v>
          </cell>
        </row>
        <row r="14">
          <cell r="E14">
            <v>4862858</v>
          </cell>
        </row>
        <row r="15">
          <cell r="E15">
            <v>2835745</v>
          </cell>
        </row>
        <row r="17">
          <cell r="E17">
            <v>6476287</v>
          </cell>
        </row>
        <row r="18">
          <cell r="E18">
            <v>2876302</v>
          </cell>
        </row>
        <row r="19">
          <cell r="E19">
            <v>3599985</v>
          </cell>
        </row>
        <row r="21">
          <cell r="E21">
            <v>3090514</v>
          </cell>
        </row>
        <row r="22">
          <cell r="E22">
            <v>2079572</v>
          </cell>
        </row>
        <row r="23">
          <cell r="E23">
            <v>1010942</v>
          </cell>
        </row>
        <row r="25">
          <cell r="E25">
            <v>193668</v>
          </cell>
        </row>
        <row r="26">
          <cell r="E26">
            <v>193668</v>
          </cell>
        </row>
        <row r="27">
          <cell r="E27" t="str">
            <v>-</v>
          </cell>
        </row>
      </sheetData>
      <sheetData sheetId="120"/>
      <sheetData sheetId="121">
        <row r="7">
          <cell r="B7" t="str">
            <v>PERNOCTACIONES EN ADEJE SEGÚN TIPOLOGÍA Y CATEGORÍA DE ESTABLECIMIENTO</v>
          </cell>
          <cell r="I7" t="str">
            <v>PERNOCTACIONES EN ARONA SEGÚN TIPOLOGÍA Y CATEGORÍA DE ESTABLECIMIENTO</v>
          </cell>
        </row>
        <row r="8">
          <cell r="C8" t="str">
            <v>I semestre 2009</v>
          </cell>
          <cell r="E8" t="str">
            <v xml:space="preserve">I semestre 2010 </v>
          </cell>
          <cell r="G8" t="str">
            <v>var. interanual</v>
          </cell>
          <cell r="J8" t="str">
            <v>I semestre 2009</v>
          </cell>
          <cell r="L8" t="str">
            <v xml:space="preserve">I semestre 2010 </v>
          </cell>
          <cell r="N8" t="str">
            <v>var. interanual</v>
          </cell>
        </row>
        <row r="10">
          <cell r="B10" t="str">
            <v>Total Pernoctaciones</v>
          </cell>
          <cell r="C10">
            <v>7711663</v>
          </cell>
          <cell r="E10">
            <v>7698603</v>
          </cell>
          <cell r="G10">
            <v>-1.6935387347709566E-3</v>
          </cell>
          <cell r="I10" t="str">
            <v>Total Pernoctaciones</v>
          </cell>
          <cell r="J10">
            <v>6591865</v>
          </cell>
          <cell r="L10">
            <v>6476287</v>
          </cell>
          <cell r="N10">
            <v>-1.7533429461920109E-2</v>
          </cell>
        </row>
        <row r="12">
          <cell r="B12" t="str">
            <v>Hotelera</v>
          </cell>
          <cell r="C12">
            <v>4759902</v>
          </cell>
          <cell r="E12">
            <v>4862858</v>
          </cell>
          <cell r="G12">
            <v>2.1629857085292931E-2</v>
          </cell>
          <cell r="I12" t="str">
            <v>Hotelera</v>
          </cell>
          <cell r="J12">
            <v>2787146</v>
          </cell>
          <cell r="L12">
            <v>2876302</v>
          </cell>
          <cell r="N12">
            <v>3.1988277614448613E-2</v>
          </cell>
        </row>
        <row r="13">
          <cell r="B13" t="str">
            <v>5*</v>
          </cell>
          <cell r="C13">
            <v>582693</v>
          </cell>
          <cell r="E13">
            <v>632980</v>
          </cell>
          <cell r="G13">
            <v>8.630101957634638E-2</v>
          </cell>
          <cell r="I13" t="str">
            <v>5*</v>
          </cell>
          <cell r="J13">
            <v>319628</v>
          </cell>
          <cell r="L13">
            <v>343310</v>
          </cell>
          <cell r="N13">
            <v>7.409238239453364E-2</v>
          </cell>
        </row>
        <row r="14">
          <cell r="B14" t="str">
            <v>4*</v>
          </cell>
          <cell r="C14">
            <v>3153691</v>
          </cell>
          <cell r="E14">
            <v>3356200</v>
          </cell>
          <cell r="G14">
            <v>6.4213329714293499E-2</v>
          </cell>
          <cell r="I14" t="str">
            <v>4*</v>
          </cell>
          <cell r="J14">
            <v>1592558</v>
          </cell>
          <cell r="L14">
            <v>1675752</v>
          </cell>
          <cell r="N14">
            <v>5.2239227707876257E-2</v>
          </cell>
        </row>
        <row r="15">
          <cell r="B15" t="str">
            <v>3*</v>
          </cell>
          <cell r="C15">
            <v>954574</v>
          </cell>
          <cell r="E15">
            <v>803958</v>
          </cell>
          <cell r="G15">
            <v>-0.15778347199902784</v>
          </cell>
          <cell r="I15" t="str">
            <v>3*</v>
          </cell>
          <cell r="J15">
            <v>815635</v>
          </cell>
          <cell r="L15">
            <v>804119</v>
          </cell>
          <cell r="N15">
            <v>-1.4119060609218585E-2</v>
          </cell>
        </row>
        <row r="16">
          <cell r="B16" t="str">
            <v>1* y 2*</v>
          </cell>
          <cell r="C16">
            <v>68944</v>
          </cell>
          <cell r="E16">
            <v>69720</v>
          </cell>
          <cell r="G16">
            <v>1.1255511719656533E-2</v>
          </cell>
          <cell r="I16" t="str">
            <v>1* y 2*</v>
          </cell>
          <cell r="J16">
            <v>59325</v>
          </cell>
          <cell r="L16">
            <v>53121</v>
          </cell>
          <cell r="N16">
            <v>-0.10457648546144122</v>
          </cell>
        </row>
        <row r="18">
          <cell r="B18" t="str">
            <v>Extrahotelera</v>
          </cell>
          <cell r="C18">
            <v>2951761</v>
          </cell>
          <cell r="E18">
            <v>2835745</v>
          </cell>
          <cell r="G18">
            <v>-3.9303995140527979E-2</v>
          </cell>
          <cell r="I18" t="str">
            <v>Extrahotelera</v>
          </cell>
          <cell r="J18">
            <v>3804719</v>
          </cell>
          <cell r="L18">
            <v>3599985</v>
          </cell>
          <cell r="N18">
            <v>-5.3810544221531212E-2</v>
          </cell>
        </row>
        <row r="21">
          <cell r="B21" t="str">
            <v>PERNOCTACIONES EN PUERTO DE LA CRUZ SEGÚN TIPOLOGÍA Y CATEGORÍA DE ESTABLECIMIENTO</v>
          </cell>
          <cell r="I21" t="str">
            <v>PERNOCTACIONES EN SANTA CRUZ SEGÚN TIPOLOGÍA Y CATEGORÍA DE ESTABLECIMIENTO</v>
          </cell>
        </row>
        <row r="22">
          <cell r="C22" t="str">
            <v>I semestre 2009</v>
          </cell>
          <cell r="E22" t="str">
            <v xml:space="preserve">I semestre 2010 </v>
          </cell>
          <cell r="G22" t="str">
            <v>var. interanual</v>
          </cell>
          <cell r="J22" t="str">
            <v>I semestre 2009</v>
          </cell>
          <cell r="L22" t="str">
            <v xml:space="preserve">I semestre 2010 </v>
          </cell>
          <cell r="N22" t="str">
            <v>var. interanual</v>
          </cell>
        </row>
        <row r="24">
          <cell r="B24" t="str">
            <v>Total Pernoctaciones</v>
          </cell>
          <cell r="C24">
            <v>3360494</v>
          </cell>
          <cell r="E24">
            <v>3090514</v>
          </cell>
          <cell r="G24">
            <v>-8.0339378674682951E-2</v>
          </cell>
          <cell r="I24" t="str">
            <v>Total Pernoctaciones</v>
          </cell>
          <cell r="J24">
            <v>224256</v>
          </cell>
          <cell r="L24">
            <v>193668</v>
          </cell>
          <cell r="N24">
            <v>-0.13639768835616439</v>
          </cell>
        </row>
        <row r="26">
          <cell r="B26" t="str">
            <v>Hotelera</v>
          </cell>
          <cell r="C26">
            <v>2131326</v>
          </cell>
          <cell r="E26">
            <v>2079572</v>
          </cell>
          <cell r="G26">
            <v>-2.428253584857502E-2</v>
          </cell>
          <cell r="I26" t="str">
            <v>Hotelera</v>
          </cell>
          <cell r="J26">
            <v>224256</v>
          </cell>
          <cell r="L26">
            <v>193668</v>
          </cell>
          <cell r="N26">
            <v>-0.13639768835616439</v>
          </cell>
        </row>
        <row r="27">
          <cell r="B27" t="str">
            <v>4* y 5*</v>
          </cell>
          <cell r="C27">
            <v>1754608</v>
          </cell>
          <cell r="E27">
            <v>1737011</v>
          </cell>
          <cell r="G27">
            <v>-1.0029020727136774E-2</v>
          </cell>
          <cell r="I27" t="str">
            <v>4* y 5*</v>
          </cell>
          <cell r="J27">
            <v>71618</v>
          </cell>
          <cell r="L27">
            <v>55034</v>
          </cell>
          <cell r="N27">
            <v>-0.23156189784691</v>
          </cell>
        </row>
        <row r="28">
          <cell r="B28" t="str">
            <v>3*</v>
          </cell>
          <cell r="C28">
            <v>355367</v>
          </cell>
          <cell r="E28">
            <v>320280</v>
          </cell>
          <cell r="G28">
            <v>-9.8734547664808492E-2</v>
          </cell>
          <cell r="I28" t="str">
            <v>3*</v>
          </cell>
          <cell r="J28">
            <v>57372</v>
          </cell>
          <cell r="L28">
            <v>58666</v>
          </cell>
          <cell r="N28">
            <v>2.2554556229519625E-2</v>
          </cell>
        </row>
        <row r="29">
          <cell r="B29" t="str">
            <v>1* y 2*</v>
          </cell>
          <cell r="C29">
            <v>21351</v>
          </cell>
          <cell r="E29">
            <v>22281</v>
          </cell>
          <cell r="G29">
            <v>4.3557678797246029E-2</v>
          </cell>
          <cell r="I29" t="str">
            <v>2*</v>
          </cell>
          <cell r="J29">
            <v>75411</v>
          </cell>
          <cell r="L29">
            <v>61775</v>
          </cell>
          <cell r="N29">
            <v>-0.18082242643646151</v>
          </cell>
        </row>
        <row r="30">
          <cell r="I30" t="str">
            <v>1*</v>
          </cell>
          <cell r="J30">
            <v>19855</v>
          </cell>
          <cell r="L30">
            <v>18193</v>
          </cell>
          <cell r="N30">
            <v>-8.3706874842608914E-2</v>
          </cell>
        </row>
        <row r="31">
          <cell r="B31" t="str">
            <v>Extrahotelera</v>
          </cell>
          <cell r="C31">
            <v>1229168</v>
          </cell>
          <cell r="E31">
            <v>1010942</v>
          </cell>
          <cell r="G31">
            <v>-0.17753960402483632</v>
          </cell>
        </row>
        <row r="32">
          <cell r="I32" t="str">
            <v>Extrahotelera</v>
          </cell>
          <cell r="J32">
            <v>0</v>
          </cell>
          <cell r="L32">
            <v>0</v>
          </cell>
          <cell r="N32" t="str">
            <v>-</v>
          </cell>
        </row>
      </sheetData>
      <sheetData sheetId="122"/>
      <sheetData sheetId="123">
        <row r="7">
          <cell r="D7" t="str">
            <v xml:space="preserve">acumulado julio 2010 </v>
          </cell>
        </row>
        <row r="9">
          <cell r="D9">
            <v>54.358202977071883</v>
          </cell>
        </row>
        <row r="10">
          <cell r="D10">
            <v>63.816408769433401</v>
          </cell>
        </row>
        <row r="11">
          <cell r="D11">
            <v>45.442623699464505</v>
          </cell>
        </row>
        <row r="13">
          <cell r="D13">
            <v>57.336689255463426</v>
          </cell>
        </row>
        <row r="14">
          <cell r="D14">
            <v>69.815886269859277</v>
          </cell>
        </row>
        <row r="15">
          <cell r="D15">
            <v>43.885093047549042</v>
          </cell>
        </row>
        <row r="17">
          <cell r="D17">
            <v>56.991904181811258</v>
          </cell>
        </row>
        <row r="18">
          <cell r="D18">
            <v>66.642848288749178</v>
          </cell>
        </row>
        <row r="19">
          <cell r="D19">
            <v>51.081542657664549</v>
          </cell>
        </row>
        <row r="21">
          <cell r="D21">
            <v>53.995217413409314</v>
          </cell>
        </row>
        <row r="22">
          <cell r="D22">
            <v>59.811096091345739</v>
          </cell>
        </row>
        <row r="23">
          <cell r="D23">
            <v>44.995128586186198</v>
          </cell>
        </row>
        <row r="25">
          <cell r="D25">
            <v>37.709338935825123</v>
          </cell>
        </row>
        <row r="26">
          <cell r="D26">
            <v>37.709338935825123</v>
          </cell>
        </row>
        <row r="27">
          <cell r="D27" t="str">
            <v>-</v>
          </cell>
        </row>
      </sheetData>
      <sheetData sheetId="124"/>
      <sheetData sheetId="125">
        <row r="7">
          <cell r="B7" t="str">
            <v>INDICES DE OCUPACIÓN EN ALOJAMIENTO DE ADEJE SEGÚN TIPOLOGÍA Y CATEGORÍA DE ESTABLECIMIENTO</v>
          </cell>
          <cell r="G7" t="str">
            <v>INDICES DE OCUPACIÓN EN ALOJAMIENTO DE ARONA SEGÚN TIPOLOGÍA Y CATEGORÍA DE ESTABLECIMIENTO</v>
          </cell>
        </row>
        <row r="8">
          <cell r="C8" t="str">
            <v>acumulado julio 2009</v>
          </cell>
          <cell r="D8" t="str">
            <v xml:space="preserve">acumulado julio 2010 </v>
          </cell>
          <cell r="E8" t="str">
            <v>var. interanual</v>
          </cell>
          <cell r="H8" t="str">
            <v>acumulado julio 2009</v>
          </cell>
          <cell r="I8" t="str">
            <v xml:space="preserve">acumulado julio 2010 </v>
          </cell>
          <cell r="J8" t="str">
            <v>var. interanual</v>
          </cell>
        </row>
        <row r="10">
          <cell r="B10" t="str">
            <v>Indice de ocupación total</v>
          </cell>
          <cell r="C10">
            <v>55.615451674608849</v>
          </cell>
          <cell r="D10">
            <v>57.336689255463426</v>
          </cell>
          <cell r="E10">
            <v>3.094890950315532E-2</v>
          </cell>
          <cell r="G10" t="str">
            <v>Indice de ocupación total</v>
          </cell>
          <cell r="H10">
            <v>56.222793180322093</v>
          </cell>
          <cell r="I10">
            <v>56.991904181811258</v>
          </cell>
          <cell r="J10">
            <v>1.3679701024856815E-2</v>
          </cell>
        </row>
        <row r="12">
          <cell r="B12" t="str">
            <v>Hotelera</v>
          </cell>
          <cell r="C12">
            <v>66.215013478371304</v>
          </cell>
          <cell r="D12">
            <v>69.815886269859277</v>
          </cell>
          <cell r="E12">
            <v>5.4381515646208758E-2</v>
          </cell>
          <cell r="G12" t="str">
            <v>Hotelera</v>
          </cell>
          <cell r="H12">
            <v>64.814816537400404</v>
          </cell>
          <cell r="I12">
            <v>66.642848288749178</v>
          </cell>
          <cell r="J12">
            <v>2.8203917699804591E-2</v>
          </cell>
        </row>
        <row r="13">
          <cell r="B13" t="str">
            <v>5*</v>
          </cell>
          <cell r="C13">
            <v>60.808670061779935</v>
          </cell>
          <cell r="D13">
            <v>65.362406238641242</v>
          </cell>
          <cell r="E13">
            <v>7.4886297829484444E-2</v>
          </cell>
          <cell r="G13" t="str">
            <v>5*</v>
          </cell>
          <cell r="H13">
            <v>60.720066261901685</v>
          </cell>
          <cell r="I13">
            <v>65.21896063039992</v>
          </cell>
          <cell r="J13">
            <v>7.4092382394533543E-2</v>
          </cell>
        </row>
        <row r="14">
          <cell r="B14" t="str">
            <v>4*</v>
          </cell>
          <cell r="C14">
            <v>68.555698158423098</v>
          </cell>
          <cell r="D14">
            <v>72.957887808063489</v>
          </cell>
          <cell r="E14">
            <v>6.4213329714293277E-2</v>
          </cell>
          <cell r="G14" t="str">
            <v>4*</v>
          </cell>
          <cell r="H14">
            <v>71.387114299494897</v>
          </cell>
          <cell r="I14">
            <v>74.220568695189996</v>
          </cell>
          <cell r="J14">
            <v>3.9691398419716591E-2</v>
          </cell>
        </row>
        <row r="15">
          <cell r="B15" t="str">
            <v>3*</v>
          </cell>
          <cell r="C15">
            <v>62.37064566418772</v>
          </cell>
          <cell r="D15">
            <v>61.985202958174767</v>
          </cell>
          <cell r="E15">
            <v>-6.1798735913081585E-3</v>
          </cell>
          <cell r="G15" t="str">
            <v>3*</v>
          </cell>
          <cell r="H15">
            <v>57.568979584922594</v>
          </cell>
          <cell r="I15">
            <v>56.756159672952208</v>
          </cell>
          <cell r="J15">
            <v>-1.4119060609218533E-2</v>
          </cell>
        </row>
        <row r="16">
          <cell r="B16" t="str">
            <v>1* y 2*</v>
          </cell>
          <cell r="C16">
            <v>69.193095142513044</v>
          </cell>
          <cell r="D16">
            <v>69.971898835808915</v>
          </cell>
          <cell r="E16">
            <v>1.125551171965661E-2</v>
          </cell>
          <cell r="G16" t="str">
            <v>1* y 2*</v>
          </cell>
          <cell r="H16">
            <v>47.04599524187153</v>
          </cell>
          <cell r="I16">
            <v>46.190968931245273</v>
          </cell>
          <cell r="J16">
            <v>-1.8174263425195295E-2</v>
          </cell>
        </row>
        <row r="18">
          <cell r="C18">
            <v>44.204648752749911</v>
          </cell>
          <cell r="D18">
            <v>43.885093047549042</v>
          </cell>
          <cell r="E18">
            <v>-7.2290067723022088E-3</v>
          </cell>
          <cell r="G18" t="str">
            <v>Extrahotelera</v>
          </cell>
          <cell r="H18">
            <v>51.246327299783125</v>
          </cell>
          <cell r="I18">
            <v>51.081542657664549</v>
          </cell>
          <cell r="J18">
            <v>-3.2155405236088696E-3</v>
          </cell>
        </row>
        <row r="21">
          <cell r="B21" t="str">
            <v>INDICES DE OCUPACIÓN EN ALOJAMIENTO DE PUERTO DE LA CRUZ SEGÚN TIPOLOGÍA Y CATEGORÍA DE ESTABLECIMIENTO</v>
          </cell>
          <cell r="G21" t="str">
            <v>INDICES DE OCUPACIÓN EN ALOJAMIENTO DE SANTA CRUZ SEGÚN TIPOLOGÍA Y CATEGORÍA DE ESTABLECIMIENTO</v>
          </cell>
        </row>
        <row r="22">
          <cell r="C22" t="str">
            <v>acumulado julio 2009</v>
          </cell>
          <cell r="D22" t="str">
            <v xml:space="preserve">acumulado julio 2010 </v>
          </cell>
          <cell r="E22" t="str">
            <v>var. interanual</v>
          </cell>
          <cell r="H22" t="str">
            <v>acumulado julio 2009</v>
          </cell>
          <cell r="I22" t="str">
            <v xml:space="preserve">acumulado julio 2010 </v>
          </cell>
          <cell r="J22" t="str">
            <v>var. interanual</v>
          </cell>
        </row>
        <row r="24">
          <cell r="B24" t="str">
            <v>Indice de ocupación total</v>
          </cell>
          <cell r="C24">
            <v>55.055308525715972</v>
          </cell>
          <cell r="D24">
            <v>53.995217413409314</v>
          </cell>
          <cell r="E24">
            <v>-1.9255020827128714E-2</v>
          </cell>
          <cell r="G24" t="str">
            <v>Indice de ocupación total</v>
          </cell>
          <cell r="H24">
            <v>41.859501432611275</v>
          </cell>
          <cell r="I24">
            <v>37.709338935825123</v>
          </cell>
          <cell r="J24">
            <v>-9.9145053207750466E-2</v>
          </cell>
        </row>
        <row r="26">
          <cell r="B26" t="str">
            <v>Hotelera</v>
          </cell>
          <cell r="C26">
            <v>59.624365206741246</v>
          </cell>
          <cell r="D26">
            <v>59.811096091345739</v>
          </cell>
          <cell r="E26">
            <v>3.1317882204200194E-3</v>
          </cell>
          <cell r="G26" t="str">
            <v>Hotelera</v>
          </cell>
          <cell r="H26">
            <v>41.859501432611275</v>
          </cell>
          <cell r="I26">
            <v>37.709338935825123</v>
          </cell>
          <cell r="J26">
            <v>-9.9145053207750466E-2</v>
          </cell>
        </row>
        <row r="27">
          <cell r="B27" t="str">
            <v>4* y 5*</v>
          </cell>
          <cell r="C27">
            <v>62.301000589417463</v>
          </cell>
          <cell r="D27">
            <v>63.245450507198356</v>
          </cell>
          <cell r="E27">
            <v>1.5159466282172669E-2</v>
          </cell>
          <cell r="G27" t="str">
            <v>4* y 5*</v>
          </cell>
          <cell r="H27">
            <v>32.173405211141059</v>
          </cell>
          <cell r="I27">
            <v>26.802316237526359</v>
          </cell>
          <cell r="J27">
            <v>-0.16694188688969705</v>
          </cell>
        </row>
        <row r="28">
          <cell r="B28" t="str">
            <v>3*</v>
          </cell>
          <cell r="C28">
            <v>52.323487535576355</v>
          </cell>
          <cell r="D28">
            <v>49.170663407864112</v>
          </cell>
          <cell r="E28">
            <v>-6.0256383437142659E-2</v>
          </cell>
          <cell r="G28" t="str">
            <v>3*</v>
          </cell>
          <cell r="H28">
            <v>46.6590761223162</v>
          </cell>
          <cell r="I28">
            <v>47.711450878334418</v>
          </cell>
          <cell r="J28">
            <v>2.2554556229519625E-2</v>
          </cell>
        </row>
        <row r="29">
          <cell r="B29" t="str">
            <v>1* y 2*</v>
          </cell>
          <cell r="C29">
            <v>27.000607010976779</v>
          </cell>
          <cell r="D29">
            <v>28.176690778491576</v>
          </cell>
          <cell r="E29">
            <v>4.355767879724607E-2</v>
          </cell>
          <cell r="G29" t="str">
            <v>2*</v>
          </cell>
          <cell r="H29">
            <v>52.776300319131067</v>
          </cell>
          <cell r="I29">
            <v>43.23316163708639</v>
          </cell>
          <cell r="J29">
            <v>-0.18082242643646151</v>
          </cell>
        </row>
        <row r="30">
          <cell r="G30" t="str">
            <v>1*</v>
          </cell>
          <cell r="H30">
            <v>41.988284306469012</v>
          </cell>
          <cell r="I30">
            <v>42.908018867924532</v>
          </cell>
          <cell r="J30">
            <v>2.1904552106546054E-2</v>
          </cell>
        </row>
        <row r="31">
          <cell r="B31" t="str">
            <v>Extrahotelera</v>
          </cell>
          <cell r="C31">
            <v>48.597891400732699</v>
          </cell>
          <cell r="D31">
            <v>44.995128586186198</v>
          </cell>
          <cell r="E31">
            <v>-7.4134138554253895E-2</v>
          </cell>
        </row>
        <row r="32">
          <cell r="G32" t="str">
            <v>Extrahotelera</v>
          </cell>
          <cell r="H32">
            <v>0</v>
          </cell>
          <cell r="I32">
            <v>0</v>
          </cell>
          <cell r="J32" t="str">
            <v>-</v>
          </cell>
        </row>
      </sheetData>
      <sheetData sheetId="126"/>
      <sheetData sheetId="127">
        <row r="7">
          <cell r="D7" t="str">
            <v xml:space="preserve">acumulado julio 2010 </v>
          </cell>
        </row>
        <row r="9">
          <cell r="D9">
            <v>7.4230055531193955</v>
          </cell>
        </row>
        <row r="10">
          <cell r="D10">
            <v>6.9716091279916652</v>
          </cell>
        </row>
        <row r="11">
          <cell r="D11">
            <v>8.1188801550950274</v>
          </cell>
        </row>
        <row r="13">
          <cell r="D13">
            <v>7.8662886756998951</v>
          </cell>
        </row>
        <row r="14">
          <cell r="D14">
            <v>7.5495798162773262</v>
          </cell>
        </row>
        <row r="15">
          <cell r="D15">
            <v>8.4760431611669063</v>
          </cell>
        </row>
        <row r="17">
          <cell r="D17">
            <v>7.9130712621375832</v>
          </cell>
        </row>
        <row r="18">
          <cell r="D18">
            <v>7.7246437529877481</v>
          </cell>
        </row>
        <row r="19">
          <cell r="D19">
            <v>8.0703581236339179</v>
          </cell>
        </row>
        <row r="21">
          <cell r="D21">
            <v>7.4466807543751008</v>
          </cell>
        </row>
        <row r="22">
          <cell r="D22">
            <v>7.3144525342056204</v>
          </cell>
        </row>
        <row r="23">
          <cell r="D23">
            <v>7.7342952665845504</v>
          </cell>
        </row>
        <row r="25">
          <cell r="D25">
            <v>2.0865799000172385</v>
          </cell>
        </row>
        <row r="26">
          <cell r="D26">
            <v>2.0865799000172385</v>
          </cell>
        </row>
        <row r="27">
          <cell r="D27" t="str">
            <v>-</v>
          </cell>
        </row>
      </sheetData>
      <sheetData sheetId="128"/>
      <sheetData sheetId="129">
        <row r="7">
          <cell r="B7" t="str">
            <v>ESTANCIA MEDIA DE LOS TURISTAS ALOJADOS EN ADEJE SEGÚN TIPOLOGÍA Y CATEGORÍA DE ESTABLECIMIENTO</v>
          </cell>
          <cell r="G7" t="str">
            <v>ESTANCIA MEDIA DE LOS TURISTAS ALOJADOS EN  ARONA SEGÚN TIPOLOGÍA Y CATEGORÍA DE ESTABLECIMIENTO</v>
          </cell>
        </row>
        <row r="8">
          <cell r="C8" t="str">
            <v>acumulado julio 2009</v>
          </cell>
          <cell r="D8" t="str">
            <v xml:space="preserve">acumulado julio 2010 </v>
          </cell>
          <cell r="E8" t="str">
            <v>var. interanual</v>
          </cell>
          <cell r="H8" t="str">
            <v>acumulado julio 2009</v>
          </cell>
          <cell r="I8" t="str">
            <v xml:space="preserve">acumulado julio 2010 </v>
          </cell>
          <cell r="J8" t="str">
            <v>var. interanual</v>
          </cell>
        </row>
        <row r="10">
          <cell r="B10" t="str">
            <v>Estancia media total</v>
          </cell>
          <cell r="C10">
            <v>8.1532598605680882</v>
          </cell>
          <cell r="D10">
            <v>7.8662886756998951</v>
          </cell>
          <cell r="E10">
            <v>-0.28697118486819306</v>
          </cell>
          <cell r="G10" t="str">
            <v>Estancia media total</v>
          </cell>
          <cell r="H10">
            <v>8.1513584432960755</v>
          </cell>
          <cell r="I10">
            <v>7.9130712621375832</v>
          </cell>
          <cell r="J10">
            <v>-0.23828718115849234</v>
          </cell>
        </row>
        <row r="12">
          <cell r="B12" t="str">
            <v>Hotelera</v>
          </cell>
          <cell r="C12">
            <v>7.8624342994195553</v>
          </cell>
          <cell r="D12">
            <v>7.5495798162773262</v>
          </cell>
          <cell r="E12">
            <v>-0.31285448314222908</v>
          </cell>
          <cell r="G12" t="str">
            <v>Hotelera</v>
          </cell>
          <cell r="H12">
            <v>8.1106801032478852</v>
          </cell>
          <cell r="I12">
            <v>7.7246437529877481</v>
          </cell>
          <cell r="J12">
            <v>-0.38603635026013716</v>
          </cell>
        </row>
        <row r="13">
          <cell r="B13" t="str">
            <v>5*</v>
          </cell>
          <cell r="C13">
            <v>7.0403310578142939</v>
          </cell>
          <cell r="D13">
            <v>6.8197293570074127</v>
          </cell>
          <cell r="E13">
            <v>-0.22060170080688124</v>
          </cell>
          <cell r="G13" t="str">
            <v>5*</v>
          </cell>
          <cell r="H13">
            <v>7.8596404947500433</v>
          </cell>
          <cell r="I13">
            <v>7.8531887638393263</v>
          </cell>
          <cell r="J13">
            <v>-6.4517309107170462E-3</v>
          </cell>
        </row>
        <row r="14">
          <cell r="B14" t="str">
            <v>4*</v>
          </cell>
          <cell r="C14">
            <v>7.8551633954368834</v>
          </cell>
          <cell r="D14">
            <v>7.6012954952098388</v>
          </cell>
          <cell r="E14">
            <v>-0.25386790022704453</v>
          </cell>
          <cell r="G14" t="str">
            <v>4*</v>
          </cell>
          <cell r="H14">
            <v>8.3299753117415687</v>
          </cell>
          <cell r="I14">
            <v>7.791404938696374</v>
          </cell>
          <cell r="J14">
            <v>-0.53857037304519473</v>
          </cell>
        </row>
        <row r="15">
          <cell r="B15" t="str">
            <v>3*</v>
          </cell>
          <cell r="C15">
            <v>8.5624304832980513</v>
          </cell>
          <cell r="D15">
            <v>8.0533512306043331</v>
          </cell>
          <cell r="E15">
            <v>-0.50907925269371823</v>
          </cell>
          <cell r="G15" t="str">
            <v>3*</v>
          </cell>
          <cell r="H15">
            <v>7.85412333410369</v>
          </cell>
          <cell r="I15">
            <v>7.6247996889845533</v>
          </cell>
          <cell r="J15">
            <v>-0.22932364511913672</v>
          </cell>
        </row>
        <row r="16">
          <cell r="B16" t="str">
            <v>1* y 2*</v>
          </cell>
          <cell r="C16">
            <v>7.1304167959458065</v>
          </cell>
          <cell r="D16">
            <v>7.0084439083232812</v>
          </cell>
          <cell r="E16">
            <v>-0.12197288762252523</v>
          </cell>
          <cell r="G16" t="str">
            <v>1* y 2*</v>
          </cell>
          <cell r="H16">
            <v>7.4716624685138537</v>
          </cell>
          <cell r="I16">
            <v>6.5581481481481481</v>
          </cell>
          <cell r="J16">
            <v>-0.91351432036570568</v>
          </cell>
        </row>
        <row r="18">
          <cell r="C18">
            <v>8.6704294442486187</v>
          </cell>
          <cell r="D18">
            <v>8.4760431611669063</v>
          </cell>
          <cell r="E18">
            <v>-0.19438628308171246</v>
          </cell>
          <cell r="G18" t="str">
            <v>Extrahotelera</v>
          </cell>
          <cell r="H18">
            <v>8.1814172422394442</v>
          </cell>
          <cell r="I18">
            <v>8.0703581236339179</v>
          </cell>
          <cell r="J18">
            <v>-0.11105911860552631</v>
          </cell>
        </row>
        <row r="21">
          <cell r="B21" t="str">
            <v>ESTANCIA MEDIA DE LOS TURISTAS ALOJADOS EN  PUERTO DE LA CRUZ SEGÚN TIPOLOGÍA Y CATEGORÍA DE ESTABLECIMIENTO</v>
          </cell>
          <cell r="G21" t="str">
            <v>ESTANCIA MEDIA DE LOS TURISTAS ALOJADOS EN  SANTA CRUZ SEGÚN TIPOLOGÍA Y CATEGORÍA DE ESTABLECIMIENTO</v>
          </cell>
        </row>
        <row r="22">
          <cell r="C22" t="str">
            <v>acumulado julio 2009</v>
          </cell>
          <cell r="D22" t="str">
            <v xml:space="preserve">acumulado julio 2010 </v>
          </cell>
          <cell r="E22" t="str">
            <v>var. interanual</v>
          </cell>
          <cell r="H22" t="str">
            <v>acumulado julio 2009</v>
          </cell>
          <cell r="I22" t="str">
            <v xml:space="preserve">acumulado julio 2010 </v>
          </cell>
          <cell r="J22" t="str">
            <v>var. interanual</v>
          </cell>
        </row>
        <row r="24">
          <cell r="B24" t="str">
            <v>Estancia media total</v>
          </cell>
          <cell r="C24">
            <v>7.5759489961088793</v>
          </cell>
          <cell r="D24">
            <v>7.4466807543751008</v>
          </cell>
          <cell r="E24">
            <v>-0.12926824173377849</v>
          </cell>
          <cell r="G24" t="str">
            <v>Estancia media total</v>
          </cell>
          <cell r="H24">
            <v>2.3460685441687241</v>
          </cell>
          <cell r="I24">
            <v>2.0865799000172385</v>
          </cell>
          <cell r="J24">
            <v>-0.25948864415148565</v>
          </cell>
        </row>
        <row r="26">
          <cell r="B26" t="str">
            <v>Hotelera</v>
          </cell>
          <cell r="C26">
            <v>7.2949145348877007</v>
          </cell>
          <cell r="D26">
            <v>7.3144525342056204</v>
          </cell>
          <cell r="E26">
            <v>1.9537999317919663E-2</v>
          </cell>
          <cell r="G26" t="str">
            <v>Hotelera</v>
          </cell>
          <cell r="H26">
            <v>2.3460685441687241</v>
          </cell>
          <cell r="I26">
            <v>2.0865799000172385</v>
          </cell>
          <cell r="J26">
            <v>-0.25948864415148565</v>
          </cell>
        </row>
        <row r="27">
          <cell r="B27" t="str">
            <v>4* y 5*</v>
          </cell>
          <cell r="C27">
            <v>7.4398236092265941</v>
          </cell>
          <cell r="D27">
            <v>7.3756549726970864</v>
          </cell>
          <cell r="E27">
            <v>-6.4168636529507772E-2</v>
          </cell>
          <cell r="G27" t="str">
            <v>4* y 5*</v>
          </cell>
          <cell r="H27">
            <v>2.2300482640510664</v>
          </cell>
          <cell r="I27">
            <v>1.8100312448610425</v>
          </cell>
          <cell r="J27">
            <v>-0.42001701919002388</v>
          </cell>
        </row>
        <row r="28">
          <cell r="B28" t="str">
            <v>3*</v>
          </cell>
          <cell r="C28">
            <v>6.9794759996857572</v>
          </cell>
          <cell r="D28">
            <v>7.4322975889355583</v>
          </cell>
          <cell r="E28">
            <v>0.45282158924980109</v>
          </cell>
          <cell r="G28" t="str">
            <v>3*</v>
          </cell>
          <cell r="H28">
            <v>2.1653896961690884</v>
          </cell>
          <cell r="I28">
            <v>2.1225036179450072</v>
          </cell>
          <cell r="J28">
            <v>-4.2886078224081192E-2</v>
          </cell>
        </row>
        <row r="29">
          <cell r="B29" t="str">
            <v>1* y 2*</v>
          </cell>
          <cell r="C29">
            <v>3.946580406654344</v>
          </cell>
          <cell r="D29">
            <v>3.9014183155314304</v>
          </cell>
          <cell r="E29">
            <v>-4.5162091122913584E-2</v>
          </cell>
          <cell r="G29" t="str">
            <v>2*</v>
          </cell>
          <cell r="H29">
            <v>2.5075981777674325</v>
          </cell>
          <cell r="I29">
            <v>2.071387855011233</v>
          </cell>
          <cell r="J29">
            <v>-0.43621032275619953</v>
          </cell>
        </row>
        <row r="30">
          <cell r="G30" t="str">
            <v>1*</v>
          </cell>
          <cell r="H30">
            <v>2.8754525706010137</v>
          </cell>
          <cell r="I30">
            <v>3.6768391269199676</v>
          </cell>
          <cell r="J30">
            <v>0.80138655631895395</v>
          </cell>
        </row>
        <row r="31">
          <cell r="B31" t="str">
            <v>Extrahotelera</v>
          </cell>
          <cell r="C31">
            <v>8.1182500264186839</v>
          </cell>
          <cell r="D31">
            <v>7.7342952665845504</v>
          </cell>
          <cell r="E31">
            <v>-0.38395475983413352</v>
          </cell>
        </row>
        <row r="32">
          <cell r="G32" t="str">
            <v>Extrahotelera</v>
          </cell>
          <cell r="H32" t="str">
            <v>-</v>
          </cell>
          <cell r="I32" t="str">
            <v>-</v>
          </cell>
          <cell r="J32" t="str">
            <v>-</v>
          </cell>
        </row>
      </sheetData>
      <sheetData sheetId="130"/>
      <sheetData sheetId="131">
        <row r="3">
          <cell r="A3" t="str">
            <v>Suma de TOTAL GENERAL</v>
          </cell>
        </row>
        <row r="36">
          <cell r="A36" t="str">
            <v>Suma de dato</v>
          </cell>
        </row>
      </sheetData>
      <sheetData sheetId="132"/>
      <sheetData sheetId="133"/>
      <sheetData sheetId="134"/>
      <sheetData sheetId="135"/>
      <sheetData sheetId="136">
        <row r="52">
          <cell r="A52" t="str">
            <v>Suma de dato</v>
          </cell>
        </row>
      </sheetData>
      <sheetData sheetId="137">
        <row r="7">
          <cell r="E7" t="str">
            <v>I semestre 2010</v>
          </cell>
          <cell r="L7" t="str">
            <v>II semestre 2010</v>
          </cell>
        </row>
        <row r="9">
          <cell r="E9">
            <v>178697</v>
          </cell>
        </row>
        <row r="10">
          <cell r="E10">
            <v>86541</v>
          </cell>
        </row>
        <row r="11">
          <cell r="E11">
            <v>92156</v>
          </cell>
        </row>
        <row r="13">
          <cell r="E13">
            <v>2504</v>
          </cell>
        </row>
        <row r="14">
          <cell r="E14">
            <v>2504</v>
          </cell>
        </row>
        <row r="15">
          <cell r="E15" t="str">
            <v>-</v>
          </cell>
        </row>
        <row r="17">
          <cell r="E17">
            <v>1713</v>
          </cell>
        </row>
        <row r="18">
          <cell r="E18">
            <v>514</v>
          </cell>
        </row>
        <row r="19">
          <cell r="E19">
            <v>1199</v>
          </cell>
        </row>
        <row r="21">
          <cell r="E21">
            <v>30806</v>
          </cell>
        </row>
        <row r="22">
          <cell r="E22">
            <v>18641</v>
          </cell>
        </row>
        <row r="23">
          <cell r="E23">
            <v>12165</v>
          </cell>
        </row>
        <row r="25">
          <cell r="E25">
            <v>27225</v>
          </cell>
        </row>
        <row r="26">
          <cell r="E26">
            <v>16442</v>
          </cell>
        </row>
        <row r="27">
          <cell r="E27">
            <v>10783</v>
          </cell>
        </row>
        <row r="29">
          <cell r="E29">
            <v>143674</v>
          </cell>
        </row>
        <row r="30">
          <cell r="E30">
            <v>64882</v>
          </cell>
        </row>
        <row r="31">
          <cell r="E31">
            <v>78792</v>
          </cell>
        </row>
        <row r="33">
          <cell r="E33">
            <v>63430</v>
          </cell>
        </row>
        <row r="34">
          <cell r="E34">
            <v>32855</v>
          </cell>
        </row>
        <row r="35">
          <cell r="E35">
            <v>30575</v>
          </cell>
        </row>
        <row r="37">
          <cell r="E37">
            <v>53697</v>
          </cell>
        </row>
        <row r="38">
          <cell r="E38">
            <v>20363</v>
          </cell>
        </row>
        <row r="39">
          <cell r="E39">
            <v>33334</v>
          </cell>
        </row>
      </sheetData>
      <sheetData sheetId="138"/>
      <sheetData sheetId="139">
        <row r="6">
          <cell r="C6" t="str">
            <v>PLAZAS ALOJATIVAS ESTIMADAS EN ADEJE SEGÚN TIPOLOGÍA Y CATEGORÍA (*)</v>
          </cell>
          <cell r="J6" t="str">
            <v>PLAZAS ALOJATIVAS ESTIMADAS  EN ADEJE SEGÚN TIPOLOGÍA Y CATEGORÍA (*)</v>
          </cell>
        </row>
        <row r="7">
          <cell r="D7" t="str">
            <v>I semestre 2009</v>
          </cell>
          <cell r="F7" t="str">
            <v>I semestre 2010</v>
          </cell>
          <cell r="H7" t="str">
            <v>var. interanual</v>
          </cell>
          <cell r="K7" t="str">
            <v>II semestre 2009</v>
          </cell>
          <cell r="M7" t="str">
            <v>II semestre 2010</v>
          </cell>
          <cell r="O7" t="str">
            <v>var. interanual</v>
          </cell>
        </row>
        <row r="8">
          <cell r="C8" t="str">
            <v>TOTAL PLAZAS</v>
          </cell>
          <cell r="D8">
            <v>65517</v>
          </cell>
          <cell r="F8">
            <v>63430</v>
          </cell>
          <cell r="H8">
            <v>-3.1854327884365888E-2</v>
          </cell>
          <cell r="J8" t="str">
            <v>TOTAL PLAZAS</v>
          </cell>
          <cell r="K8">
            <v>64757</v>
          </cell>
          <cell r="M8">
            <v>62780</v>
          </cell>
          <cell r="O8">
            <v>-3.0529518044381303E-2</v>
          </cell>
        </row>
        <row r="9">
          <cell r="C9" t="str">
            <v>HOTELERAS</v>
          </cell>
          <cell r="D9">
            <v>33977</v>
          </cell>
          <cell r="F9">
            <v>32855</v>
          </cell>
          <cell r="H9">
            <v>-3.3022338640845278E-2</v>
          </cell>
          <cell r="J9" t="str">
            <v>HOTELERAS</v>
          </cell>
          <cell r="K9">
            <v>33507</v>
          </cell>
          <cell r="M9">
            <v>32855</v>
          </cell>
          <cell r="O9">
            <v>-1.945862058674307E-2</v>
          </cell>
        </row>
        <row r="10">
          <cell r="C10" t="str">
            <v>5 estrellas</v>
          </cell>
          <cell r="D10">
            <v>4520</v>
          </cell>
          <cell r="F10">
            <v>4568</v>
          </cell>
          <cell r="G10">
            <v>7.20163960271165E-2</v>
          </cell>
          <cell r="H10">
            <v>1.0619469026548672E-2</v>
          </cell>
          <cell r="J10" t="str">
            <v>5 estrellas</v>
          </cell>
          <cell r="K10">
            <v>4520</v>
          </cell>
          <cell r="M10">
            <v>4568</v>
          </cell>
          <cell r="N10">
            <v>7.2762026122969101E-2</v>
          </cell>
          <cell r="O10">
            <v>1.0619469026548672E-2</v>
          </cell>
        </row>
        <row r="11">
          <cell r="C11" t="str">
            <v>4 estrellas</v>
          </cell>
          <cell r="D11">
            <v>21699</v>
          </cell>
          <cell r="F11">
            <v>21699</v>
          </cell>
          <cell r="G11">
            <v>0.34209364653949237</v>
          </cell>
          <cell r="H11">
            <v>0</v>
          </cell>
          <cell r="J11" t="str">
            <v>4 estrellas</v>
          </cell>
          <cell r="K11">
            <v>21699</v>
          </cell>
          <cell r="M11">
            <v>21699</v>
          </cell>
          <cell r="N11">
            <v>0.34563555272379737</v>
          </cell>
          <cell r="O11">
            <v>0</v>
          </cell>
        </row>
        <row r="12">
          <cell r="C12" t="str">
            <v>3 estrellas</v>
          </cell>
          <cell r="D12">
            <v>7288</v>
          </cell>
          <cell r="F12">
            <v>6118</v>
          </cell>
          <cell r="G12">
            <v>9.6452782594986602E-2</v>
          </cell>
          <cell r="H12">
            <v>-0.16053787047200879</v>
          </cell>
          <cell r="J12" t="str">
            <v>3 estrellas</v>
          </cell>
          <cell r="K12">
            <v>6818</v>
          </cell>
          <cell r="M12">
            <v>6118</v>
          </cell>
          <cell r="N12">
            <v>9.7451417648932781E-2</v>
          </cell>
          <cell r="O12">
            <v>-0.10266940451745379</v>
          </cell>
        </row>
        <row r="13">
          <cell r="C13" t="str">
            <v>1 Y 2 estrellas</v>
          </cell>
          <cell r="D13">
            <v>470</v>
          </cell>
          <cell r="F13">
            <v>470</v>
          </cell>
          <cell r="G13">
            <v>7.4097430238057697E-3</v>
          </cell>
          <cell r="H13">
            <v>0</v>
          </cell>
          <cell r="J13" t="str">
            <v>1 Y 2 estrellas</v>
          </cell>
          <cell r="K13">
            <v>470</v>
          </cell>
          <cell r="M13">
            <v>470</v>
          </cell>
          <cell r="N13">
            <v>7.4864606562599556E-3</v>
          </cell>
          <cell r="O13">
            <v>0</v>
          </cell>
        </row>
        <row r="14">
          <cell r="C14" t="str">
            <v>EXTRAHOTELERAS</v>
          </cell>
          <cell r="D14">
            <v>31540</v>
          </cell>
          <cell r="F14">
            <v>30575</v>
          </cell>
          <cell r="G14">
            <v>0.48202743181459878</v>
          </cell>
          <cell r="H14">
            <v>-3.0596068484464174E-2</v>
          </cell>
          <cell r="J14" t="str">
            <v>EXTRAHOTELERAS</v>
          </cell>
          <cell r="K14">
            <v>31250</v>
          </cell>
          <cell r="M14">
            <v>29925</v>
          </cell>
          <cell r="N14">
            <v>0.47666454284804077</v>
          </cell>
          <cell r="O14">
            <v>-4.24E-2</v>
          </cell>
        </row>
        <row r="19">
          <cell r="C19" t="str">
            <v>PLAZAS ALOJATIVAS ESTIMADAS EN ARONA SEGÚN TIPOLOGÍA Y CATEGORÍA (*)</v>
          </cell>
          <cell r="J19" t="str">
            <v>PLAZAS ALOJATIVAS ESTIMADAS  EN ARONA SEGÚN TIPOLOGÍA Y CATEGORÍA (*)</v>
          </cell>
        </row>
        <row r="20">
          <cell r="D20" t="str">
            <v>I semestre 2009</v>
          </cell>
          <cell r="F20" t="str">
            <v>I semestre 2010</v>
          </cell>
          <cell r="K20" t="str">
            <v>II semestre 2009</v>
          </cell>
          <cell r="M20" t="str">
            <v>II semestre 2010</v>
          </cell>
          <cell r="O20" t="str">
            <v>var. interanual</v>
          </cell>
        </row>
        <row r="21">
          <cell r="C21" t="str">
            <v>TOTAL PLAZAS</v>
          </cell>
          <cell r="D21">
            <v>55465</v>
          </cell>
          <cell r="F21">
            <v>53697</v>
          </cell>
          <cell r="J21" t="str">
            <v>TOTAL PLAZAS</v>
          </cell>
          <cell r="K21">
            <v>54367</v>
          </cell>
          <cell r="M21">
            <v>53044</v>
          </cell>
          <cell r="O21">
            <v>-2.4334614747916934E-2</v>
          </cell>
        </row>
        <row r="22">
          <cell r="C22" t="str">
            <v>HOTELERAS</v>
          </cell>
          <cell r="D22">
            <v>20292</v>
          </cell>
          <cell r="F22">
            <v>20363</v>
          </cell>
          <cell r="J22" t="str">
            <v>HOTELERAS</v>
          </cell>
          <cell r="K22">
            <v>20236</v>
          </cell>
          <cell r="M22">
            <v>20332</v>
          </cell>
          <cell r="O22">
            <v>4.7440205574224154E-3</v>
          </cell>
        </row>
        <row r="23">
          <cell r="C23" t="str">
            <v>5 estrellas</v>
          </cell>
          <cell r="D23">
            <v>2483</v>
          </cell>
          <cell r="F23">
            <v>2483</v>
          </cell>
          <cell r="G23">
            <v>4.6240944559286366E-2</v>
          </cell>
          <cell r="J23" t="str">
            <v>5 estrellas</v>
          </cell>
          <cell r="K23">
            <v>2483</v>
          </cell>
          <cell r="M23">
            <v>2483</v>
          </cell>
          <cell r="O23">
            <v>0</v>
          </cell>
        </row>
        <row r="24">
          <cell r="C24" t="str">
            <v>4 estrellas</v>
          </cell>
          <cell r="D24">
            <v>10523</v>
          </cell>
          <cell r="F24">
            <v>10650</v>
          </cell>
          <cell r="G24">
            <v>0.19833510251969383</v>
          </cell>
          <cell r="J24" t="str">
            <v>4 estrellas</v>
          </cell>
          <cell r="K24">
            <v>10523</v>
          </cell>
          <cell r="M24">
            <v>10650</v>
          </cell>
          <cell r="O24">
            <v>1.2068801672526846E-2</v>
          </cell>
        </row>
        <row r="25">
          <cell r="C25" t="str">
            <v>3 estrellas</v>
          </cell>
          <cell r="D25">
            <v>6683</v>
          </cell>
          <cell r="F25">
            <v>6683</v>
          </cell>
          <cell r="G25">
            <v>0.12445760470789802</v>
          </cell>
          <cell r="J25" t="str">
            <v>3 estrellas</v>
          </cell>
          <cell r="K25">
            <v>6683</v>
          </cell>
          <cell r="M25">
            <v>6683</v>
          </cell>
          <cell r="O25">
            <v>0</v>
          </cell>
        </row>
        <row r="26">
          <cell r="C26" t="str">
            <v>1 Y 2 estrellas</v>
          </cell>
          <cell r="D26">
            <v>603</v>
          </cell>
          <cell r="F26">
            <v>547</v>
          </cell>
          <cell r="G26">
            <v>1.0186788833640614E-2</v>
          </cell>
          <cell r="J26" t="str">
            <v>1 Y 2 estrellas</v>
          </cell>
          <cell r="K26">
            <v>547</v>
          </cell>
          <cell r="M26">
            <v>516</v>
          </cell>
          <cell r="O26">
            <v>-5.6672760511882997E-2</v>
          </cell>
        </row>
        <row r="27">
          <cell r="C27" t="str">
            <v>EXTRAHOTELERAS</v>
          </cell>
          <cell r="D27">
            <v>35173</v>
          </cell>
          <cell r="F27">
            <v>33334</v>
          </cell>
          <cell r="G27">
            <v>0.62077955937948115</v>
          </cell>
          <cell r="J27" t="str">
            <v>EXTRAHOTELERAS</v>
          </cell>
          <cell r="K27">
            <v>34131</v>
          </cell>
          <cell r="M27">
            <v>32712</v>
          </cell>
          <cell r="O27">
            <v>-4.1575107673376112E-2</v>
          </cell>
        </row>
        <row r="31">
          <cell r="C31" t="str">
            <v>PLAZAS ALOJATIVAS ESTIMADAS EN PUERTO DE LA CRUZ SEGÚN TIPOLOGÍA Y CATEGORÍA (*)</v>
          </cell>
          <cell r="J31" t="str">
            <v>PLAZAS ALOJATIVAS ESTIMADAS EN PUERTO DE LA CRUZ SEGÚN TIPOLOGÍA Y CATEGORÍA (*)</v>
          </cell>
        </row>
        <row r="32">
          <cell r="D32" t="str">
            <v>I semestre 2009</v>
          </cell>
          <cell r="F32" t="str">
            <v>I semestre 2010</v>
          </cell>
          <cell r="H32" t="str">
            <v>var. interanual</v>
          </cell>
          <cell r="K32" t="str">
            <v>II semestre 2009</v>
          </cell>
          <cell r="M32" t="str">
            <v>II semestre 2010</v>
          </cell>
          <cell r="O32" t="str">
            <v>var. interanual</v>
          </cell>
        </row>
        <row r="33">
          <cell r="C33" t="str">
            <v>TOTAL PLAZAS</v>
          </cell>
          <cell r="D33">
            <v>28846</v>
          </cell>
          <cell r="F33">
            <v>27225</v>
          </cell>
          <cell r="H33">
            <v>-5.6194966373153993E-2</v>
          </cell>
          <cell r="J33" t="str">
            <v>TOTAL PLAZAS</v>
          </cell>
          <cell r="K33">
            <v>28475</v>
          </cell>
          <cell r="M33">
            <v>25676</v>
          </cell>
          <cell r="O33">
            <v>-9.8296751536435467E-2</v>
          </cell>
        </row>
        <row r="34">
          <cell r="C34" t="str">
            <v>HOTELERAS</v>
          </cell>
          <cell r="D34">
            <v>16831</v>
          </cell>
          <cell r="F34">
            <v>16442</v>
          </cell>
          <cell r="H34">
            <v>-2.3112114550531755E-2</v>
          </cell>
          <cell r="J34" t="str">
            <v>HOTELERAS</v>
          </cell>
          <cell r="K34">
            <v>17038</v>
          </cell>
          <cell r="M34">
            <v>16158</v>
          </cell>
          <cell r="O34">
            <v>-5.1649254607348281E-2</v>
          </cell>
        </row>
        <row r="35">
          <cell r="C35" t="str">
            <v>4 y 5 estrellas</v>
          </cell>
          <cell r="D35">
            <v>13239</v>
          </cell>
          <cell r="F35">
            <v>12955</v>
          </cell>
          <cell r="G35">
            <v>0.47584940312213042</v>
          </cell>
          <cell r="H35">
            <v>-2.1451771281818868E-2</v>
          </cell>
          <cell r="J35" t="str">
            <v>4 y 5 estrellas</v>
          </cell>
          <cell r="K35">
            <v>13551</v>
          </cell>
          <cell r="M35">
            <v>12955</v>
          </cell>
          <cell r="N35">
            <v>0.50455678454587938</v>
          </cell>
          <cell r="O35">
            <v>-4.3981993948786068E-2</v>
          </cell>
        </row>
        <row r="36">
          <cell r="C36" t="str">
            <v>3 estrellas</v>
          </cell>
          <cell r="D36">
            <v>3219</v>
          </cell>
          <cell r="F36">
            <v>3114</v>
          </cell>
          <cell r="G36">
            <v>0.11438016528925619</v>
          </cell>
          <cell r="H36">
            <v>-3.2618825722273995E-2</v>
          </cell>
          <cell r="J36" t="str">
            <v>3 estrellas</v>
          </cell>
          <cell r="K36">
            <v>3114</v>
          </cell>
          <cell r="M36">
            <v>2830</v>
          </cell>
          <cell r="N36">
            <v>0.11021966038323726</v>
          </cell>
          <cell r="O36">
            <v>-9.1201027617212591E-2</v>
          </cell>
        </row>
        <row r="37">
          <cell r="C37" t="str">
            <v>1 Y 2 estrellas</v>
          </cell>
          <cell r="D37">
            <v>373</v>
          </cell>
          <cell r="F37">
            <v>373</v>
          </cell>
          <cell r="G37">
            <v>1.3700642791551882E-2</v>
          </cell>
          <cell r="H37">
            <v>0</v>
          </cell>
          <cell r="J37" t="str">
            <v>1 Y 2 estrellas</v>
          </cell>
          <cell r="K37">
            <v>373</v>
          </cell>
          <cell r="M37">
            <v>373</v>
          </cell>
          <cell r="N37">
            <v>1.4527184919769435E-2</v>
          </cell>
          <cell r="O37">
            <v>0</v>
          </cell>
        </row>
        <row r="38">
          <cell r="C38" t="str">
            <v>EXTRAHOTELERAS</v>
          </cell>
          <cell r="D38">
            <v>12015</v>
          </cell>
          <cell r="F38">
            <v>10783</v>
          </cell>
          <cell r="G38">
            <v>0.39606978879706151</v>
          </cell>
          <cell r="H38">
            <v>-0.10253849354972951</v>
          </cell>
          <cell r="J38" t="str">
            <v>EXTRAHOTELERAS</v>
          </cell>
          <cell r="K38">
            <v>11437</v>
          </cell>
          <cell r="M38">
            <v>9518</v>
          </cell>
          <cell r="N38">
            <v>0.3706963701511139</v>
          </cell>
          <cell r="O38">
            <v>-0.16778875579260297</v>
          </cell>
        </row>
        <row r="42">
          <cell r="C42" t="str">
            <v>PLAZAS ALOJATIVAS ESTIMADAS EN SANTA CRUZ SEGÚN TIPOLOGÍA Y CATEGORÍA (*)</v>
          </cell>
          <cell r="J42" t="str">
            <v>PLAZAS ALOJATIVAS ESTIMADAS EN SANTA CRUZ SEGÚN TIPOLOGÍA Y CATEGORÍA (*)</v>
          </cell>
        </row>
        <row r="43">
          <cell r="D43" t="str">
            <v>I semestre 2009</v>
          </cell>
          <cell r="F43" t="str">
            <v>I semestre 2010</v>
          </cell>
          <cell r="H43" t="str">
            <v>var. interanual</v>
          </cell>
          <cell r="K43" t="str">
            <v>II semestre 2009</v>
          </cell>
          <cell r="M43" t="str">
            <v>II semestre 2010</v>
          </cell>
          <cell r="O43" t="str">
            <v>var. interanual</v>
          </cell>
        </row>
        <row r="44">
          <cell r="C44" t="str">
            <v>TOTAL PLAZAS</v>
          </cell>
          <cell r="D44">
            <v>2531</v>
          </cell>
          <cell r="F44">
            <v>2504</v>
          </cell>
          <cell r="H44">
            <v>-1.066772026866851E-2</v>
          </cell>
          <cell r="K44">
            <v>2504</v>
          </cell>
          <cell r="M44">
            <v>1947</v>
          </cell>
          <cell r="O44">
            <v>-0.222444089456869</v>
          </cell>
        </row>
        <row r="45">
          <cell r="C45" t="str">
            <v>HOTELERAS</v>
          </cell>
          <cell r="D45">
            <v>2531</v>
          </cell>
          <cell r="F45">
            <v>2504</v>
          </cell>
          <cell r="H45">
            <v>-1.066772026866851E-2</v>
          </cell>
          <cell r="K45">
            <v>2504</v>
          </cell>
          <cell r="M45">
            <v>1947</v>
          </cell>
          <cell r="O45">
            <v>-0.222444089456869</v>
          </cell>
        </row>
        <row r="46">
          <cell r="C46" t="str">
            <v>4 y 5 estrellas</v>
          </cell>
          <cell r="D46">
            <v>1050</v>
          </cell>
          <cell r="F46">
            <v>1050</v>
          </cell>
          <cell r="G46">
            <v>0.41932907348242809</v>
          </cell>
          <cell r="H46">
            <v>0</v>
          </cell>
          <cell r="J46" t="str">
            <v>4 y 5 estrellas</v>
          </cell>
          <cell r="K46">
            <v>1050</v>
          </cell>
          <cell r="M46">
            <v>493</v>
          </cell>
          <cell r="N46">
            <v>0.25321006676938879</v>
          </cell>
          <cell r="O46">
            <v>-0.53047619047619043</v>
          </cell>
        </row>
        <row r="47">
          <cell r="C47" t="str">
            <v>3 estrellas</v>
          </cell>
          <cell r="D47">
            <v>580</v>
          </cell>
          <cell r="F47">
            <v>580</v>
          </cell>
          <cell r="G47">
            <v>0.23162939297124602</v>
          </cell>
          <cell r="H47">
            <v>0</v>
          </cell>
          <cell r="J47" t="str">
            <v>3 estrellas</v>
          </cell>
          <cell r="K47">
            <v>580</v>
          </cell>
          <cell r="M47">
            <v>580</v>
          </cell>
          <cell r="N47">
            <v>0.29789419619928093</v>
          </cell>
          <cell r="O47">
            <v>0</v>
          </cell>
        </row>
        <row r="48">
          <cell r="C48" t="str">
            <v>2 estrellas</v>
          </cell>
          <cell r="D48">
            <v>674</v>
          </cell>
          <cell r="F48">
            <v>674</v>
          </cell>
          <cell r="G48">
            <v>0.26916932907348246</v>
          </cell>
          <cell r="H48">
            <v>0</v>
          </cell>
          <cell r="J48" t="str">
            <v>2 estrellas</v>
          </cell>
          <cell r="K48">
            <v>674</v>
          </cell>
          <cell r="M48">
            <v>674</v>
          </cell>
          <cell r="N48">
            <v>0.34617360041088857</v>
          </cell>
          <cell r="O48">
            <v>0</v>
          </cell>
        </row>
        <row r="49">
          <cell r="C49" t="str">
            <v>1 estrella</v>
          </cell>
          <cell r="D49">
            <v>227</v>
          </cell>
          <cell r="F49">
            <v>200</v>
          </cell>
          <cell r="G49">
            <v>7.9872204472843447E-2</v>
          </cell>
          <cell r="H49">
            <v>-0.11894273127753303</v>
          </cell>
          <cell r="J49" t="str">
            <v>1 estrella</v>
          </cell>
          <cell r="K49">
            <v>200</v>
          </cell>
          <cell r="M49">
            <v>200</v>
          </cell>
          <cell r="N49">
            <v>0.1027221366204417</v>
          </cell>
          <cell r="O49">
            <v>0</v>
          </cell>
        </row>
        <row r="50">
          <cell r="C50" t="str">
            <v>EXTRAHOTELERAS</v>
          </cell>
          <cell r="D50">
            <v>0</v>
          </cell>
          <cell r="F50">
            <v>0</v>
          </cell>
          <cell r="H50" t="str">
            <v>-</v>
          </cell>
          <cell r="K50">
            <v>0</v>
          </cell>
          <cell r="M50">
            <v>0</v>
          </cell>
          <cell r="O50" t="str">
            <v>-</v>
          </cell>
        </row>
      </sheetData>
      <sheetData sheetId="140"/>
      <sheetData sheetId="141"/>
      <sheetData sheetId="142"/>
      <sheetData sheetId="143">
        <row r="3">
          <cell r="A3" t="str">
            <v>Suma de Plazas</v>
          </cell>
        </row>
      </sheetData>
      <sheetData sheetId="144">
        <row r="5">
          <cell r="C5" t="str">
            <v>julio 2010</v>
          </cell>
        </row>
        <row r="6">
          <cell r="D6" t="str">
            <v>TOTAL PLAZAS</v>
          </cell>
          <cell r="F6" t="str">
            <v>HOTELEROS</v>
          </cell>
          <cell r="H6" t="str">
            <v>APARTEMENTOS</v>
          </cell>
          <cell r="J6" t="str">
            <v>HOTELES RURALES</v>
          </cell>
          <cell r="L6" t="str">
            <v>CASAS RURALES</v>
          </cell>
        </row>
        <row r="39">
          <cell r="D39">
            <v>134373</v>
          </cell>
          <cell r="F39">
            <v>81957</v>
          </cell>
          <cell r="H39">
            <v>51167</v>
          </cell>
          <cell r="J39">
            <v>473</v>
          </cell>
          <cell r="L39">
            <v>776</v>
          </cell>
        </row>
      </sheetData>
      <sheetData sheetId="145"/>
      <sheetData sheetId="146"/>
      <sheetData sheetId="147">
        <row r="4">
          <cell r="A4" t="str">
            <v>Suma de Plazas</v>
          </cell>
        </row>
      </sheetData>
      <sheetData sheetId="148">
        <row r="6">
          <cell r="C6" t="str">
            <v xml:space="preserve">DISTRIBUCIÓN DE LAS PLAZAS TURÍSTICAS AUTORIZADAS EN ADEJE SEGÚN TIPOLOGÍA Y CATEGORÍA </v>
          </cell>
          <cell r="G6" t="str">
            <v xml:space="preserve">DISTRIBUCIÓN DE LAS PLAZAS TURÍSTICAS AUTORIZADAS EN ARONA SEGÚN TIPOLOGÍA Y CATEGORÍA </v>
          </cell>
        </row>
        <row r="7">
          <cell r="D7" t="str">
            <v>julio 2010</v>
          </cell>
          <cell r="H7" t="str">
            <v>julio 2010</v>
          </cell>
        </row>
        <row r="9">
          <cell r="C9" t="str">
            <v>Hoteleras</v>
          </cell>
          <cell r="E9">
            <v>0.71499852002198827</v>
          </cell>
          <cell r="G9" t="str">
            <v>Hoteleras</v>
          </cell>
          <cell r="I9">
            <v>0.41962142080921933</v>
          </cell>
        </row>
        <row r="16">
          <cell r="C16" t="str">
            <v>Extrahoteleras</v>
          </cell>
          <cell r="E16">
            <v>0.28424034842910906</v>
          </cell>
          <cell r="G16" t="str">
            <v>Extrahoteleras</v>
          </cell>
          <cell r="I16">
            <v>0.57987313300816301</v>
          </cell>
        </row>
        <row r="23">
          <cell r="C23" t="str">
            <v>Hoteles Rurales</v>
          </cell>
          <cell r="E23">
            <v>4.6513594655165123E-4</v>
          </cell>
          <cell r="G23" t="str">
            <v>Hoteles Rurales</v>
          </cell>
          <cell r="I23">
            <v>0</v>
          </cell>
        </row>
        <row r="27">
          <cell r="C27" t="str">
            <v>Casas Rurales</v>
          </cell>
          <cell r="E27">
            <v>2.9599560235105078E-4</v>
          </cell>
          <cell r="G27" t="str">
            <v>Casas Rurales</v>
          </cell>
          <cell r="I27">
            <v>5.0544618261770579E-4</v>
          </cell>
        </row>
        <row r="35">
          <cell r="C35" t="str">
            <v xml:space="preserve">DISTRIBUCIÓN DE LAS PLAZAS TURÍSTICAS AUTORIZADAS EN PUERTO DE LA CRUZ SEGÚN TIPOLOGÍA Y CATEGORÍA </v>
          </cell>
          <cell r="G35" t="str">
            <v xml:space="preserve">DISTRIBUCIÓN DE LAS PLAZAS TURÍSTICAS AUTORIZADAS EN SANTA CRUZ SEGÚN TIPOLOGÍA Y CATEGORÍA </v>
          </cell>
        </row>
        <row r="36">
          <cell r="D36" t="str">
            <v>julio 2010</v>
          </cell>
          <cell r="H36" t="str">
            <v>julio 2010</v>
          </cell>
        </row>
        <row r="38">
          <cell r="C38" t="str">
            <v>Hoteleras</v>
          </cell>
          <cell r="E38">
            <v>0.70570609692548203</v>
          </cell>
          <cell r="G38" t="str">
            <v>Hoteleras</v>
          </cell>
          <cell r="I38">
            <v>0.99478972832154822</v>
          </cell>
        </row>
        <row r="45">
          <cell r="C45" t="str">
            <v>Extrahoteleras</v>
          </cell>
          <cell r="E45">
            <v>0.29429390307451797</v>
          </cell>
          <cell r="G45" t="str">
            <v>Extrahoteleras</v>
          </cell>
          <cell r="I45">
            <v>2.2329735764793448E-3</v>
          </cell>
        </row>
        <row r="56">
          <cell r="C56" t="str">
            <v>Casas Rurales</v>
          </cell>
          <cell r="E56">
            <v>0</v>
          </cell>
          <cell r="G56" t="str">
            <v>Casas Rurales</v>
          </cell>
          <cell r="I56">
            <v>2.9772981019724602E-3</v>
          </cell>
        </row>
      </sheetData>
      <sheetData sheetId="149"/>
      <sheetData sheetId="15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25">
          <cell r="A25" t="str">
            <v>TOTAL</v>
          </cell>
          <cell r="B25" t="str">
            <v>Total</v>
          </cell>
          <cell r="D25" t="str">
            <v>TOTAL</v>
          </cell>
          <cell r="E25" t="str">
            <v>Total</v>
          </cell>
        </row>
        <row r="26">
          <cell r="B26" t="str">
            <v>Hotelera</v>
          </cell>
          <cell r="E26" t="str">
            <v>Hotelera</v>
          </cell>
        </row>
        <row r="27">
          <cell r="B27" t="str">
            <v>Extrahotelera</v>
          </cell>
          <cell r="E27" t="str">
            <v>Extrahotelera</v>
          </cell>
        </row>
        <row r="28">
          <cell r="A28" t="str">
            <v>ZONA 1</v>
          </cell>
          <cell r="B28" t="str">
            <v>Total</v>
          </cell>
          <cell r="D28" t="str">
            <v>ADEJE</v>
          </cell>
          <cell r="E28" t="str">
            <v>Total</v>
          </cell>
        </row>
        <row r="29">
          <cell r="B29" t="str">
            <v>Hotelera</v>
          </cell>
          <cell r="E29" t="str">
            <v>Hotelera</v>
          </cell>
        </row>
        <row r="30">
          <cell r="B30" t="str">
            <v>Extrahotelera</v>
          </cell>
          <cell r="E30" t="str">
            <v>Extrahotelera</v>
          </cell>
        </row>
        <row r="31">
          <cell r="A31" t="str">
            <v>ZONA 2</v>
          </cell>
          <cell r="B31" t="str">
            <v>Total</v>
          </cell>
          <cell r="D31" t="str">
            <v>ARONA</v>
          </cell>
          <cell r="E31" t="str">
            <v>Total</v>
          </cell>
        </row>
        <row r="32">
          <cell r="B32" t="str">
            <v>Hotelera</v>
          </cell>
          <cell r="E32" t="str">
            <v>Hotelera</v>
          </cell>
        </row>
        <row r="33">
          <cell r="B33" t="str">
            <v>Extrahotelera</v>
          </cell>
          <cell r="E33" t="str">
            <v>Extrahotelera</v>
          </cell>
        </row>
        <row r="34">
          <cell r="A34" t="str">
            <v>ZONA 3</v>
          </cell>
          <cell r="B34" t="str">
            <v>Total</v>
          </cell>
          <cell r="D34" t="str">
            <v>PUERTO DE LA CRUZ</v>
          </cell>
          <cell r="E34" t="str">
            <v>Total</v>
          </cell>
        </row>
        <row r="35">
          <cell r="B35" t="str">
            <v>Hotelera</v>
          </cell>
          <cell r="E35" t="str">
            <v>Hotelera</v>
          </cell>
        </row>
        <row r="36">
          <cell r="B36" t="str">
            <v>Extrahotelera</v>
          </cell>
          <cell r="E36" t="str">
            <v>Extrahotelera</v>
          </cell>
        </row>
        <row r="37">
          <cell r="A37" t="str">
            <v>PUERTO DE LA CRUZ</v>
          </cell>
          <cell r="B37" t="str">
            <v>Total</v>
          </cell>
          <cell r="D37" t="str">
            <v>SANTA CRUZ</v>
          </cell>
          <cell r="E37" t="str">
            <v>Total</v>
          </cell>
        </row>
        <row r="38">
          <cell r="B38" t="str">
            <v>Hotelera</v>
          </cell>
          <cell r="E38" t="str">
            <v>Hotelera</v>
          </cell>
        </row>
        <row r="39">
          <cell r="B39" t="str">
            <v>Extrahotelera</v>
          </cell>
          <cell r="E39" t="str">
            <v>Extrahotelera</v>
          </cell>
        </row>
        <row r="40">
          <cell r="A40" t="str">
            <v>ZONA 4</v>
          </cell>
          <cell r="B40" t="str">
            <v>Total</v>
          </cell>
        </row>
        <row r="41">
          <cell r="B41" t="str">
            <v>Hotelera</v>
          </cell>
        </row>
        <row r="42">
          <cell r="B42" t="str">
            <v>Extrahotelera</v>
          </cell>
        </row>
        <row r="43">
          <cell r="A43" t="str">
            <v>ADEJE</v>
          </cell>
          <cell r="B43" t="str">
            <v>Total</v>
          </cell>
        </row>
        <row r="44">
          <cell r="B44" t="str">
            <v>Hotelera</v>
          </cell>
        </row>
        <row r="45">
          <cell r="B45" t="str">
            <v>Extrahotelera</v>
          </cell>
        </row>
        <row r="46">
          <cell r="A46" t="str">
            <v>ARONA</v>
          </cell>
          <cell r="B46" t="str">
            <v>Total</v>
          </cell>
        </row>
        <row r="47">
          <cell r="B47" t="str">
            <v>Hotelera</v>
          </cell>
        </row>
        <row r="48">
          <cell r="B48" t="str">
            <v>Extrahotelera</v>
          </cell>
        </row>
      </sheetData>
      <sheetData sheetId="151">
        <row r="2">
          <cell r="A2" t="str">
            <v xml:space="preserve">acumulado julio 2010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8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9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0.vml"/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1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3.v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04.bin"/><Relationship Id="rId4" Type="http://schemas.openxmlformats.org/officeDocument/2006/relationships/comments" Target="../comments2.xm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4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0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3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6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7.vml"/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J68"/>
  <sheetViews>
    <sheetView showGridLines="0" showRowColHeaders="0" tabSelected="1" showOutlineSymbols="0" zoomScaleNormal="100" workbookViewId="0">
      <selection activeCell="I13" sqref="I13"/>
    </sheetView>
  </sheetViews>
  <sheetFormatPr baseColWidth="10" defaultRowHeight="12.75"/>
  <cols>
    <col min="1" max="2" width="13.42578125" style="2" customWidth="1"/>
    <col min="3" max="4" width="5.7109375" style="2" customWidth="1"/>
    <col min="5" max="5" width="88" style="2" bestFit="1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0.25">
      <c r="C5" s="1"/>
      <c r="D5" s="3" t="s">
        <v>0</v>
      </c>
      <c r="E5" s="3"/>
      <c r="F5" s="3"/>
      <c r="G5" s="1"/>
    </row>
    <row r="6" spans="3:7" ht="20.100000000000001" customHeight="1">
      <c r="C6" s="1"/>
      <c r="D6" s="3" t="str">
        <f>actualizaciones!A2</f>
        <v xml:space="preserve">acumulado julio 2010 </v>
      </c>
      <c r="E6" s="3"/>
      <c r="F6" s="3"/>
      <c r="G6" s="1"/>
    </row>
    <row r="7" spans="3:7" ht="20.100000000000001" customHeight="1">
      <c r="C7" s="1"/>
      <c r="D7" s="4"/>
      <c r="E7" s="4"/>
      <c r="F7" s="4"/>
      <c r="G7" s="1"/>
    </row>
    <row r="8" spans="3:7" ht="20.100000000000001" customHeight="1">
      <c r="C8" s="1"/>
      <c r="D8" s="5"/>
      <c r="E8" s="5"/>
      <c r="F8" s="5"/>
      <c r="G8" s="1"/>
    </row>
    <row r="9" spans="3:7" ht="15" customHeight="1">
      <c r="C9" s="1"/>
      <c r="D9" s="6"/>
      <c r="E9" s="7"/>
      <c r="F9" s="6"/>
      <c r="G9" s="1"/>
    </row>
    <row r="10" spans="3:7" ht="24.95" customHeight="1">
      <c r="C10" s="1"/>
      <c r="D10" s="6"/>
      <c r="E10" s="8" t="s">
        <v>1</v>
      </c>
      <c r="F10" s="6"/>
      <c r="G10" s="1"/>
    </row>
    <row r="11" spans="3:7" ht="24.95" customHeight="1">
      <c r="C11" s="1"/>
      <c r="D11" s="6"/>
      <c r="E11" s="8" t="s">
        <v>2</v>
      </c>
      <c r="F11" s="6"/>
      <c r="G11" s="1"/>
    </row>
    <row r="12" spans="3:7" ht="24.95" customHeight="1">
      <c r="C12" s="1"/>
      <c r="D12" s="6"/>
      <c r="E12" s="8" t="s">
        <v>3</v>
      </c>
      <c r="F12" s="6"/>
      <c r="G12" s="1"/>
    </row>
    <row r="13" spans="3:7" ht="24.95" customHeight="1">
      <c r="C13" s="1"/>
      <c r="D13" s="6"/>
      <c r="E13" s="8" t="s">
        <v>4</v>
      </c>
      <c r="F13" s="6"/>
      <c r="G13" s="1"/>
    </row>
    <row r="14" spans="3:7" ht="24.95" customHeight="1">
      <c r="C14" s="1"/>
      <c r="D14" s="6"/>
      <c r="E14" s="8" t="s">
        <v>5</v>
      </c>
      <c r="F14" s="6"/>
      <c r="G14" s="1"/>
    </row>
    <row r="15" spans="3:7" ht="24.95" customHeight="1">
      <c r="C15" s="1"/>
      <c r="D15" s="6"/>
      <c r="E15" s="8" t="s">
        <v>6</v>
      </c>
      <c r="F15" s="6"/>
      <c r="G15" s="1"/>
    </row>
    <row r="16" spans="3:7" ht="24.95" customHeight="1">
      <c r="C16" s="1"/>
      <c r="D16" s="6"/>
      <c r="E16" s="8" t="s">
        <v>7</v>
      </c>
      <c r="F16" s="6"/>
      <c r="G16" s="1"/>
    </row>
    <row r="17" spans="3:10" ht="15" customHeight="1">
      <c r="C17" s="1"/>
      <c r="D17" s="6"/>
      <c r="E17" s="9"/>
      <c r="F17" s="6"/>
      <c r="G17" s="1"/>
    </row>
    <row r="18" spans="3:10" ht="20.100000000000001" customHeight="1">
      <c r="C18" s="1"/>
      <c r="D18" s="10"/>
      <c r="E18" s="10"/>
      <c r="F18" s="10"/>
      <c r="G18" s="1"/>
    </row>
    <row r="19" spans="3:10" ht="20.100000000000001" customHeight="1">
      <c r="C19" s="1"/>
      <c r="D19" s="1"/>
      <c r="E19" s="1"/>
      <c r="F19" s="1"/>
      <c r="G19" s="1"/>
    </row>
    <row r="21" spans="3:10" ht="15" customHeight="1"/>
    <row r="22" spans="3:10" ht="15" customHeight="1">
      <c r="C22" s="11" t="s">
        <v>8</v>
      </c>
      <c r="D22" s="11"/>
      <c r="E22" s="11"/>
      <c r="F22" s="11"/>
      <c r="G22" s="11"/>
    </row>
    <row r="23" spans="3:10" ht="15" customHeight="1"/>
    <row r="24" spans="3:10" ht="15" customHeight="1"/>
    <row r="25" spans="3:10" ht="15" customHeight="1">
      <c r="J25" s="12"/>
    </row>
    <row r="26" spans="3:10" ht="15" customHeight="1">
      <c r="C26" s="12"/>
      <c r="D26" s="12"/>
      <c r="E26" s="12"/>
      <c r="F26" s="12"/>
      <c r="G26" s="12"/>
      <c r="H26" s="12"/>
      <c r="I26" s="12"/>
    </row>
    <row r="27" spans="3:10" ht="15" customHeight="1"/>
    <row r="28" spans="3:10" ht="15" customHeight="1"/>
    <row r="29" spans="3:10" ht="15" customHeight="1"/>
    <row r="30" spans="3:10" ht="15" customHeight="1"/>
    <row r="31" spans="3:10" ht="15" customHeight="1"/>
    <row r="32" spans="3:10" ht="15" customHeight="1"/>
    <row r="33" spans="2:2" ht="15" customHeight="1"/>
    <row r="34" spans="2:2" ht="15" customHeight="1"/>
    <row r="35" spans="2:2" ht="15" customHeight="1"/>
    <row r="36" spans="2:2" ht="15" customHeight="1"/>
    <row r="37" spans="2:2" ht="15" customHeight="1"/>
    <row r="38" spans="2:2" ht="15" customHeight="1">
      <c r="B38" s="13"/>
    </row>
    <row r="39" spans="2:2" ht="15" customHeight="1"/>
    <row r="40" spans="2:2" ht="15" customHeight="1"/>
    <row r="41" spans="2:2" ht="15" customHeight="1"/>
    <row r="42" spans="2:2" ht="15" customHeight="1"/>
    <row r="43" spans="2:2" ht="15" customHeight="1"/>
    <row r="44" spans="2:2" ht="15" customHeight="1"/>
    <row r="45" spans="2:2" ht="15" customHeight="1"/>
    <row r="46" spans="2:2" ht="15" customHeight="1"/>
    <row r="47" spans="2:2" ht="15" customHeight="1"/>
    <row r="48" spans="2:2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</sheetData>
  <mergeCells count="3">
    <mergeCell ref="D5:F5"/>
    <mergeCell ref="D6:F6"/>
    <mergeCell ref="C22:G22"/>
  </mergeCells>
  <hyperlinks>
    <hyperlink ref="E10" location="'Menú Turismo alojado'!A1" tooltip="Ir a menú turismo alojado" display="Turismo alojado (2003 - 2004)"/>
    <hyperlink ref="E11" location="'Menú Pernoctaciones'!A1" tooltip="Ir a menú pernoctaciones" display="Pernoctaciones (2003 - 2004)"/>
    <hyperlink ref="E12" location="'Menú IO'!A1" tooltip="Ir a menú Indice de Ocupación" display="Indices de ocupación"/>
    <hyperlink ref="E13" location="'Menú EM'!A1" tooltip="Ir a menú Estancias Medias" display="Estancias Medias "/>
    <hyperlink ref="E15" location="'Menú Oferta Alojativa'!A1" tooltip="Ir a menú Plazas alojativas estimadas" display="Plazas alojativas estimadas"/>
    <hyperlink ref="E16" location="'Menú plazas autorizadas'!A1" tooltip="Ir a menú plazas alojativas autorizadas" display="Plazas alojativas autorizadas"/>
    <hyperlink ref="E14" location="'Menú municipios turísticos'!A1" tooltip="Municipios turísticos" display="Municipios turísticos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13">
    <tabColor theme="4" tint="-0.499984740745262"/>
    <pageSetUpPr autoPageBreaks="0" fitToPage="1"/>
  </sheetPr>
  <dimension ref="D6:N80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14" t="s">
        <v>81</v>
      </c>
      <c r="E6" s="14"/>
      <c r="F6" s="14"/>
      <c r="G6" s="14"/>
    </row>
    <row r="7" spans="4:7" ht="15" customHeight="1">
      <c r="D7" s="15"/>
      <c r="E7" s="1"/>
      <c r="F7" s="1"/>
      <c r="G7" s="1"/>
    </row>
    <row r="8" spans="4:7" ht="24.95" customHeight="1">
      <c r="D8" s="15"/>
      <c r="E8" s="24" t="s">
        <v>19</v>
      </c>
      <c r="F8" s="25"/>
      <c r="G8" s="25"/>
    </row>
    <row r="9" spans="4:7" ht="15" customHeight="1">
      <c r="D9" s="15"/>
      <c r="E9" s="1"/>
      <c r="F9" s="1"/>
      <c r="G9" s="1"/>
    </row>
    <row r="10" spans="4:7" ht="20.100000000000001" customHeight="1">
      <c r="D10" s="1"/>
      <c r="E10" s="16" t="s">
        <v>10</v>
      </c>
      <c r="F10" s="6"/>
      <c r="G10" s="6"/>
    </row>
    <row r="11" spans="4:7" ht="20.100000000000001" customHeight="1">
      <c r="D11" s="1"/>
      <c r="E11" s="1"/>
      <c r="F11" s="17"/>
      <c r="G11" s="1"/>
    </row>
    <row r="12" spans="4:7" ht="20.100000000000001" customHeight="1">
      <c r="D12" s="1"/>
      <c r="E12" s="1"/>
      <c r="F12" s="18" t="s">
        <v>22</v>
      </c>
      <c r="G12" s="1"/>
    </row>
    <row r="13" spans="4:7" ht="20.100000000000001" customHeight="1">
      <c r="D13" s="1"/>
      <c r="E13" s="1"/>
      <c r="F13" s="18" t="s">
        <v>21</v>
      </c>
      <c r="G13" s="1"/>
    </row>
    <row r="14" spans="4:7" ht="20.100000000000001" customHeight="1">
      <c r="D14" s="1"/>
      <c r="E14" s="1"/>
      <c r="F14" s="17"/>
      <c r="G14" s="1"/>
    </row>
    <row r="15" spans="4:7" ht="20.100000000000001" customHeight="1">
      <c r="D15" s="15"/>
      <c r="E15" s="24" t="str">
        <f>actualizaciones!A2</f>
        <v xml:space="preserve">acumulado julio 2010 </v>
      </c>
      <c r="F15" s="25"/>
      <c r="G15" s="25"/>
    </row>
    <row r="16" spans="4:7" ht="20.100000000000001" customHeight="1">
      <c r="D16" s="15"/>
      <c r="E16" s="1"/>
      <c r="F16" s="1"/>
      <c r="G16" s="1"/>
    </row>
    <row r="17" spans="4:14" ht="20.100000000000001" customHeight="1">
      <c r="D17" s="1"/>
      <c r="E17" s="16" t="s">
        <v>10</v>
      </c>
      <c r="F17" s="6"/>
      <c r="G17" s="6"/>
    </row>
    <row r="18" spans="4:14" ht="20.100000000000001" customHeight="1">
      <c r="D18" s="1"/>
      <c r="E18" s="1"/>
      <c r="F18" s="17"/>
      <c r="G18" s="1"/>
    </row>
    <row r="19" spans="4:14" ht="20.100000000000001" customHeight="1">
      <c r="D19" s="1"/>
      <c r="E19" s="1"/>
      <c r="F19" s="18" t="s">
        <v>82</v>
      </c>
      <c r="G19" s="1"/>
    </row>
    <row r="20" spans="4:14" ht="20.100000000000001" customHeight="1">
      <c r="D20" s="1"/>
      <c r="E20" s="1"/>
      <c r="F20" s="18" t="s">
        <v>83</v>
      </c>
      <c r="G20" s="1"/>
    </row>
    <row r="21" spans="4:14" ht="20.100000000000001" customHeight="1">
      <c r="D21" s="1"/>
      <c r="E21" s="1"/>
      <c r="F21" s="18" t="s">
        <v>84</v>
      </c>
      <c r="G21" s="1"/>
    </row>
    <row r="22" spans="4:14" ht="15" customHeight="1">
      <c r="D22" s="1"/>
      <c r="E22" s="1"/>
      <c r="F22" s="17"/>
      <c r="G22" s="1"/>
    </row>
    <row r="23" spans="4:14" ht="15" customHeight="1">
      <c r="D23" s="1"/>
      <c r="E23" s="16" t="s">
        <v>17</v>
      </c>
      <c r="F23" s="6"/>
      <c r="G23" s="6"/>
    </row>
    <row r="24" spans="4:14" ht="20.100000000000001" customHeight="1">
      <c r="D24" s="1"/>
      <c r="E24" s="1"/>
      <c r="F24" s="17"/>
      <c r="G24" s="1"/>
    </row>
    <row r="25" spans="4:14" ht="20.100000000000001" customHeight="1">
      <c r="D25" s="1"/>
      <c r="E25" s="1"/>
      <c r="F25" s="18" t="s">
        <v>85</v>
      </c>
      <c r="G25" s="1"/>
    </row>
    <row r="26" spans="4:14" ht="15" customHeight="1">
      <c r="D26" s="1"/>
      <c r="E26" s="20"/>
      <c r="F26" s="19" t="s">
        <v>83</v>
      </c>
      <c r="G26" s="1"/>
    </row>
    <row r="27" spans="4:14" ht="15" customHeight="1">
      <c r="D27" s="1"/>
      <c r="E27" s="20"/>
      <c r="F27" s="20"/>
      <c r="G27" s="1"/>
    </row>
    <row r="28" spans="4:14" ht="15" customHeight="1"/>
    <row r="29" spans="4:14" ht="15" customHeight="1">
      <c r="D29" s="11" t="s">
        <v>8</v>
      </c>
      <c r="E29" s="11"/>
      <c r="F29" s="11"/>
      <c r="G29" s="11"/>
      <c r="H29" s="12"/>
      <c r="I29" s="12"/>
      <c r="J29" s="12"/>
      <c r="K29" s="12"/>
      <c r="L29" s="12"/>
      <c r="M29" s="12"/>
      <c r="N29" s="12"/>
    </row>
    <row r="30" spans="4:14" ht="15" customHeight="1">
      <c r="D30" s="12"/>
      <c r="E30" s="12"/>
      <c r="F30" s="12"/>
      <c r="G30" s="12"/>
    </row>
    <row r="31" spans="4:14" ht="20.100000000000001" customHeight="1"/>
    <row r="32" spans="4:14" ht="15" customHeight="1"/>
    <row r="33" spans="4:6" ht="15" customHeight="1">
      <c r="E33" s="22"/>
      <c r="F33" s="23"/>
    </row>
    <row r="34" spans="4:6" ht="15" customHeight="1"/>
    <row r="35" spans="4:6" ht="15" customHeight="1">
      <c r="D35" s="21"/>
    </row>
    <row r="36" spans="4:6" ht="15" customHeight="1"/>
    <row r="37" spans="4:6" ht="15" customHeight="1"/>
    <row r="38" spans="4:6" ht="15" customHeight="1"/>
    <row r="39" spans="4:6" ht="15" customHeight="1"/>
    <row r="40" spans="4:6" ht="15" customHeight="1">
      <c r="D40" s="21"/>
    </row>
    <row r="41" spans="4:6" ht="15" customHeight="1"/>
    <row r="42" spans="4:6" ht="15" customHeight="1"/>
    <row r="43" spans="4:6" ht="15" customHeight="1"/>
    <row r="44" spans="4:6" ht="15" customHeight="1"/>
    <row r="45" spans="4:6" ht="15" customHeight="1"/>
    <row r="46" spans="4:6" ht="15" customHeight="1"/>
    <row r="47" spans="4:6" ht="15" customHeight="1"/>
    <row r="48" spans="4: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</sheetData>
  <mergeCells count="2">
    <mergeCell ref="D6:G6"/>
    <mergeCell ref="D29:G29"/>
  </mergeCells>
  <hyperlinks>
    <hyperlink ref="F13" location="'variación x zonas tipo '!A1" tooltip="Variación interanual" display="Variación interanual"/>
    <hyperlink ref="F12" location="'Tablas turistas zona y tip.'!A1" tooltip="Evolución anual" display="Evolución anual"/>
    <hyperlink ref="F26" location="'grafica zona mensual'!A1" tooltip="Evolución anual" display="Evolución mensual por zonas"/>
    <hyperlink ref="F20" location="'tablas Zonas mensual '!A1" tooltip="Evolución mensual " display="Evolución mensual "/>
    <hyperlink ref="F19" location="'Alojados zona tipología'!A1" tooltip="Zonas y tipología de establecimiento" display="Zonas y tipología de establecimiento"/>
    <hyperlink ref="F25" location="'Gráfico alojados zona y tipolog'!A1" tooltip="Distribución por zona y tipología" display="Distribución por zona y tipología"/>
    <hyperlink ref="F21" location="'Tablas Evo. mens. zonas y TIPO'!A1" tooltip="Evolución mensual por zonas tipología" display="Evolución mensual por zonas tipologí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Hoja66">
    <tabColor rgb="FF000099"/>
    <pageSetUpPr autoPageBreaks="0" fitToPage="1"/>
  </sheetPr>
  <dimension ref="B27:L28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1.42578125" style="194"/>
    <col min="2" max="2" width="5.7109375" style="194" customWidth="1"/>
    <col min="3" max="3" width="12.7109375" style="194" customWidth="1"/>
    <col min="4" max="257" width="11.42578125" style="194"/>
    <col min="258" max="258" width="5.7109375" style="194" customWidth="1"/>
    <col min="259" max="259" width="12.7109375" style="194" customWidth="1"/>
    <col min="260" max="513" width="11.42578125" style="194"/>
    <col min="514" max="514" width="5.7109375" style="194" customWidth="1"/>
    <col min="515" max="515" width="12.7109375" style="194" customWidth="1"/>
    <col min="516" max="769" width="11.42578125" style="194"/>
    <col min="770" max="770" width="5.7109375" style="194" customWidth="1"/>
    <col min="771" max="771" width="12.7109375" style="194" customWidth="1"/>
    <col min="772" max="1025" width="11.42578125" style="194"/>
    <col min="1026" max="1026" width="5.7109375" style="194" customWidth="1"/>
    <col min="1027" max="1027" width="12.7109375" style="194" customWidth="1"/>
    <col min="1028" max="1281" width="11.42578125" style="194"/>
    <col min="1282" max="1282" width="5.7109375" style="194" customWidth="1"/>
    <col min="1283" max="1283" width="12.7109375" style="194" customWidth="1"/>
    <col min="1284" max="1537" width="11.42578125" style="194"/>
    <col min="1538" max="1538" width="5.7109375" style="194" customWidth="1"/>
    <col min="1539" max="1539" width="12.7109375" style="194" customWidth="1"/>
    <col min="1540" max="1793" width="11.42578125" style="194"/>
    <col min="1794" max="1794" width="5.7109375" style="194" customWidth="1"/>
    <col min="1795" max="1795" width="12.7109375" style="194" customWidth="1"/>
    <col min="1796" max="2049" width="11.42578125" style="194"/>
    <col min="2050" max="2050" width="5.7109375" style="194" customWidth="1"/>
    <col min="2051" max="2051" width="12.7109375" style="194" customWidth="1"/>
    <col min="2052" max="2305" width="11.42578125" style="194"/>
    <col min="2306" max="2306" width="5.7109375" style="194" customWidth="1"/>
    <col min="2307" max="2307" width="12.7109375" style="194" customWidth="1"/>
    <col min="2308" max="2561" width="11.42578125" style="194"/>
    <col min="2562" max="2562" width="5.7109375" style="194" customWidth="1"/>
    <col min="2563" max="2563" width="12.7109375" style="194" customWidth="1"/>
    <col min="2564" max="2817" width="11.42578125" style="194"/>
    <col min="2818" max="2818" width="5.7109375" style="194" customWidth="1"/>
    <col min="2819" max="2819" width="12.7109375" style="194" customWidth="1"/>
    <col min="2820" max="3073" width="11.42578125" style="194"/>
    <col min="3074" max="3074" width="5.7109375" style="194" customWidth="1"/>
    <col min="3075" max="3075" width="12.7109375" style="194" customWidth="1"/>
    <col min="3076" max="3329" width="11.42578125" style="194"/>
    <col min="3330" max="3330" width="5.7109375" style="194" customWidth="1"/>
    <col min="3331" max="3331" width="12.7109375" style="194" customWidth="1"/>
    <col min="3332" max="3585" width="11.42578125" style="194"/>
    <col min="3586" max="3586" width="5.7109375" style="194" customWidth="1"/>
    <col min="3587" max="3587" width="12.7109375" style="194" customWidth="1"/>
    <col min="3588" max="3841" width="11.42578125" style="194"/>
    <col min="3842" max="3842" width="5.7109375" style="194" customWidth="1"/>
    <col min="3843" max="3843" width="12.7109375" style="194" customWidth="1"/>
    <col min="3844" max="4097" width="11.42578125" style="194"/>
    <col min="4098" max="4098" width="5.7109375" style="194" customWidth="1"/>
    <col min="4099" max="4099" width="12.7109375" style="194" customWidth="1"/>
    <col min="4100" max="4353" width="11.42578125" style="194"/>
    <col min="4354" max="4354" width="5.7109375" style="194" customWidth="1"/>
    <col min="4355" max="4355" width="12.7109375" style="194" customWidth="1"/>
    <col min="4356" max="4609" width="11.42578125" style="194"/>
    <col min="4610" max="4610" width="5.7109375" style="194" customWidth="1"/>
    <col min="4611" max="4611" width="12.7109375" style="194" customWidth="1"/>
    <col min="4612" max="4865" width="11.42578125" style="194"/>
    <col min="4866" max="4866" width="5.7109375" style="194" customWidth="1"/>
    <col min="4867" max="4867" width="12.7109375" style="194" customWidth="1"/>
    <col min="4868" max="5121" width="11.42578125" style="194"/>
    <col min="5122" max="5122" width="5.7109375" style="194" customWidth="1"/>
    <col min="5123" max="5123" width="12.7109375" style="194" customWidth="1"/>
    <col min="5124" max="5377" width="11.42578125" style="194"/>
    <col min="5378" max="5378" width="5.7109375" style="194" customWidth="1"/>
    <col min="5379" max="5379" width="12.7109375" style="194" customWidth="1"/>
    <col min="5380" max="5633" width="11.42578125" style="194"/>
    <col min="5634" max="5634" width="5.7109375" style="194" customWidth="1"/>
    <col min="5635" max="5635" width="12.7109375" style="194" customWidth="1"/>
    <col min="5636" max="5889" width="11.42578125" style="194"/>
    <col min="5890" max="5890" width="5.7109375" style="194" customWidth="1"/>
    <col min="5891" max="5891" width="12.7109375" style="194" customWidth="1"/>
    <col min="5892" max="6145" width="11.42578125" style="194"/>
    <col min="6146" max="6146" width="5.7109375" style="194" customWidth="1"/>
    <col min="6147" max="6147" width="12.7109375" style="194" customWidth="1"/>
    <col min="6148" max="6401" width="11.42578125" style="194"/>
    <col min="6402" max="6402" width="5.7109375" style="194" customWidth="1"/>
    <col min="6403" max="6403" width="12.7109375" style="194" customWidth="1"/>
    <col min="6404" max="6657" width="11.42578125" style="194"/>
    <col min="6658" max="6658" width="5.7109375" style="194" customWidth="1"/>
    <col min="6659" max="6659" width="12.7109375" style="194" customWidth="1"/>
    <col min="6660" max="6913" width="11.42578125" style="194"/>
    <col min="6914" max="6914" width="5.7109375" style="194" customWidth="1"/>
    <col min="6915" max="6915" width="12.7109375" style="194" customWidth="1"/>
    <col min="6916" max="7169" width="11.42578125" style="194"/>
    <col min="7170" max="7170" width="5.7109375" style="194" customWidth="1"/>
    <col min="7171" max="7171" width="12.7109375" style="194" customWidth="1"/>
    <col min="7172" max="7425" width="11.42578125" style="194"/>
    <col min="7426" max="7426" width="5.7109375" style="194" customWidth="1"/>
    <col min="7427" max="7427" width="12.7109375" style="194" customWidth="1"/>
    <col min="7428" max="7681" width="11.42578125" style="194"/>
    <col min="7682" max="7682" width="5.7109375" style="194" customWidth="1"/>
    <col min="7683" max="7683" width="12.7109375" style="194" customWidth="1"/>
    <col min="7684" max="7937" width="11.42578125" style="194"/>
    <col min="7938" max="7938" width="5.7109375" style="194" customWidth="1"/>
    <col min="7939" max="7939" width="12.7109375" style="194" customWidth="1"/>
    <col min="7940" max="8193" width="11.42578125" style="194"/>
    <col min="8194" max="8194" width="5.7109375" style="194" customWidth="1"/>
    <col min="8195" max="8195" width="12.7109375" style="194" customWidth="1"/>
    <col min="8196" max="8449" width="11.42578125" style="194"/>
    <col min="8450" max="8450" width="5.7109375" style="194" customWidth="1"/>
    <col min="8451" max="8451" width="12.7109375" style="194" customWidth="1"/>
    <col min="8452" max="8705" width="11.42578125" style="194"/>
    <col min="8706" max="8706" width="5.7109375" style="194" customWidth="1"/>
    <col min="8707" max="8707" width="12.7109375" style="194" customWidth="1"/>
    <col min="8708" max="8961" width="11.42578125" style="194"/>
    <col min="8962" max="8962" width="5.7109375" style="194" customWidth="1"/>
    <col min="8963" max="8963" width="12.7109375" style="194" customWidth="1"/>
    <col min="8964" max="9217" width="11.42578125" style="194"/>
    <col min="9218" max="9218" width="5.7109375" style="194" customWidth="1"/>
    <col min="9219" max="9219" width="12.7109375" style="194" customWidth="1"/>
    <col min="9220" max="9473" width="11.42578125" style="194"/>
    <col min="9474" max="9474" width="5.7109375" style="194" customWidth="1"/>
    <col min="9475" max="9475" width="12.7109375" style="194" customWidth="1"/>
    <col min="9476" max="9729" width="11.42578125" style="194"/>
    <col min="9730" max="9730" width="5.7109375" style="194" customWidth="1"/>
    <col min="9731" max="9731" width="12.7109375" style="194" customWidth="1"/>
    <col min="9732" max="9985" width="11.42578125" style="194"/>
    <col min="9986" max="9986" width="5.7109375" style="194" customWidth="1"/>
    <col min="9987" max="9987" width="12.7109375" style="194" customWidth="1"/>
    <col min="9988" max="10241" width="11.42578125" style="194"/>
    <col min="10242" max="10242" width="5.7109375" style="194" customWidth="1"/>
    <col min="10243" max="10243" width="12.7109375" style="194" customWidth="1"/>
    <col min="10244" max="10497" width="11.42578125" style="194"/>
    <col min="10498" max="10498" width="5.7109375" style="194" customWidth="1"/>
    <col min="10499" max="10499" width="12.7109375" style="194" customWidth="1"/>
    <col min="10500" max="10753" width="11.42578125" style="194"/>
    <col min="10754" max="10754" width="5.7109375" style="194" customWidth="1"/>
    <col min="10755" max="10755" width="12.7109375" style="194" customWidth="1"/>
    <col min="10756" max="11009" width="11.42578125" style="194"/>
    <col min="11010" max="11010" width="5.7109375" style="194" customWidth="1"/>
    <col min="11011" max="11011" width="12.7109375" style="194" customWidth="1"/>
    <col min="11012" max="11265" width="11.42578125" style="194"/>
    <col min="11266" max="11266" width="5.7109375" style="194" customWidth="1"/>
    <col min="11267" max="11267" width="12.7109375" style="194" customWidth="1"/>
    <col min="11268" max="11521" width="11.42578125" style="194"/>
    <col min="11522" max="11522" width="5.7109375" style="194" customWidth="1"/>
    <col min="11523" max="11523" width="12.7109375" style="194" customWidth="1"/>
    <col min="11524" max="11777" width="11.42578125" style="194"/>
    <col min="11778" max="11778" width="5.7109375" style="194" customWidth="1"/>
    <col min="11779" max="11779" width="12.7109375" style="194" customWidth="1"/>
    <col min="11780" max="12033" width="11.42578125" style="194"/>
    <col min="12034" max="12034" width="5.7109375" style="194" customWidth="1"/>
    <col min="12035" max="12035" width="12.7109375" style="194" customWidth="1"/>
    <col min="12036" max="12289" width="11.42578125" style="194"/>
    <col min="12290" max="12290" width="5.7109375" style="194" customWidth="1"/>
    <col min="12291" max="12291" width="12.7109375" style="194" customWidth="1"/>
    <col min="12292" max="12545" width="11.42578125" style="194"/>
    <col min="12546" max="12546" width="5.7109375" style="194" customWidth="1"/>
    <col min="12547" max="12547" width="12.7109375" style="194" customWidth="1"/>
    <col min="12548" max="12801" width="11.42578125" style="194"/>
    <col min="12802" max="12802" width="5.7109375" style="194" customWidth="1"/>
    <col min="12803" max="12803" width="12.7109375" style="194" customWidth="1"/>
    <col min="12804" max="13057" width="11.42578125" style="194"/>
    <col min="13058" max="13058" width="5.7109375" style="194" customWidth="1"/>
    <col min="13059" max="13059" width="12.7109375" style="194" customWidth="1"/>
    <col min="13060" max="13313" width="11.42578125" style="194"/>
    <col min="13314" max="13314" width="5.7109375" style="194" customWidth="1"/>
    <col min="13315" max="13315" width="12.7109375" style="194" customWidth="1"/>
    <col min="13316" max="13569" width="11.42578125" style="194"/>
    <col min="13570" max="13570" width="5.7109375" style="194" customWidth="1"/>
    <col min="13571" max="13571" width="12.7109375" style="194" customWidth="1"/>
    <col min="13572" max="13825" width="11.42578125" style="194"/>
    <col min="13826" max="13826" width="5.7109375" style="194" customWidth="1"/>
    <col min="13827" max="13827" width="12.7109375" style="194" customWidth="1"/>
    <col min="13828" max="14081" width="11.42578125" style="194"/>
    <col min="14082" max="14082" width="5.7109375" style="194" customWidth="1"/>
    <col min="14083" max="14083" width="12.7109375" style="194" customWidth="1"/>
    <col min="14084" max="14337" width="11.42578125" style="194"/>
    <col min="14338" max="14338" width="5.7109375" style="194" customWidth="1"/>
    <col min="14339" max="14339" width="12.7109375" style="194" customWidth="1"/>
    <col min="14340" max="14593" width="11.42578125" style="194"/>
    <col min="14594" max="14594" width="5.7109375" style="194" customWidth="1"/>
    <col min="14595" max="14595" width="12.7109375" style="194" customWidth="1"/>
    <col min="14596" max="14849" width="11.42578125" style="194"/>
    <col min="14850" max="14850" width="5.7109375" style="194" customWidth="1"/>
    <col min="14851" max="14851" width="12.7109375" style="194" customWidth="1"/>
    <col min="14852" max="15105" width="11.42578125" style="194"/>
    <col min="15106" max="15106" width="5.7109375" style="194" customWidth="1"/>
    <col min="15107" max="15107" width="12.7109375" style="194" customWidth="1"/>
    <col min="15108" max="15361" width="11.42578125" style="194"/>
    <col min="15362" max="15362" width="5.7109375" style="194" customWidth="1"/>
    <col min="15363" max="15363" width="12.7109375" style="194" customWidth="1"/>
    <col min="15364" max="15617" width="11.42578125" style="194"/>
    <col min="15618" max="15618" width="5.7109375" style="194" customWidth="1"/>
    <col min="15619" max="15619" width="12.7109375" style="194" customWidth="1"/>
    <col min="15620" max="15873" width="11.42578125" style="194"/>
    <col min="15874" max="15874" width="5.7109375" style="194" customWidth="1"/>
    <col min="15875" max="15875" width="12.7109375" style="194" customWidth="1"/>
    <col min="15876" max="16129" width="11.42578125" style="194"/>
    <col min="16130" max="16130" width="5.7109375" style="194" customWidth="1"/>
    <col min="16131" max="16131" width="12.7109375" style="194" customWidth="1"/>
    <col min="16132" max="16384" width="11.42578125" style="194"/>
  </cols>
  <sheetData>
    <row r="27" spans="2:12" ht="15" customHeight="1" thickBot="1"/>
    <row r="28" spans="2:12" ht="30" customHeight="1" thickBot="1">
      <c r="B28" s="427"/>
      <c r="C28" s="427"/>
      <c r="D28" s="427"/>
      <c r="E28" s="427"/>
      <c r="F28" s="427"/>
      <c r="G28" s="427"/>
      <c r="H28" s="427"/>
      <c r="I28" s="427"/>
      <c r="J28" s="60" t="s">
        <v>52</v>
      </c>
      <c r="K28" s="427"/>
      <c r="L28" s="427"/>
    </row>
  </sheetData>
  <hyperlinks>
    <hyperlink ref="J28" location="'Plazas Autorizadas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Hoja41">
    <tabColor rgb="FF000099"/>
    <pageSetUpPr autoPageBreaks="0" fitToPage="1"/>
  </sheetPr>
  <dimension ref="C5:R41"/>
  <sheetViews>
    <sheetView showGridLines="0" showRowColHeaders="0" showOutlineSymbols="0" zoomScaleNormal="100" workbookViewId="0">
      <selection activeCell="I13" sqref="I13"/>
    </sheetView>
  </sheetViews>
  <sheetFormatPr baseColWidth="10" defaultColWidth="16.5703125" defaultRowHeight="12.75"/>
  <cols>
    <col min="1" max="1" width="3.7109375" style="605" customWidth="1"/>
    <col min="2" max="2" width="10.42578125" style="605" customWidth="1"/>
    <col min="3" max="3" width="23.140625" style="605" customWidth="1"/>
    <col min="4" max="4" width="11" style="605" customWidth="1"/>
    <col min="5" max="5" width="8.85546875" style="605" customWidth="1"/>
    <col min="6" max="6" width="10.42578125" style="605" customWidth="1"/>
    <col min="7" max="7" width="8.5703125" style="605" customWidth="1"/>
    <col min="8" max="8" width="11.5703125" style="605" customWidth="1"/>
    <col min="9" max="9" width="9.7109375" style="605" customWidth="1"/>
    <col min="10" max="10" width="11.5703125" style="605" customWidth="1"/>
    <col min="11" max="11" width="10" style="605" customWidth="1"/>
    <col min="12" max="12" width="10.7109375" style="605" customWidth="1"/>
    <col min="13" max="13" width="10.140625" style="605" customWidth="1"/>
    <col min="14" max="14" width="16.5703125" style="605" customWidth="1"/>
    <col min="15" max="15" width="11.140625" style="605" customWidth="1"/>
    <col min="16" max="16" width="9.28515625" style="605" customWidth="1"/>
    <col min="17" max="256" width="16.5703125" style="605"/>
    <col min="257" max="257" width="3.7109375" style="605" customWidth="1"/>
    <col min="258" max="258" width="10.42578125" style="605" customWidth="1"/>
    <col min="259" max="259" width="23.140625" style="605" customWidth="1"/>
    <col min="260" max="260" width="11" style="605" customWidth="1"/>
    <col min="261" max="261" width="8.85546875" style="605" customWidth="1"/>
    <col min="262" max="262" width="10.42578125" style="605" customWidth="1"/>
    <col min="263" max="263" width="8.5703125" style="605" customWidth="1"/>
    <col min="264" max="264" width="9.5703125" style="605" customWidth="1"/>
    <col min="265" max="265" width="9.7109375" style="605" customWidth="1"/>
    <col min="266" max="266" width="9.85546875" style="605" customWidth="1"/>
    <col min="267" max="267" width="10" style="605" customWidth="1"/>
    <col min="268" max="268" width="10.7109375" style="605" customWidth="1"/>
    <col min="269" max="269" width="10.140625" style="605" customWidth="1"/>
    <col min="270" max="270" width="16.5703125" style="605" customWidth="1"/>
    <col min="271" max="271" width="11.140625" style="605" customWidth="1"/>
    <col min="272" max="272" width="9.28515625" style="605" customWidth="1"/>
    <col min="273" max="512" width="16.5703125" style="605"/>
    <col min="513" max="513" width="3.7109375" style="605" customWidth="1"/>
    <col min="514" max="514" width="10.42578125" style="605" customWidth="1"/>
    <col min="515" max="515" width="23.140625" style="605" customWidth="1"/>
    <col min="516" max="516" width="11" style="605" customWidth="1"/>
    <col min="517" max="517" width="8.85546875" style="605" customWidth="1"/>
    <col min="518" max="518" width="10.42578125" style="605" customWidth="1"/>
    <col min="519" max="519" width="8.5703125" style="605" customWidth="1"/>
    <col min="520" max="520" width="9.5703125" style="605" customWidth="1"/>
    <col min="521" max="521" width="9.7109375" style="605" customWidth="1"/>
    <col min="522" max="522" width="9.85546875" style="605" customWidth="1"/>
    <col min="523" max="523" width="10" style="605" customWidth="1"/>
    <col min="524" max="524" width="10.7109375" style="605" customWidth="1"/>
    <col min="525" max="525" width="10.140625" style="605" customWidth="1"/>
    <col min="526" max="526" width="16.5703125" style="605" customWidth="1"/>
    <col min="527" max="527" width="11.140625" style="605" customWidth="1"/>
    <col min="528" max="528" width="9.28515625" style="605" customWidth="1"/>
    <col min="529" max="768" width="16.5703125" style="605"/>
    <col min="769" max="769" width="3.7109375" style="605" customWidth="1"/>
    <col min="770" max="770" width="10.42578125" style="605" customWidth="1"/>
    <col min="771" max="771" width="23.140625" style="605" customWidth="1"/>
    <col min="772" max="772" width="11" style="605" customWidth="1"/>
    <col min="773" max="773" width="8.85546875" style="605" customWidth="1"/>
    <col min="774" max="774" width="10.42578125" style="605" customWidth="1"/>
    <col min="775" max="775" width="8.5703125" style="605" customWidth="1"/>
    <col min="776" max="776" width="9.5703125" style="605" customWidth="1"/>
    <col min="777" max="777" width="9.7109375" style="605" customWidth="1"/>
    <col min="778" max="778" width="9.85546875" style="605" customWidth="1"/>
    <col min="779" max="779" width="10" style="605" customWidth="1"/>
    <col min="780" max="780" width="10.7109375" style="605" customWidth="1"/>
    <col min="781" max="781" width="10.140625" style="605" customWidth="1"/>
    <col min="782" max="782" width="16.5703125" style="605" customWidth="1"/>
    <col min="783" max="783" width="11.140625" style="605" customWidth="1"/>
    <col min="784" max="784" width="9.28515625" style="605" customWidth="1"/>
    <col min="785" max="1024" width="16.5703125" style="605"/>
    <col min="1025" max="1025" width="3.7109375" style="605" customWidth="1"/>
    <col min="1026" max="1026" width="10.42578125" style="605" customWidth="1"/>
    <col min="1027" max="1027" width="23.140625" style="605" customWidth="1"/>
    <col min="1028" max="1028" width="11" style="605" customWidth="1"/>
    <col min="1029" max="1029" width="8.85546875" style="605" customWidth="1"/>
    <col min="1030" max="1030" width="10.42578125" style="605" customWidth="1"/>
    <col min="1031" max="1031" width="8.5703125" style="605" customWidth="1"/>
    <col min="1032" max="1032" width="9.5703125" style="605" customWidth="1"/>
    <col min="1033" max="1033" width="9.7109375" style="605" customWidth="1"/>
    <col min="1034" max="1034" width="9.85546875" style="605" customWidth="1"/>
    <col min="1035" max="1035" width="10" style="605" customWidth="1"/>
    <col min="1036" max="1036" width="10.7109375" style="605" customWidth="1"/>
    <col min="1037" max="1037" width="10.140625" style="605" customWidth="1"/>
    <col min="1038" max="1038" width="16.5703125" style="605" customWidth="1"/>
    <col min="1039" max="1039" width="11.140625" style="605" customWidth="1"/>
    <col min="1040" max="1040" width="9.28515625" style="605" customWidth="1"/>
    <col min="1041" max="1280" width="16.5703125" style="605"/>
    <col min="1281" max="1281" width="3.7109375" style="605" customWidth="1"/>
    <col min="1282" max="1282" width="10.42578125" style="605" customWidth="1"/>
    <col min="1283" max="1283" width="23.140625" style="605" customWidth="1"/>
    <col min="1284" max="1284" width="11" style="605" customWidth="1"/>
    <col min="1285" max="1285" width="8.85546875" style="605" customWidth="1"/>
    <col min="1286" max="1286" width="10.42578125" style="605" customWidth="1"/>
    <col min="1287" max="1287" width="8.5703125" style="605" customWidth="1"/>
    <col min="1288" max="1288" width="9.5703125" style="605" customWidth="1"/>
    <col min="1289" max="1289" width="9.7109375" style="605" customWidth="1"/>
    <col min="1290" max="1290" width="9.85546875" style="605" customWidth="1"/>
    <col min="1291" max="1291" width="10" style="605" customWidth="1"/>
    <col min="1292" max="1292" width="10.7109375" style="605" customWidth="1"/>
    <col min="1293" max="1293" width="10.140625" style="605" customWidth="1"/>
    <col min="1294" max="1294" width="16.5703125" style="605" customWidth="1"/>
    <col min="1295" max="1295" width="11.140625" style="605" customWidth="1"/>
    <col min="1296" max="1296" width="9.28515625" style="605" customWidth="1"/>
    <col min="1297" max="1536" width="16.5703125" style="605"/>
    <col min="1537" max="1537" width="3.7109375" style="605" customWidth="1"/>
    <col min="1538" max="1538" width="10.42578125" style="605" customWidth="1"/>
    <col min="1539" max="1539" width="23.140625" style="605" customWidth="1"/>
    <col min="1540" max="1540" width="11" style="605" customWidth="1"/>
    <col min="1541" max="1541" width="8.85546875" style="605" customWidth="1"/>
    <col min="1542" max="1542" width="10.42578125" style="605" customWidth="1"/>
    <col min="1543" max="1543" width="8.5703125" style="605" customWidth="1"/>
    <col min="1544" max="1544" width="9.5703125" style="605" customWidth="1"/>
    <col min="1545" max="1545" width="9.7109375" style="605" customWidth="1"/>
    <col min="1546" max="1546" width="9.85546875" style="605" customWidth="1"/>
    <col min="1547" max="1547" width="10" style="605" customWidth="1"/>
    <col min="1548" max="1548" width="10.7109375" style="605" customWidth="1"/>
    <col min="1549" max="1549" width="10.140625" style="605" customWidth="1"/>
    <col min="1550" max="1550" width="16.5703125" style="605" customWidth="1"/>
    <col min="1551" max="1551" width="11.140625" style="605" customWidth="1"/>
    <col min="1552" max="1552" width="9.28515625" style="605" customWidth="1"/>
    <col min="1553" max="1792" width="16.5703125" style="605"/>
    <col min="1793" max="1793" width="3.7109375" style="605" customWidth="1"/>
    <col min="1794" max="1794" width="10.42578125" style="605" customWidth="1"/>
    <col min="1795" max="1795" width="23.140625" style="605" customWidth="1"/>
    <col min="1796" max="1796" width="11" style="605" customWidth="1"/>
    <col min="1797" max="1797" width="8.85546875" style="605" customWidth="1"/>
    <col min="1798" max="1798" width="10.42578125" style="605" customWidth="1"/>
    <col min="1799" max="1799" width="8.5703125" style="605" customWidth="1"/>
    <col min="1800" max="1800" width="9.5703125" style="605" customWidth="1"/>
    <col min="1801" max="1801" width="9.7109375" style="605" customWidth="1"/>
    <col min="1802" max="1802" width="9.85546875" style="605" customWidth="1"/>
    <col min="1803" max="1803" width="10" style="605" customWidth="1"/>
    <col min="1804" max="1804" width="10.7109375" style="605" customWidth="1"/>
    <col min="1805" max="1805" width="10.140625" style="605" customWidth="1"/>
    <col min="1806" max="1806" width="16.5703125" style="605" customWidth="1"/>
    <col min="1807" max="1807" width="11.140625" style="605" customWidth="1"/>
    <col min="1808" max="1808" width="9.28515625" style="605" customWidth="1"/>
    <col min="1809" max="2048" width="16.5703125" style="605"/>
    <col min="2049" max="2049" width="3.7109375" style="605" customWidth="1"/>
    <col min="2050" max="2050" width="10.42578125" style="605" customWidth="1"/>
    <col min="2051" max="2051" width="23.140625" style="605" customWidth="1"/>
    <col min="2052" max="2052" width="11" style="605" customWidth="1"/>
    <col min="2053" max="2053" width="8.85546875" style="605" customWidth="1"/>
    <col min="2054" max="2054" width="10.42578125" style="605" customWidth="1"/>
    <col min="2055" max="2055" width="8.5703125" style="605" customWidth="1"/>
    <col min="2056" max="2056" width="9.5703125" style="605" customWidth="1"/>
    <col min="2057" max="2057" width="9.7109375" style="605" customWidth="1"/>
    <col min="2058" max="2058" width="9.85546875" style="605" customWidth="1"/>
    <col min="2059" max="2059" width="10" style="605" customWidth="1"/>
    <col min="2060" max="2060" width="10.7109375" style="605" customWidth="1"/>
    <col min="2061" max="2061" width="10.140625" style="605" customWidth="1"/>
    <col min="2062" max="2062" width="16.5703125" style="605" customWidth="1"/>
    <col min="2063" max="2063" width="11.140625" style="605" customWidth="1"/>
    <col min="2064" max="2064" width="9.28515625" style="605" customWidth="1"/>
    <col min="2065" max="2304" width="16.5703125" style="605"/>
    <col min="2305" max="2305" width="3.7109375" style="605" customWidth="1"/>
    <col min="2306" max="2306" width="10.42578125" style="605" customWidth="1"/>
    <col min="2307" max="2307" width="23.140625" style="605" customWidth="1"/>
    <col min="2308" max="2308" width="11" style="605" customWidth="1"/>
    <col min="2309" max="2309" width="8.85546875" style="605" customWidth="1"/>
    <col min="2310" max="2310" width="10.42578125" style="605" customWidth="1"/>
    <col min="2311" max="2311" width="8.5703125" style="605" customWidth="1"/>
    <col min="2312" max="2312" width="9.5703125" style="605" customWidth="1"/>
    <col min="2313" max="2313" width="9.7109375" style="605" customWidth="1"/>
    <col min="2314" max="2314" width="9.85546875" style="605" customWidth="1"/>
    <col min="2315" max="2315" width="10" style="605" customWidth="1"/>
    <col min="2316" max="2316" width="10.7109375" style="605" customWidth="1"/>
    <col min="2317" max="2317" width="10.140625" style="605" customWidth="1"/>
    <col min="2318" max="2318" width="16.5703125" style="605" customWidth="1"/>
    <col min="2319" max="2319" width="11.140625" style="605" customWidth="1"/>
    <col min="2320" max="2320" width="9.28515625" style="605" customWidth="1"/>
    <col min="2321" max="2560" width="16.5703125" style="605"/>
    <col min="2561" max="2561" width="3.7109375" style="605" customWidth="1"/>
    <col min="2562" max="2562" width="10.42578125" style="605" customWidth="1"/>
    <col min="2563" max="2563" width="23.140625" style="605" customWidth="1"/>
    <col min="2564" max="2564" width="11" style="605" customWidth="1"/>
    <col min="2565" max="2565" width="8.85546875" style="605" customWidth="1"/>
    <col min="2566" max="2566" width="10.42578125" style="605" customWidth="1"/>
    <col min="2567" max="2567" width="8.5703125" style="605" customWidth="1"/>
    <col min="2568" max="2568" width="9.5703125" style="605" customWidth="1"/>
    <col min="2569" max="2569" width="9.7109375" style="605" customWidth="1"/>
    <col min="2570" max="2570" width="9.85546875" style="605" customWidth="1"/>
    <col min="2571" max="2571" width="10" style="605" customWidth="1"/>
    <col min="2572" max="2572" width="10.7109375" style="605" customWidth="1"/>
    <col min="2573" max="2573" width="10.140625" style="605" customWidth="1"/>
    <col min="2574" max="2574" width="16.5703125" style="605" customWidth="1"/>
    <col min="2575" max="2575" width="11.140625" style="605" customWidth="1"/>
    <col min="2576" max="2576" width="9.28515625" style="605" customWidth="1"/>
    <col min="2577" max="2816" width="16.5703125" style="605"/>
    <col min="2817" max="2817" width="3.7109375" style="605" customWidth="1"/>
    <col min="2818" max="2818" width="10.42578125" style="605" customWidth="1"/>
    <col min="2819" max="2819" width="23.140625" style="605" customWidth="1"/>
    <col min="2820" max="2820" width="11" style="605" customWidth="1"/>
    <col min="2821" max="2821" width="8.85546875" style="605" customWidth="1"/>
    <col min="2822" max="2822" width="10.42578125" style="605" customWidth="1"/>
    <col min="2823" max="2823" width="8.5703125" style="605" customWidth="1"/>
    <col min="2824" max="2824" width="9.5703125" style="605" customWidth="1"/>
    <col min="2825" max="2825" width="9.7109375" style="605" customWidth="1"/>
    <col min="2826" max="2826" width="9.85546875" style="605" customWidth="1"/>
    <col min="2827" max="2827" width="10" style="605" customWidth="1"/>
    <col min="2828" max="2828" width="10.7109375" style="605" customWidth="1"/>
    <col min="2829" max="2829" width="10.140625" style="605" customWidth="1"/>
    <col min="2830" max="2830" width="16.5703125" style="605" customWidth="1"/>
    <col min="2831" max="2831" width="11.140625" style="605" customWidth="1"/>
    <col min="2832" max="2832" width="9.28515625" style="605" customWidth="1"/>
    <col min="2833" max="3072" width="16.5703125" style="605"/>
    <col min="3073" max="3073" width="3.7109375" style="605" customWidth="1"/>
    <col min="3074" max="3074" width="10.42578125" style="605" customWidth="1"/>
    <col min="3075" max="3075" width="23.140625" style="605" customWidth="1"/>
    <col min="3076" max="3076" width="11" style="605" customWidth="1"/>
    <col min="3077" max="3077" width="8.85546875" style="605" customWidth="1"/>
    <col min="3078" max="3078" width="10.42578125" style="605" customWidth="1"/>
    <col min="3079" max="3079" width="8.5703125" style="605" customWidth="1"/>
    <col min="3080" max="3080" width="9.5703125" style="605" customWidth="1"/>
    <col min="3081" max="3081" width="9.7109375" style="605" customWidth="1"/>
    <col min="3082" max="3082" width="9.85546875" style="605" customWidth="1"/>
    <col min="3083" max="3083" width="10" style="605" customWidth="1"/>
    <col min="3084" max="3084" width="10.7109375" style="605" customWidth="1"/>
    <col min="3085" max="3085" width="10.140625" style="605" customWidth="1"/>
    <col min="3086" max="3086" width="16.5703125" style="605" customWidth="1"/>
    <col min="3087" max="3087" width="11.140625" style="605" customWidth="1"/>
    <col min="3088" max="3088" width="9.28515625" style="605" customWidth="1"/>
    <col min="3089" max="3328" width="16.5703125" style="605"/>
    <col min="3329" max="3329" width="3.7109375" style="605" customWidth="1"/>
    <col min="3330" max="3330" width="10.42578125" style="605" customWidth="1"/>
    <col min="3331" max="3331" width="23.140625" style="605" customWidth="1"/>
    <col min="3332" max="3332" width="11" style="605" customWidth="1"/>
    <col min="3333" max="3333" width="8.85546875" style="605" customWidth="1"/>
    <col min="3334" max="3334" width="10.42578125" style="605" customWidth="1"/>
    <col min="3335" max="3335" width="8.5703125" style="605" customWidth="1"/>
    <col min="3336" max="3336" width="9.5703125" style="605" customWidth="1"/>
    <col min="3337" max="3337" width="9.7109375" style="605" customWidth="1"/>
    <col min="3338" max="3338" width="9.85546875" style="605" customWidth="1"/>
    <col min="3339" max="3339" width="10" style="605" customWidth="1"/>
    <col min="3340" max="3340" width="10.7109375" style="605" customWidth="1"/>
    <col min="3341" max="3341" width="10.140625" style="605" customWidth="1"/>
    <col min="3342" max="3342" width="16.5703125" style="605" customWidth="1"/>
    <col min="3343" max="3343" width="11.140625" style="605" customWidth="1"/>
    <col min="3344" max="3344" width="9.28515625" style="605" customWidth="1"/>
    <col min="3345" max="3584" width="16.5703125" style="605"/>
    <col min="3585" max="3585" width="3.7109375" style="605" customWidth="1"/>
    <col min="3586" max="3586" width="10.42578125" style="605" customWidth="1"/>
    <col min="3587" max="3587" width="23.140625" style="605" customWidth="1"/>
    <col min="3588" max="3588" width="11" style="605" customWidth="1"/>
    <col min="3589" max="3589" width="8.85546875" style="605" customWidth="1"/>
    <col min="3590" max="3590" width="10.42578125" style="605" customWidth="1"/>
    <col min="3591" max="3591" width="8.5703125" style="605" customWidth="1"/>
    <col min="3592" max="3592" width="9.5703125" style="605" customWidth="1"/>
    <col min="3593" max="3593" width="9.7109375" style="605" customWidth="1"/>
    <col min="3594" max="3594" width="9.85546875" style="605" customWidth="1"/>
    <col min="3595" max="3595" width="10" style="605" customWidth="1"/>
    <col min="3596" max="3596" width="10.7109375" style="605" customWidth="1"/>
    <col min="3597" max="3597" width="10.140625" style="605" customWidth="1"/>
    <col min="3598" max="3598" width="16.5703125" style="605" customWidth="1"/>
    <col min="3599" max="3599" width="11.140625" style="605" customWidth="1"/>
    <col min="3600" max="3600" width="9.28515625" style="605" customWidth="1"/>
    <col min="3601" max="3840" width="16.5703125" style="605"/>
    <col min="3841" max="3841" width="3.7109375" style="605" customWidth="1"/>
    <col min="3842" max="3842" width="10.42578125" style="605" customWidth="1"/>
    <col min="3843" max="3843" width="23.140625" style="605" customWidth="1"/>
    <col min="3844" max="3844" width="11" style="605" customWidth="1"/>
    <col min="3845" max="3845" width="8.85546875" style="605" customWidth="1"/>
    <col min="3846" max="3846" width="10.42578125" style="605" customWidth="1"/>
    <col min="3847" max="3847" width="8.5703125" style="605" customWidth="1"/>
    <col min="3848" max="3848" width="9.5703125" style="605" customWidth="1"/>
    <col min="3849" max="3849" width="9.7109375" style="605" customWidth="1"/>
    <col min="3850" max="3850" width="9.85546875" style="605" customWidth="1"/>
    <col min="3851" max="3851" width="10" style="605" customWidth="1"/>
    <col min="3852" max="3852" width="10.7109375" style="605" customWidth="1"/>
    <col min="3853" max="3853" width="10.140625" style="605" customWidth="1"/>
    <col min="3854" max="3854" width="16.5703125" style="605" customWidth="1"/>
    <col min="3855" max="3855" width="11.140625" style="605" customWidth="1"/>
    <col min="3856" max="3856" width="9.28515625" style="605" customWidth="1"/>
    <col min="3857" max="4096" width="16.5703125" style="605"/>
    <col min="4097" max="4097" width="3.7109375" style="605" customWidth="1"/>
    <col min="4098" max="4098" width="10.42578125" style="605" customWidth="1"/>
    <col min="4099" max="4099" width="23.140625" style="605" customWidth="1"/>
    <col min="4100" max="4100" width="11" style="605" customWidth="1"/>
    <col min="4101" max="4101" width="8.85546875" style="605" customWidth="1"/>
    <col min="4102" max="4102" width="10.42578125" style="605" customWidth="1"/>
    <col min="4103" max="4103" width="8.5703125" style="605" customWidth="1"/>
    <col min="4104" max="4104" width="9.5703125" style="605" customWidth="1"/>
    <col min="4105" max="4105" width="9.7109375" style="605" customWidth="1"/>
    <col min="4106" max="4106" width="9.85546875" style="605" customWidth="1"/>
    <col min="4107" max="4107" width="10" style="605" customWidth="1"/>
    <col min="4108" max="4108" width="10.7109375" style="605" customWidth="1"/>
    <col min="4109" max="4109" width="10.140625" style="605" customWidth="1"/>
    <col min="4110" max="4110" width="16.5703125" style="605" customWidth="1"/>
    <col min="4111" max="4111" width="11.140625" style="605" customWidth="1"/>
    <col min="4112" max="4112" width="9.28515625" style="605" customWidth="1"/>
    <col min="4113" max="4352" width="16.5703125" style="605"/>
    <col min="4353" max="4353" width="3.7109375" style="605" customWidth="1"/>
    <col min="4354" max="4354" width="10.42578125" style="605" customWidth="1"/>
    <col min="4355" max="4355" width="23.140625" style="605" customWidth="1"/>
    <col min="4356" max="4356" width="11" style="605" customWidth="1"/>
    <col min="4357" max="4357" width="8.85546875" style="605" customWidth="1"/>
    <col min="4358" max="4358" width="10.42578125" style="605" customWidth="1"/>
    <col min="4359" max="4359" width="8.5703125" style="605" customWidth="1"/>
    <col min="4360" max="4360" width="9.5703125" style="605" customWidth="1"/>
    <col min="4361" max="4361" width="9.7109375" style="605" customWidth="1"/>
    <col min="4362" max="4362" width="9.85546875" style="605" customWidth="1"/>
    <col min="4363" max="4363" width="10" style="605" customWidth="1"/>
    <col min="4364" max="4364" width="10.7109375" style="605" customWidth="1"/>
    <col min="4365" max="4365" width="10.140625" style="605" customWidth="1"/>
    <col min="4366" max="4366" width="16.5703125" style="605" customWidth="1"/>
    <col min="4367" max="4367" width="11.140625" style="605" customWidth="1"/>
    <col min="4368" max="4368" width="9.28515625" style="605" customWidth="1"/>
    <col min="4369" max="4608" width="16.5703125" style="605"/>
    <col min="4609" max="4609" width="3.7109375" style="605" customWidth="1"/>
    <col min="4610" max="4610" width="10.42578125" style="605" customWidth="1"/>
    <col min="4611" max="4611" width="23.140625" style="605" customWidth="1"/>
    <col min="4612" max="4612" width="11" style="605" customWidth="1"/>
    <col min="4613" max="4613" width="8.85546875" style="605" customWidth="1"/>
    <col min="4614" max="4614" width="10.42578125" style="605" customWidth="1"/>
    <col min="4615" max="4615" width="8.5703125" style="605" customWidth="1"/>
    <col min="4616" max="4616" width="9.5703125" style="605" customWidth="1"/>
    <col min="4617" max="4617" width="9.7109375" style="605" customWidth="1"/>
    <col min="4618" max="4618" width="9.85546875" style="605" customWidth="1"/>
    <col min="4619" max="4619" width="10" style="605" customWidth="1"/>
    <col min="4620" max="4620" width="10.7109375" style="605" customWidth="1"/>
    <col min="4621" max="4621" width="10.140625" style="605" customWidth="1"/>
    <col min="4622" max="4622" width="16.5703125" style="605" customWidth="1"/>
    <col min="4623" max="4623" width="11.140625" style="605" customWidth="1"/>
    <col min="4624" max="4624" width="9.28515625" style="605" customWidth="1"/>
    <col min="4625" max="4864" width="16.5703125" style="605"/>
    <col min="4865" max="4865" width="3.7109375" style="605" customWidth="1"/>
    <col min="4866" max="4866" width="10.42578125" style="605" customWidth="1"/>
    <col min="4867" max="4867" width="23.140625" style="605" customWidth="1"/>
    <col min="4868" max="4868" width="11" style="605" customWidth="1"/>
    <col min="4869" max="4869" width="8.85546875" style="605" customWidth="1"/>
    <col min="4870" max="4870" width="10.42578125" style="605" customWidth="1"/>
    <col min="4871" max="4871" width="8.5703125" style="605" customWidth="1"/>
    <col min="4872" max="4872" width="9.5703125" style="605" customWidth="1"/>
    <col min="4873" max="4873" width="9.7109375" style="605" customWidth="1"/>
    <col min="4874" max="4874" width="9.85546875" style="605" customWidth="1"/>
    <col min="4875" max="4875" width="10" style="605" customWidth="1"/>
    <col min="4876" max="4876" width="10.7109375" style="605" customWidth="1"/>
    <col min="4877" max="4877" width="10.140625" style="605" customWidth="1"/>
    <col min="4878" max="4878" width="16.5703125" style="605" customWidth="1"/>
    <col min="4879" max="4879" width="11.140625" style="605" customWidth="1"/>
    <col min="4880" max="4880" width="9.28515625" style="605" customWidth="1"/>
    <col min="4881" max="5120" width="16.5703125" style="605"/>
    <col min="5121" max="5121" width="3.7109375" style="605" customWidth="1"/>
    <col min="5122" max="5122" width="10.42578125" style="605" customWidth="1"/>
    <col min="5123" max="5123" width="23.140625" style="605" customWidth="1"/>
    <col min="5124" max="5124" width="11" style="605" customWidth="1"/>
    <col min="5125" max="5125" width="8.85546875" style="605" customWidth="1"/>
    <col min="5126" max="5126" width="10.42578125" style="605" customWidth="1"/>
    <col min="5127" max="5127" width="8.5703125" style="605" customWidth="1"/>
    <col min="5128" max="5128" width="9.5703125" style="605" customWidth="1"/>
    <col min="5129" max="5129" width="9.7109375" style="605" customWidth="1"/>
    <col min="5130" max="5130" width="9.85546875" style="605" customWidth="1"/>
    <col min="5131" max="5131" width="10" style="605" customWidth="1"/>
    <col min="5132" max="5132" width="10.7109375" style="605" customWidth="1"/>
    <col min="5133" max="5133" width="10.140625" style="605" customWidth="1"/>
    <col min="5134" max="5134" width="16.5703125" style="605" customWidth="1"/>
    <col min="5135" max="5135" width="11.140625" style="605" customWidth="1"/>
    <col min="5136" max="5136" width="9.28515625" style="605" customWidth="1"/>
    <col min="5137" max="5376" width="16.5703125" style="605"/>
    <col min="5377" max="5377" width="3.7109375" style="605" customWidth="1"/>
    <col min="5378" max="5378" width="10.42578125" style="605" customWidth="1"/>
    <col min="5379" max="5379" width="23.140625" style="605" customWidth="1"/>
    <col min="5380" max="5380" width="11" style="605" customWidth="1"/>
    <col min="5381" max="5381" width="8.85546875" style="605" customWidth="1"/>
    <col min="5382" max="5382" width="10.42578125" style="605" customWidth="1"/>
    <col min="5383" max="5383" width="8.5703125" style="605" customWidth="1"/>
    <col min="5384" max="5384" width="9.5703125" style="605" customWidth="1"/>
    <col min="5385" max="5385" width="9.7109375" style="605" customWidth="1"/>
    <col min="5386" max="5386" width="9.85546875" style="605" customWidth="1"/>
    <col min="5387" max="5387" width="10" style="605" customWidth="1"/>
    <col min="5388" max="5388" width="10.7109375" style="605" customWidth="1"/>
    <col min="5389" max="5389" width="10.140625" style="605" customWidth="1"/>
    <col min="5390" max="5390" width="16.5703125" style="605" customWidth="1"/>
    <col min="5391" max="5391" width="11.140625" style="605" customWidth="1"/>
    <col min="5392" max="5392" width="9.28515625" style="605" customWidth="1"/>
    <col min="5393" max="5632" width="16.5703125" style="605"/>
    <col min="5633" max="5633" width="3.7109375" style="605" customWidth="1"/>
    <col min="5634" max="5634" width="10.42578125" style="605" customWidth="1"/>
    <col min="5635" max="5635" width="23.140625" style="605" customWidth="1"/>
    <col min="5636" max="5636" width="11" style="605" customWidth="1"/>
    <col min="5637" max="5637" width="8.85546875" style="605" customWidth="1"/>
    <col min="5638" max="5638" width="10.42578125" style="605" customWidth="1"/>
    <col min="5639" max="5639" width="8.5703125" style="605" customWidth="1"/>
    <col min="5640" max="5640" width="9.5703125" style="605" customWidth="1"/>
    <col min="5641" max="5641" width="9.7109375" style="605" customWidth="1"/>
    <col min="5642" max="5642" width="9.85546875" style="605" customWidth="1"/>
    <col min="5643" max="5643" width="10" style="605" customWidth="1"/>
    <col min="5644" max="5644" width="10.7109375" style="605" customWidth="1"/>
    <col min="5645" max="5645" width="10.140625" style="605" customWidth="1"/>
    <col min="5646" max="5646" width="16.5703125" style="605" customWidth="1"/>
    <col min="5647" max="5647" width="11.140625" style="605" customWidth="1"/>
    <col min="5648" max="5648" width="9.28515625" style="605" customWidth="1"/>
    <col min="5649" max="5888" width="16.5703125" style="605"/>
    <col min="5889" max="5889" width="3.7109375" style="605" customWidth="1"/>
    <col min="5890" max="5890" width="10.42578125" style="605" customWidth="1"/>
    <col min="5891" max="5891" width="23.140625" style="605" customWidth="1"/>
    <col min="5892" max="5892" width="11" style="605" customWidth="1"/>
    <col min="5893" max="5893" width="8.85546875" style="605" customWidth="1"/>
    <col min="5894" max="5894" width="10.42578125" style="605" customWidth="1"/>
    <col min="5895" max="5895" width="8.5703125" style="605" customWidth="1"/>
    <col min="5896" max="5896" width="9.5703125" style="605" customWidth="1"/>
    <col min="5897" max="5897" width="9.7109375" style="605" customWidth="1"/>
    <col min="5898" max="5898" width="9.85546875" style="605" customWidth="1"/>
    <col min="5899" max="5899" width="10" style="605" customWidth="1"/>
    <col min="5900" max="5900" width="10.7109375" style="605" customWidth="1"/>
    <col min="5901" max="5901" width="10.140625" style="605" customWidth="1"/>
    <col min="5902" max="5902" width="16.5703125" style="605" customWidth="1"/>
    <col min="5903" max="5903" width="11.140625" style="605" customWidth="1"/>
    <col min="5904" max="5904" width="9.28515625" style="605" customWidth="1"/>
    <col min="5905" max="6144" width="16.5703125" style="605"/>
    <col min="6145" max="6145" width="3.7109375" style="605" customWidth="1"/>
    <col min="6146" max="6146" width="10.42578125" style="605" customWidth="1"/>
    <col min="6147" max="6147" width="23.140625" style="605" customWidth="1"/>
    <col min="6148" max="6148" width="11" style="605" customWidth="1"/>
    <col min="6149" max="6149" width="8.85546875" style="605" customWidth="1"/>
    <col min="6150" max="6150" width="10.42578125" style="605" customWidth="1"/>
    <col min="6151" max="6151" width="8.5703125" style="605" customWidth="1"/>
    <col min="6152" max="6152" width="9.5703125" style="605" customWidth="1"/>
    <col min="6153" max="6153" width="9.7109375" style="605" customWidth="1"/>
    <col min="6154" max="6154" width="9.85546875" style="605" customWidth="1"/>
    <col min="6155" max="6155" width="10" style="605" customWidth="1"/>
    <col min="6156" max="6156" width="10.7109375" style="605" customWidth="1"/>
    <col min="6157" max="6157" width="10.140625" style="605" customWidth="1"/>
    <col min="6158" max="6158" width="16.5703125" style="605" customWidth="1"/>
    <col min="6159" max="6159" width="11.140625" style="605" customWidth="1"/>
    <col min="6160" max="6160" width="9.28515625" style="605" customWidth="1"/>
    <col min="6161" max="6400" width="16.5703125" style="605"/>
    <col min="6401" max="6401" width="3.7109375" style="605" customWidth="1"/>
    <col min="6402" max="6402" width="10.42578125" style="605" customWidth="1"/>
    <col min="6403" max="6403" width="23.140625" style="605" customWidth="1"/>
    <col min="6404" max="6404" width="11" style="605" customWidth="1"/>
    <col min="6405" max="6405" width="8.85546875" style="605" customWidth="1"/>
    <col min="6406" max="6406" width="10.42578125" style="605" customWidth="1"/>
    <col min="6407" max="6407" width="8.5703125" style="605" customWidth="1"/>
    <col min="6408" max="6408" width="9.5703125" style="605" customWidth="1"/>
    <col min="6409" max="6409" width="9.7109375" style="605" customWidth="1"/>
    <col min="6410" max="6410" width="9.85546875" style="605" customWidth="1"/>
    <col min="6411" max="6411" width="10" style="605" customWidth="1"/>
    <col min="6412" max="6412" width="10.7109375" style="605" customWidth="1"/>
    <col min="6413" max="6413" width="10.140625" style="605" customWidth="1"/>
    <col min="6414" max="6414" width="16.5703125" style="605" customWidth="1"/>
    <col min="6415" max="6415" width="11.140625" style="605" customWidth="1"/>
    <col min="6416" max="6416" width="9.28515625" style="605" customWidth="1"/>
    <col min="6417" max="6656" width="16.5703125" style="605"/>
    <col min="6657" max="6657" width="3.7109375" style="605" customWidth="1"/>
    <col min="6658" max="6658" width="10.42578125" style="605" customWidth="1"/>
    <col min="6659" max="6659" width="23.140625" style="605" customWidth="1"/>
    <col min="6660" max="6660" width="11" style="605" customWidth="1"/>
    <col min="6661" max="6661" width="8.85546875" style="605" customWidth="1"/>
    <col min="6662" max="6662" width="10.42578125" style="605" customWidth="1"/>
    <col min="6663" max="6663" width="8.5703125" style="605" customWidth="1"/>
    <col min="6664" max="6664" width="9.5703125" style="605" customWidth="1"/>
    <col min="6665" max="6665" width="9.7109375" style="605" customWidth="1"/>
    <col min="6666" max="6666" width="9.85546875" style="605" customWidth="1"/>
    <col min="6667" max="6667" width="10" style="605" customWidth="1"/>
    <col min="6668" max="6668" width="10.7109375" style="605" customWidth="1"/>
    <col min="6669" max="6669" width="10.140625" style="605" customWidth="1"/>
    <col min="6670" max="6670" width="16.5703125" style="605" customWidth="1"/>
    <col min="6671" max="6671" width="11.140625" style="605" customWidth="1"/>
    <col min="6672" max="6672" width="9.28515625" style="605" customWidth="1"/>
    <col min="6673" max="6912" width="16.5703125" style="605"/>
    <col min="6913" max="6913" width="3.7109375" style="605" customWidth="1"/>
    <col min="6914" max="6914" width="10.42578125" style="605" customWidth="1"/>
    <col min="6915" max="6915" width="23.140625" style="605" customWidth="1"/>
    <col min="6916" max="6916" width="11" style="605" customWidth="1"/>
    <col min="6917" max="6917" width="8.85546875" style="605" customWidth="1"/>
    <col min="6918" max="6918" width="10.42578125" style="605" customWidth="1"/>
    <col min="6919" max="6919" width="8.5703125" style="605" customWidth="1"/>
    <col min="6920" max="6920" width="9.5703125" style="605" customWidth="1"/>
    <col min="6921" max="6921" width="9.7109375" style="605" customWidth="1"/>
    <col min="6922" max="6922" width="9.85546875" style="605" customWidth="1"/>
    <col min="6923" max="6923" width="10" style="605" customWidth="1"/>
    <col min="6924" max="6924" width="10.7109375" style="605" customWidth="1"/>
    <col min="6925" max="6925" width="10.140625" style="605" customWidth="1"/>
    <col min="6926" max="6926" width="16.5703125" style="605" customWidth="1"/>
    <col min="6927" max="6927" width="11.140625" style="605" customWidth="1"/>
    <col min="6928" max="6928" width="9.28515625" style="605" customWidth="1"/>
    <col min="6929" max="7168" width="16.5703125" style="605"/>
    <col min="7169" max="7169" width="3.7109375" style="605" customWidth="1"/>
    <col min="7170" max="7170" width="10.42578125" style="605" customWidth="1"/>
    <col min="7171" max="7171" width="23.140625" style="605" customWidth="1"/>
    <col min="7172" max="7172" width="11" style="605" customWidth="1"/>
    <col min="7173" max="7173" width="8.85546875" style="605" customWidth="1"/>
    <col min="7174" max="7174" width="10.42578125" style="605" customWidth="1"/>
    <col min="7175" max="7175" width="8.5703125" style="605" customWidth="1"/>
    <col min="7176" max="7176" width="9.5703125" style="605" customWidth="1"/>
    <col min="7177" max="7177" width="9.7109375" style="605" customWidth="1"/>
    <col min="7178" max="7178" width="9.85546875" style="605" customWidth="1"/>
    <col min="7179" max="7179" width="10" style="605" customWidth="1"/>
    <col min="7180" max="7180" width="10.7109375" style="605" customWidth="1"/>
    <col min="7181" max="7181" width="10.140625" style="605" customWidth="1"/>
    <col min="7182" max="7182" width="16.5703125" style="605" customWidth="1"/>
    <col min="7183" max="7183" width="11.140625" style="605" customWidth="1"/>
    <col min="7184" max="7184" width="9.28515625" style="605" customWidth="1"/>
    <col min="7185" max="7424" width="16.5703125" style="605"/>
    <col min="7425" max="7425" width="3.7109375" style="605" customWidth="1"/>
    <col min="7426" max="7426" width="10.42578125" style="605" customWidth="1"/>
    <col min="7427" max="7427" width="23.140625" style="605" customWidth="1"/>
    <col min="7428" max="7428" width="11" style="605" customWidth="1"/>
    <col min="7429" max="7429" width="8.85546875" style="605" customWidth="1"/>
    <col min="7430" max="7430" width="10.42578125" style="605" customWidth="1"/>
    <col min="7431" max="7431" width="8.5703125" style="605" customWidth="1"/>
    <col min="7432" max="7432" width="9.5703125" style="605" customWidth="1"/>
    <col min="7433" max="7433" width="9.7109375" style="605" customWidth="1"/>
    <col min="7434" max="7434" width="9.85546875" style="605" customWidth="1"/>
    <col min="7435" max="7435" width="10" style="605" customWidth="1"/>
    <col min="7436" max="7436" width="10.7109375" style="605" customWidth="1"/>
    <col min="7437" max="7437" width="10.140625" style="605" customWidth="1"/>
    <col min="7438" max="7438" width="16.5703125" style="605" customWidth="1"/>
    <col min="7439" max="7439" width="11.140625" style="605" customWidth="1"/>
    <col min="7440" max="7440" width="9.28515625" style="605" customWidth="1"/>
    <col min="7441" max="7680" width="16.5703125" style="605"/>
    <col min="7681" max="7681" width="3.7109375" style="605" customWidth="1"/>
    <col min="7682" max="7682" width="10.42578125" style="605" customWidth="1"/>
    <col min="7683" max="7683" width="23.140625" style="605" customWidth="1"/>
    <col min="7684" max="7684" width="11" style="605" customWidth="1"/>
    <col min="7685" max="7685" width="8.85546875" style="605" customWidth="1"/>
    <col min="7686" max="7686" width="10.42578125" style="605" customWidth="1"/>
    <col min="7687" max="7687" width="8.5703125" style="605" customWidth="1"/>
    <col min="7688" max="7688" width="9.5703125" style="605" customWidth="1"/>
    <col min="7689" max="7689" width="9.7109375" style="605" customWidth="1"/>
    <col min="7690" max="7690" width="9.85546875" style="605" customWidth="1"/>
    <col min="7691" max="7691" width="10" style="605" customWidth="1"/>
    <col min="7692" max="7692" width="10.7109375" style="605" customWidth="1"/>
    <col min="7693" max="7693" width="10.140625" style="605" customWidth="1"/>
    <col min="7694" max="7694" width="16.5703125" style="605" customWidth="1"/>
    <col min="7695" max="7695" width="11.140625" style="605" customWidth="1"/>
    <col min="7696" max="7696" width="9.28515625" style="605" customWidth="1"/>
    <col min="7697" max="7936" width="16.5703125" style="605"/>
    <col min="7937" max="7937" width="3.7109375" style="605" customWidth="1"/>
    <col min="7938" max="7938" width="10.42578125" style="605" customWidth="1"/>
    <col min="7939" max="7939" width="23.140625" style="605" customWidth="1"/>
    <col min="7940" max="7940" width="11" style="605" customWidth="1"/>
    <col min="7941" max="7941" width="8.85546875" style="605" customWidth="1"/>
    <col min="7942" max="7942" width="10.42578125" style="605" customWidth="1"/>
    <col min="7943" max="7943" width="8.5703125" style="605" customWidth="1"/>
    <col min="7944" max="7944" width="9.5703125" style="605" customWidth="1"/>
    <col min="7945" max="7945" width="9.7109375" style="605" customWidth="1"/>
    <col min="7946" max="7946" width="9.85546875" style="605" customWidth="1"/>
    <col min="7947" max="7947" width="10" style="605" customWidth="1"/>
    <col min="7948" max="7948" width="10.7109375" style="605" customWidth="1"/>
    <col min="7949" max="7949" width="10.140625" style="605" customWidth="1"/>
    <col min="7950" max="7950" width="16.5703125" style="605" customWidth="1"/>
    <col min="7951" max="7951" width="11.140625" style="605" customWidth="1"/>
    <col min="7952" max="7952" width="9.28515625" style="605" customWidth="1"/>
    <col min="7953" max="8192" width="16.5703125" style="605"/>
    <col min="8193" max="8193" width="3.7109375" style="605" customWidth="1"/>
    <col min="8194" max="8194" width="10.42578125" style="605" customWidth="1"/>
    <col min="8195" max="8195" width="23.140625" style="605" customWidth="1"/>
    <col min="8196" max="8196" width="11" style="605" customWidth="1"/>
    <col min="8197" max="8197" width="8.85546875" style="605" customWidth="1"/>
    <col min="8198" max="8198" width="10.42578125" style="605" customWidth="1"/>
    <col min="8199" max="8199" width="8.5703125" style="605" customWidth="1"/>
    <col min="8200" max="8200" width="9.5703125" style="605" customWidth="1"/>
    <col min="8201" max="8201" width="9.7109375" style="605" customWidth="1"/>
    <col min="8202" max="8202" width="9.85546875" style="605" customWidth="1"/>
    <col min="8203" max="8203" width="10" style="605" customWidth="1"/>
    <col min="8204" max="8204" width="10.7109375" style="605" customWidth="1"/>
    <col min="8205" max="8205" width="10.140625" style="605" customWidth="1"/>
    <col min="8206" max="8206" width="16.5703125" style="605" customWidth="1"/>
    <col min="8207" max="8207" width="11.140625" style="605" customWidth="1"/>
    <col min="8208" max="8208" width="9.28515625" style="605" customWidth="1"/>
    <col min="8209" max="8448" width="16.5703125" style="605"/>
    <col min="8449" max="8449" width="3.7109375" style="605" customWidth="1"/>
    <col min="8450" max="8450" width="10.42578125" style="605" customWidth="1"/>
    <col min="8451" max="8451" width="23.140625" style="605" customWidth="1"/>
    <col min="8452" max="8452" width="11" style="605" customWidth="1"/>
    <col min="8453" max="8453" width="8.85546875" style="605" customWidth="1"/>
    <col min="8454" max="8454" width="10.42578125" style="605" customWidth="1"/>
    <col min="8455" max="8455" width="8.5703125" style="605" customWidth="1"/>
    <col min="8456" max="8456" width="9.5703125" style="605" customWidth="1"/>
    <col min="8457" max="8457" width="9.7109375" style="605" customWidth="1"/>
    <col min="8458" max="8458" width="9.85546875" style="605" customWidth="1"/>
    <col min="8459" max="8459" width="10" style="605" customWidth="1"/>
    <col min="8460" max="8460" width="10.7109375" style="605" customWidth="1"/>
    <col min="8461" max="8461" width="10.140625" style="605" customWidth="1"/>
    <col min="8462" max="8462" width="16.5703125" style="605" customWidth="1"/>
    <col min="8463" max="8463" width="11.140625" style="605" customWidth="1"/>
    <col min="8464" max="8464" width="9.28515625" style="605" customWidth="1"/>
    <col min="8465" max="8704" width="16.5703125" style="605"/>
    <col min="8705" max="8705" width="3.7109375" style="605" customWidth="1"/>
    <col min="8706" max="8706" width="10.42578125" style="605" customWidth="1"/>
    <col min="8707" max="8707" width="23.140625" style="605" customWidth="1"/>
    <col min="8708" max="8708" width="11" style="605" customWidth="1"/>
    <col min="8709" max="8709" width="8.85546875" style="605" customWidth="1"/>
    <col min="8710" max="8710" width="10.42578125" style="605" customWidth="1"/>
    <col min="8711" max="8711" width="8.5703125" style="605" customWidth="1"/>
    <col min="8712" max="8712" width="9.5703125" style="605" customWidth="1"/>
    <col min="8713" max="8713" width="9.7109375" style="605" customWidth="1"/>
    <col min="8714" max="8714" width="9.85546875" style="605" customWidth="1"/>
    <col min="8715" max="8715" width="10" style="605" customWidth="1"/>
    <col min="8716" max="8716" width="10.7109375" style="605" customWidth="1"/>
    <col min="8717" max="8717" width="10.140625" style="605" customWidth="1"/>
    <col min="8718" max="8718" width="16.5703125" style="605" customWidth="1"/>
    <col min="8719" max="8719" width="11.140625" style="605" customWidth="1"/>
    <col min="8720" max="8720" width="9.28515625" style="605" customWidth="1"/>
    <col min="8721" max="8960" width="16.5703125" style="605"/>
    <col min="8961" max="8961" width="3.7109375" style="605" customWidth="1"/>
    <col min="8962" max="8962" width="10.42578125" style="605" customWidth="1"/>
    <col min="8963" max="8963" width="23.140625" style="605" customWidth="1"/>
    <col min="8964" max="8964" width="11" style="605" customWidth="1"/>
    <col min="8965" max="8965" width="8.85546875" style="605" customWidth="1"/>
    <col min="8966" max="8966" width="10.42578125" style="605" customWidth="1"/>
    <col min="8967" max="8967" width="8.5703125" style="605" customWidth="1"/>
    <col min="8968" max="8968" width="9.5703125" style="605" customWidth="1"/>
    <col min="8969" max="8969" width="9.7109375" style="605" customWidth="1"/>
    <col min="8970" max="8970" width="9.85546875" style="605" customWidth="1"/>
    <col min="8971" max="8971" width="10" style="605" customWidth="1"/>
    <col min="8972" max="8972" width="10.7109375" style="605" customWidth="1"/>
    <col min="8973" max="8973" width="10.140625" style="605" customWidth="1"/>
    <col min="8974" max="8974" width="16.5703125" style="605" customWidth="1"/>
    <col min="8975" max="8975" width="11.140625" style="605" customWidth="1"/>
    <col min="8976" max="8976" width="9.28515625" style="605" customWidth="1"/>
    <col min="8977" max="9216" width="16.5703125" style="605"/>
    <col min="9217" max="9217" width="3.7109375" style="605" customWidth="1"/>
    <col min="9218" max="9218" width="10.42578125" style="605" customWidth="1"/>
    <col min="9219" max="9219" width="23.140625" style="605" customWidth="1"/>
    <col min="9220" max="9220" width="11" style="605" customWidth="1"/>
    <col min="9221" max="9221" width="8.85546875" style="605" customWidth="1"/>
    <col min="9222" max="9222" width="10.42578125" style="605" customWidth="1"/>
    <col min="9223" max="9223" width="8.5703125" style="605" customWidth="1"/>
    <col min="9224" max="9224" width="9.5703125" style="605" customWidth="1"/>
    <col min="9225" max="9225" width="9.7109375" style="605" customWidth="1"/>
    <col min="9226" max="9226" width="9.85546875" style="605" customWidth="1"/>
    <col min="9227" max="9227" width="10" style="605" customWidth="1"/>
    <col min="9228" max="9228" width="10.7109375" style="605" customWidth="1"/>
    <col min="9229" max="9229" width="10.140625" style="605" customWidth="1"/>
    <col min="9230" max="9230" width="16.5703125" style="605" customWidth="1"/>
    <col min="9231" max="9231" width="11.140625" style="605" customWidth="1"/>
    <col min="9232" max="9232" width="9.28515625" style="605" customWidth="1"/>
    <col min="9233" max="9472" width="16.5703125" style="605"/>
    <col min="9473" max="9473" width="3.7109375" style="605" customWidth="1"/>
    <col min="9474" max="9474" width="10.42578125" style="605" customWidth="1"/>
    <col min="9475" max="9475" width="23.140625" style="605" customWidth="1"/>
    <col min="9476" max="9476" width="11" style="605" customWidth="1"/>
    <col min="9477" max="9477" width="8.85546875" style="605" customWidth="1"/>
    <col min="9478" max="9478" width="10.42578125" style="605" customWidth="1"/>
    <col min="9479" max="9479" width="8.5703125" style="605" customWidth="1"/>
    <col min="9480" max="9480" width="9.5703125" style="605" customWidth="1"/>
    <col min="9481" max="9481" width="9.7109375" style="605" customWidth="1"/>
    <col min="9482" max="9482" width="9.85546875" style="605" customWidth="1"/>
    <col min="9483" max="9483" width="10" style="605" customWidth="1"/>
    <col min="9484" max="9484" width="10.7109375" style="605" customWidth="1"/>
    <col min="9485" max="9485" width="10.140625" style="605" customWidth="1"/>
    <col min="9486" max="9486" width="16.5703125" style="605" customWidth="1"/>
    <col min="9487" max="9487" width="11.140625" style="605" customWidth="1"/>
    <col min="9488" max="9488" width="9.28515625" style="605" customWidth="1"/>
    <col min="9489" max="9728" width="16.5703125" style="605"/>
    <col min="9729" max="9729" width="3.7109375" style="605" customWidth="1"/>
    <col min="9730" max="9730" width="10.42578125" style="605" customWidth="1"/>
    <col min="9731" max="9731" width="23.140625" style="605" customWidth="1"/>
    <col min="9732" max="9732" width="11" style="605" customWidth="1"/>
    <col min="9733" max="9733" width="8.85546875" style="605" customWidth="1"/>
    <col min="9734" max="9734" width="10.42578125" style="605" customWidth="1"/>
    <col min="9735" max="9735" width="8.5703125" style="605" customWidth="1"/>
    <col min="9736" max="9736" width="9.5703125" style="605" customWidth="1"/>
    <col min="9737" max="9737" width="9.7109375" style="605" customWidth="1"/>
    <col min="9738" max="9738" width="9.85546875" style="605" customWidth="1"/>
    <col min="9739" max="9739" width="10" style="605" customWidth="1"/>
    <col min="9740" max="9740" width="10.7109375" style="605" customWidth="1"/>
    <col min="9741" max="9741" width="10.140625" style="605" customWidth="1"/>
    <col min="9742" max="9742" width="16.5703125" style="605" customWidth="1"/>
    <col min="9743" max="9743" width="11.140625" style="605" customWidth="1"/>
    <col min="9744" max="9744" width="9.28515625" style="605" customWidth="1"/>
    <col min="9745" max="9984" width="16.5703125" style="605"/>
    <col min="9985" max="9985" width="3.7109375" style="605" customWidth="1"/>
    <col min="9986" max="9986" width="10.42578125" style="605" customWidth="1"/>
    <col min="9987" max="9987" width="23.140625" style="605" customWidth="1"/>
    <col min="9988" max="9988" width="11" style="605" customWidth="1"/>
    <col min="9989" max="9989" width="8.85546875" style="605" customWidth="1"/>
    <col min="9990" max="9990" width="10.42578125" style="605" customWidth="1"/>
    <col min="9991" max="9991" width="8.5703125" style="605" customWidth="1"/>
    <col min="9992" max="9992" width="9.5703125" style="605" customWidth="1"/>
    <col min="9993" max="9993" width="9.7109375" style="605" customWidth="1"/>
    <col min="9994" max="9994" width="9.85546875" style="605" customWidth="1"/>
    <col min="9995" max="9995" width="10" style="605" customWidth="1"/>
    <col min="9996" max="9996" width="10.7109375" style="605" customWidth="1"/>
    <col min="9997" max="9997" width="10.140625" style="605" customWidth="1"/>
    <col min="9998" max="9998" width="16.5703125" style="605" customWidth="1"/>
    <col min="9999" max="9999" width="11.140625" style="605" customWidth="1"/>
    <col min="10000" max="10000" width="9.28515625" style="605" customWidth="1"/>
    <col min="10001" max="10240" width="16.5703125" style="605"/>
    <col min="10241" max="10241" width="3.7109375" style="605" customWidth="1"/>
    <col min="10242" max="10242" width="10.42578125" style="605" customWidth="1"/>
    <col min="10243" max="10243" width="23.140625" style="605" customWidth="1"/>
    <col min="10244" max="10244" width="11" style="605" customWidth="1"/>
    <col min="10245" max="10245" width="8.85546875" style="605" customWidth="1"/>
    <col min="10246" max="10246" width="10.42578125" style="605" customWidth="1"/>
    <col min="10247" max="10247" width="8.5703125" style="605" customWidth="1"/>
    <col min="10248" max="10248" width="9.5703125" style="605" customWidth="1"/>
    <col min="10249" max="10249" width="9.7109375" style="605" customWidth="1"/>
    <col min="10250" max="10250" width="9.85546875" style="605" customWidth="1"/>
    <col min="10251" max="10251" width="10" style="605" customWidth="1"/>
    <col min="10252" max="10252" width="10.7109375" style="605" customWidth="1"/>
    <col min="10253" max="10253" width="10.140625" style="605" customWidth="1"/>
    <col min="10254" max="10254" width="16.5703125" style="605" customWidth="1"/>
    <col min="10255" max="10255" width="11.140625" style="605" customWidth="1"/>
    <col min="10256" max="10256" width="9.28515625" style="605" customWidth="1"/>
    <col min="10257" max="10496" width="16.5703125" style="605"/>
    <col min="10497" max="10497" width="3.7109375" style="605" customWidth="1"/>
    <col min="10498" max="10498" width="10.42578125" style="605" customWidth="1"/>
    <col min="10499" max="10499" width="23.140625" style="605" customWidth="1"/>
    <col min="10500" max="10500" width="11" style="605" customWidth="1"/>
    <col min="10501" max="10501" width="8.85546875" style="605" customWidth="1"/>
    <col min="10502" max="10502" width="10.42578125" style="605" customWidth="1"/>
    <col min="10503" max="10503" width="8.5703125" style="605" customWidth="1"/>
    <col min="10504" max="10504" width="9.5703125" style="605" customWidth="1"/>
    <col min="10505" max="10505" width="9.7109375" style="605" customWidth="1"/>
    <col min="10506" max="10506" width="9.85546875" style="605" customWidth="1"/>
    <col min="10507" max="10507" width="10" style="605" customWidth="1"/>
    <col min="10508" max="10508" width="10.7109375" style="605" customWidth="1"/>
    <col min="10509" max="10509" width="10.140625" style="605" customWidth="1"/>
    <col min="10510" max="10510" width="16.5703125" style="605" customWidth="1"/>
    <col min="10511" max="10511" width="11.140625" style="605" customWidth="1"/>
    <col min="10512" max="10512" width="9.28515625" style="605" customWidth="1"/>
    <col min="10513" max="10752" width="16.5703125" style="605"/>
    <col min="10753" max="10753" width="3.7109375" style="605" customWidth="1"/>
    <col min="10754" max="10754" width="10.42578125" style="605" customWidth="1"/>
    <col min="10755" max="10755" width="23.140625" style="605" customWidth="1"/>
    <col min="10756" max="10756" width="11" style="605" customWidth="1"/>
    <col min="10757" max="10757" width="8.85546875" style="605" customWidth="1"/>
    <col min="10758" max="10758" width="10.42578125" style="605" customWidth="1"/>
    <col min="10759" max="10759" width="8.5703125" style="605" customWidth="1"/>
    <col min="10760" max="10760" width="9.5703125" style="605" customWidth="1"/>
    <col min="10761" max="10761" width="9.7109375" style="605" customWidth="1"/>
    <col min="10762" max="10762" width="9.85546875" style="605" customWidth="1"/>
    <col min="10763" max="10763" width="10" style="605" customWidth="1"/>
    <col min="10764" max="10764" width="10.7109375" style="605" customWidth="1"/>
    <col min="10765" max="10765" width="10.140625" style="605" customWidth="1"/>
    <col min="10766" max="10766" width="16.5703125" style="605" customWidth="1"/>
    <col min="10767" max="10767" width="11.140625" style="605" customWidth="1"/>
    <col min="10768" max="10768" width="9.28515625" style="605" customWidth="1"/>
    <col min="10769" max="11008" width="16.5703125" style="605"/>
    <col min="11009" max="11009" width="3.7109375" style="605" customWidth="1"/>
    <col min="11010" max="11010" width="10.42578125" style="605" customWidth="1"/>
    <col min="11011" max="11011" width="23.140625" style="605" customWidth="1"/>
    <col min="11012" max="11012" width="11" style="605" customWidth="1"/>
    <col min="11013" max="11013" width="8.85546875" style="605" customWidth="1"/>
    <col min="11014" max="11014" width="10.42578125" style="605" customWidth="1"/>
    <col min="11015" max="11015" width="8.5703125" style="605" customWidth="1"/>
    <col min="11016" max="11016" width="9.5703125" style="605" customWidth="1"/>
    <col min="11017" max="11017" width="9.7109375" style="605" customWidth="1"/>
    <col min="11018" max="11018" width="9.85546875" style="605" customWidth="1"/>
    <col min="11019" max="11019" width="10" style="605" customWidth="1"/>
    <col min="11020" max="11020" width="10.7109375" style="605" customWidth="1"/>
    <col min="11021" max="11021" width="10.140625" style="605" customWidth="1"/>
    <col min="11022" max="11022" width="16.5703125" style="605" customWidth="1"/>
    <col min="11023" max="11023" width="11.140625" style="605" customWidth="1"/>
    <col min="11024" max="11024" width="9.28515625" style="605" customWidth="1"/>
    <col min="11025" max="11264" width="16.5703125" style="605"/>
    <col min="11265" max="11265" width="3.7109375" style="605" customWidth="1"/>
    <col min="11266" max="11266" width="10.42578125" style="605" customWidth="1"/>
    <col min="11267" max="11267" width="23.140625" style="605" customWidth="1"/>
    <col min="11268" max="11268" width="11" style="605" customWidth="1"/>
    <col min="11269" max="11269" width="8.85546875" style="605" customWidth="1"/>
    <col min="11270" max="11270" width="10.42578125" style="605" customWidth="1"/>
    <col min="11271" max="11271" width="8.5703125" style="605" customWidth="1"/>
    <col min="11272" max="11272" width="9.5703125" style="605" customWidth="1"/>
    <col min="11273" max="11273" width="9.7109375" style="605" customWidth="1"/>
    <col min="11274" max="11274" width="9.85546875" style="605" customWidth="1"/>
    <col min="11275" max="11275" width="10" style="605" customWidth="1"/>
    <col min="11276" max="11276" width="10.7109375" style="605" customWidth="1"/>
    <col min="11277" max="11277" width="10.140625" style="605" customWidth="1"/>
    <col min="11278" max="11278" width="16.5703125" style="605" customWidth="1"/>
    <col min="11279" max="11279" width="11.140625" style="605" customWidth="1"/>
    <col min="11280" max="11280" width="9.28515625" style="605" customWidth="1"/>
    <col min="11281" max="11520" width="16.5703125" style="605"/>
    <col min="11521" max="11521" width="3.7109375" style="605" customWidth="1"/>
    <col min="11522" max="11522" width="10.42578125" style="605" customWidth="1"/>
    <col min="11523" max="11523" width="23.140625" style="605" customWidth="1"/>
    <col min="11524" max="11524" width="11" style="605" customWidth="1"/>
    <col min="11525" max="11525" width="8.85546875" style="605" customWidth="1"/>
    <col min="11526" max="11526" width="10.42578125" style="605" customWidth="1"/>
    <col min="11527" max="11527" width="8.5703125" style="605" customWidth="1"/>
    <col min="11528" max="11528" width="9.5703125" style="605" customWidth="1"/>
    <col min="11529" max="11529" width="9.7109375" style="605" customWidth="1"/>
    <col min="11530" max="11530" width="9.85546875" style="605" customWidth="1"/>
    <col min="11531" max="11531" width="10" style="605" customWidth="1"/>
    <col min="11532" max="11532" width="10.7109375" style="605" customWidth="1"/>
    <col min="11533" max="11533" width="10.140625" style="605" customWidth="1"/>
    <col min="11534" max="11534" width="16.5703125" style="605" customWidth="1"/>
    <col min="11535" max="11535" width="11.140625" style="605" customWidth="1"/>
    <col min="11536" max="11536" width="9.28515625" style="605" customWidth="1"/>
    <col min="11537" max="11776" width="16.5703125" style="605"/>
    <col min="11777" max="11777" width="3.7109375" style="605" customWidth="1"/>
    <col min="11778" max="11778" width="10.42578125" style="605" customWidth="1"/>
    <col min="11779" max="11779" width="23.140625" style="605" customWidth="1"/>
    <col min="11780" max="11780" width="11" style="605" customWidth="1"/>
    <col min="11781" max="11781" width="8.85546875" style="605" customWidth="1"/>
    <col min="11782" max="11782" width="10.42578125" style="605" customWidth="1"/>
    <col min="11783" max="11783" width="8.5703125" style="605" customWidth="1"/>
    <col min="11784" max="11784" width="9.5703125" style="605" customWidth="1"/>
    <col min="11785" max="11785" width="9.7109375" style="605" customWidth="1"/>
    <col min="11786" max="11786" width="9.85546875" style="605" customWidth="1"/>
    <col min="11787" max="11787" width="10" style="605" customWidth="1"/>
    <col min="11788" max="11788" width="10.7109375" style="605" customWidth="1"/>
    <col min="11789" max="11789" width="10.140625" style="605" customWidth="1"/>
    <col min="11790" max="11790" width="16.5703125" style="605" customWidth="1"/>
    <col min="11791" max="11791" width="11.140625" style="605" customWidth="1"/>
    <col min="11792" max="11792" width="9.28515625" style="605" customWidth="1"/>
    <col min="11793" max="12032" width="16.5703125" style="605"/>
    <col min="12033" max="12033" width="3.7109375" style="605" customWidth="1"/>
    <col min="12034" max="12034" width="10.42578125" style="605" customWidth="1"/>
    <col min="12035" max="12035" width="23.140625" style="605" customWidth="1"/>
    <col min="12036" max="12036" width="11" style="605" customWidth="1"/>
    <col min="12037" max="12037" width="8.85546875" style="605" customWidth="1"/>
    <col min="12038" max="12038" width="10.42578125" style="605" customWidth="1"/>
    <col min="12039" max="12039" width="8.5703125" style="605" customWidth="1"/>
    <col min="12040" max="12040" width="9.5703125" style="605" customWidth="1"/>
    <col min="12041" max="12041" width="9.7109375" style="605" customWidth="1"/>
    <col min="12042" max="12042" width="9.85546875" style="605" customWidth="1"/>
    <col min="12043" max="12043" width="10" style="605" customWidth="1"/>
    <col min="12044" max="12044" width="10.7109375" style="605" customWidth="1"/>
    <col min="12045" max="12045" width="10.140625" style="605" customWidth="1"/>
    <col min="12046" max="12046" width="16.5703125" style="605" customWidth="1"/>
    <col min="12047" max="12047" width="11.140625" style="605" customWidth="1"/>
    <col min="12048" max="12048" width="9.28515625" style="605" customWidth="1"/>
    <col min="12049" max="12288" width="16.5703125" style="605"/>
    <col min="12289" max="12289" width="3.7109375" style="605" customWidth="1"/>
    <col min="12290" max="12290" width="10.42578125" style="605" customWidth="1"/>
    <col min="12291" max="12291" width="23.140625" style="605" customWidth="1"/>
    <col min="12292" max="12292" width="11" style="605" customWidth="1"/>
    <col min="12293" max="12293" width="8.85546875" style="605" customWidth="1"/>
    <col min="12294" max="12294" width="10.42578125" style="605" customWidth="1"/>
    <col min="12295" max="12295" width="8.5703125" style="605" customWidth="1"/>
    <col min="12296" max="12296" width="9.5703125" style="605" customWidth="1"/>
    <col min="12297" max="12297" width="9.7109375" style="605" customWidth="1"/>
    <col min="12298" max="12298" width="9.85546875" style="605" customWidth="1"/>
    <col min="12299" max="12299" width="10" style="605" customWidth="1"/>
    <col min="12300" max="12300" width="10.7109375" style="605" customWidth="1"/>
    <col min="12301" max="12301" width="10.140625" style="605" customWidth="1"/>
    <col min="12302" max="12302" width="16.5703125" style="605" customWidth="1"/>
    <col min="12303" max="12303" width="11.140625" style="605" customWidth="1"/>
    <col min="12304" max="12304" width="9.28515625" style="605" customWidth="1"/>
    <col min="12305" max="12544" width="16.5703125" style="605"/>
    <col min="12545" max="12545" width="3.7109375" style="605" customWidth="1"/>
    <col min="12546" max="12546" width="10.42578125" style="605" customWidth="1"/>
    <col min="12547" max="12547" width="23.140625" style="605" customWidth="1"/>
    <col min="12548" max="12548" width="11" style="605" customWidth="1"/>
    <col min="12549" max="12549" width="8.85546875" style="605" customWidth="1"/>
    <col min="12550" max="12550" width="10.42578125" style="605" customWidth="1"/>
    <col min="12551" max="12551" width="8.5703125" style="605" customWidth="1"/>
    <col min="12552" max="12552" width="9.5703125" style="605" customWidth="1"/>
    <col min="12553" max="12553" width="9.7109375" style="605" customWidth="1"/>
    <col min="12554" max="12554" width="9.85546875" style="605" customWidth="1"/>
    <col min="12555" max="12555" width="10" style="605" customWidth="1"/>
    <col min="12556" max="12556" width="10.7109375" style="605" customWidth="1"/>
    <col min="12557" max="12557" width="10.140625" style="605" customWidth="1"/>
    <col min="12558" max="12558" width="16.5703125" style="605" customWidth="1"/>
    <col min="12559" max="12559" width="11.140625" style="605" customWidth="1"/>
    <col min="12560" max="12560" width="9.28515625" style="605" customWidth="1"/>
    <col min="12561" max="12800" width="16.5703125" style="605"/>
    <col min="12801" max="12801" width="3.7109375" style="605" customWidth="1"/>
    <col min="12802" max="12802" width="10.42578125" style="605" customWidth="1"/>
    <col min="12803" max="12803" width="23.140625" style="605" customWidth="1"/>
    <col min="12804" max="12804" width="11" style="605" customWidth="1"/>
    <col min="12805" max="12805" width="8.85546875" style="605" customWidth="1"/>
    <col min="12806" max="12806" width="10.42578125" style="605" customWidth="1"/>
    <col min="12807" max="12807" width="8.5703125" style="605" customWidth="1"/>
    <col min="12808" max="12808" width="9.5703125" style="605" customWidth="1"/>
    <col min="12809" max="12809" width="9.7109375" style="605" customWidth="1"/>
    <col min="12810" max="12810" width="9.85546875" style="605" customWidth="1"/>
    <col min="12811" max="12811" width="10" style="605" customWidth="1"/>
    <col min="12812" max="12812" width="10.7109375" style="605" customWidth="1"/>
    <col min="12813" max="12813" width="10.140625" style="605" customWidth="1"/>
    <col min="12814" max="12814" width="16.5703125" style="605" customWidth="1"/>
    <col min="12815" max="12815" width="11.140625" style="605" customWidth="1"/>
    <col min="12816" max="12816" width="9.28515625" style="605" customWidth="1"/>
    <col min="12817" max="13056" width="16.5703125" style="605"/>
    <col min="13057" max="13057" width="3.7109375" style="605" customWidth="1"/>
    <col min="13058" max="13058" width="10.42578125" style="605" customWidth="1"/>
    <col min="13059" max="13059" width="23.140625" style="605" customWidth="1"/>
    <col min="13060" max="13060" width="11" style="605" customWidth="1"/>
    <col min="13061" max="13061" width="8.85546875" style="605" customWidth="1"/>
    <col min="13062" max="13062" width="10.42578125" style="605" customWidth="1"/>
    <col min="13063" max="13063" width="8.5703125" style="605" customWidth="1"/>
    <col min="13064" max="13064" width="9.5703125" style="605" customWidth="1"/>
    <col min="13065" max="13065" width="9.7109375" style="605" customWidth="1"/>
    <col min="13066" max="13066" width="9.85546875" style="605" customWidth="1"/>
    <col min="13067" max="13067" width="10" style="605" customWidth="1"/>
    <col min="13068" max="13068" width="10.7109375" style="605" customWidth="1"/>
    <col min="13069" max="13069" width="10.140625" style="605" customWidth="1"/>
    <col min="13070" max="13070" width="16.5703125" style="605" customWidth="1"/>
    <col min="13071" max="13071" width="11.140625" style="605" customWidth="1"/>
    <col min="13072" max="13072" width="9.28515625" style="605" customWidth="1"/>
    <col min="13073" max="13312" width="16.5703125" style="605"/>
    <col min="13313" max="13313" width="3.7109375" style="605" customWidth="1"/>
    <col min="13314" max="13314" width="10.42578125" style="605" customWidth="1"/>
    <col min="13315" max="13315" width="23.140625" style="605" customWidth="1"/>
    <col min="13316" max="13316" width="11" style="605" customWidth="1"/>
    <col min="13317" max="13317" width="8.85546875" style="605" customWidth="1"/>
    <col min="13318" max="13318" width="10.42578125" style="605" customWidth="1"/>
    <col min="13319" max="13319" width="8.5703125" style="605" customWidth="1"/>
    <col min="13320" max="13320" width="9.5703125" style="605" customWidth="1"/>
    <col min="13321" max="13321" width="9.7109375" style="605" customWidth="1"/>
    <col min="13322" max="13322" width="9.85546875" style="605" customWidth="1"/>
    <col min="13323" max="13323" width="10" style="605" customWidth="1"/>
    <col min="13324" max="13324" width="10.7109375" style="605" customWidth="1"/>
    <col min="13325" max="13325" width="10.140625" style="605" customWidth="1"/>
    <col min="13326" max="13326" width="16.5703125" style="605" customWidth="1"/>
    <col min="13327" max="13327" width="11.140625" style="605" customWidth="1"/>
    <col min="13328" max="13328" width="9.28515625" style="605" customWidth="1"/>
    <col min="13329" max="13568" width="16.5703125" style="605"/>
    <col min="13569" max="13569" width="3.7109375" style="605" customWidth="1"/>
    <col min="13570" max="13570" width="10.42578125" style="605" customWidth="1"/>
    <col min="13571" max="13571" width="23.140625" style="605" customWidth="1"/>
    <col min="13572" max="13572" width="11" style="605" customWidth="1"/>
    <col min="13573" max="13573" width="8.85546875" style="605" customWidth="1"/>
    <col min="13574" max="13574" width="10.42578125" style="605" customWidth="1"/>
    <col min="13575" max="13575" width="8.5703125" style="605" customWidth="1"/>
    <col min="13576" max="13576" width="9.5703125" style="605" customWidth="1"/>
    <col min="13577" max="13577" width="9.7109375" style="605" customWidth="1"/>
    <col min="13578" max="13578" width="9.85546875" style="605" customWidth="1"/>
    <col min="13579" max="13579" width="10" style="605" customWidth="1"/>
    <col min="13580" max="13580" width="10.7109375" style="605" customWidth="1"/>
    <col min="13581" max="13581" width="10.140625" style="605" customWidth="1"/>
    <col min="13582" max="13582" width="16.5703125" style="605" customWidth="1"/>
    <col min="13583" max="13583" width="11.140625" style="605" customWidth="1"/>
    <col min="13584" max="13584" width="9.28515625" style="605" customWidth="1"/>
    <col min="13585" max="13824" width="16.5703125" style="605"/>
    <col min="13825" max="13825" width="3.7109375" style="605" customWidth="1"/>
    <col min="13826" max="13826" width="10.42578125" style="605" customWidth="1"/>
    <col min="13827" max="13827" width="23.140625" style="605" customWidth="1"/>
    <col min="13828" max="13828" width="11" style="605" customWidth="1"/>
    <col min="13829" max="13829" width="8.85546875" style="605" customWidth="1"/>
    <col min="13830" max="13830" width="10.42578125" style="605" customWidth="1"/>
    <col min="13831" max="13831" width="8.5703125" style="605" customWidth="1"/>
    <col min="13832" max="13832" width="9.5703125" style="605" customWidth="1"/>
    <col min="13833" max="13833" width="9.7109375" style="605" customWidth="1"/>
    <col min="13834" max="13834" width="9.85546875" style="605" customWidth="1"/>
    <col min="13835" max="13835" width="10" style="605" customWidth="1"/>
    <col min="13836" max="13836" width="10.7109375" style="605" customWidth="1"/>
    <col min="13837" max="13837" width="10.140625" style="605" customWidth="1"/>
    <col min="13838" max="13838" width="16.5703125" style="605" customWidth="1"/>
    <col min="13839" max="13839" width="11.140625" style="605" customWidth="1"/>
    <col min="13840" max="13840" width="9.28515625" style="605" customWidth="1"/>
    <col min="13841" max="14080" width="16.5703125" style="605"/>
    <col min="14081" max="14081" width="3.7109375" style="605" customWidth="1"/>
    <col min="14082" max="14082" width="10.42578125" style="605" customWidth="1"/>
    <col min="14083" max="14083" width="23.140625" style="605" customWidth="1"/>
    <col min="14084" max="14084" width="11" style="605" customWidth="1"/>
    <col min="14085" max="14085" width="8.85546875" style="605" customWidth="1"/>
    <col min="14086" max="14086" width="10.42578125" style="605" customWidth="1"/>
    <col min="14087" max="14087" width="8.5703125" style="605" customWidth="1"/>
    <col min="14088" max="14088" width="9.5703125" style="605" customWidth="1"/>
    <col min="14089" max="14089" width="9.7109375" style="605" customWidth="1"/>
    <col min="14090" max="14090" width="9.85546875" style="605" customWidth="1"/>
    <col min="14091" max="14091" width="10" style="605" customWidth="1"/>
    <col min="14092" max="14092" width="10.7109375" style="605" customWidth="1"/>
    <col min="14093" max="14093" width="10.140625" style="605" customWidth="1"/>
    <col min="14094" max="14094" width="16.5703125" style="605" customWidth="1"/>
    <col min="14095" max="14095" width="11.140625" style="605" customWidth="1"/>
    <col min="14096" max="14096" width="9.28515625" style="605" customWidth="1"/>
    <col min="14097" max="14336" width="16.5703125" style="605"/>
    <col min="14337" max="14337" width="3.7109375" style="605" customWidth="1"/>
    <col min="14338" max="14338" width="10.42578125" style="605" customWidth="1"/>
    <col min="14339" max="14339" width="23.140625" style="605" customWidth="1"/>
    <col min="14340" max="14340" width="11" style="605" customWidth="1"/>
    <col min="14341" max="14341" width="8.85546875" style="605" customWidth="1"/>
    <col min="14342" max="14342" width="10.42578125" style="605" customWidth="1"/>
    <col min="14343" max="14343" width="8.5703125" style="605" customWidth="1"/>
    <col min="14344" max="14344" width="9.5703125" style="605" customWidth="1"/>
    <col min="14345" max="14345" width="9.7109375" style="605" customWidth="1"/>
    <col min="14346" max="14346" width="9.85546875" style="605" customWidth="1"/>
    <col min="14347" max="14347" width="10" style="605" customWidth="1"/>
    <col min="14348" max="14348" width="10.7109375" style="605" customWidth="1"/>
    <col min="14349" max="14349" width="10.140625" style="605" customWidth="1"/>
    <col min="14350" max="14350" width="16.5703125" style="605" customWidth="1"/>
    <col min="14351" max="14351" width="11.140625" style="605" customWidth="1"/>
    <col min="14352" max="14352" width="9.28515625" style="605" customWidth="1"/>
    <col min="14353" max="14592" width="16.5703125" style="605"/>
    <col min="14593" max="14593" width="3.7109375" style="605" customWidth="1"/>
    <col min="14594" max="14594" width="10.42578125" style="605" customWidth="1"/>
    <col min="14595" max="14595" width="23.140625" style="605" customWidth="1"/>
    <col min="14596" max="14596" width="11" style="605" customWidth="1"/>
    <col min="14597" max="14597" width="8.85546875" style="605" customWidth="1"/>
    <col min="14598" max="14598" width="10.42578125" style="605" customWidth="1"/>
    <col min="14599" max="14599" width="8.5703125" style="605" customWidth="1"/>
    <col min="14600" max="14600" width="9.5703125" style="605" customWidth="1"/>
    <col min="14601" max="14601" width="9.7109375" style="605" customWidth="1"/>
    <col min="14602" max="14602" width="9.85546875" style="605" customWidth="1"/>
    <col min="14603" max="14603" width="10" style="605" customWidth="1"/>
    <col min="14604" max="14604" width="10.7109375" style="605" customWidth="1"/>
    <col min="14605" max="14605" width="10.140625" style="605" customWidth="1"/>
    <col min="14606" max="14606" width="16.5703125" style="605" customWidth="1"/>
    <col min="14607" max="14607" width="11.140625" style="605" customWidth="1"/>
    <col min="14608" max="14608" width="9.28515625" style="605" customWidth="1"/>
    <col min="14609" max="14848" width="16.5703125" style="605"/>
    <col min="14849" max="14849" width="3.7109375" style="605" customWidth="1"/>
    <col min="14850" max="14850" width="10.42578125" style="605" customWidth="1"/>
    <col min="14851" max="14851" width="23.140625" style="605" customWidth="1"/>
    <col min="14852" max="14852" width="11" style="605" customWidth="1"/>
    <col min="14853" max="14853" width="8.85546875" style="605" customWidth="1"/>
    <col min="14854" max="14854" width="10.42578125" style="605" customWidth="1"/>
    <col min="14855" max="14855" width="8.5703125" style="605" customWidth="1"/>
    <col min="14856" max="14856" width="9.5703125" style="605" customWidth="1"/>
    <col min="14857" max="14857" width="9.7109375" style="605" customWidth="1"/>
    <col min="14858" max="14858" width="9.85546875" style="605" customWidth="1"/>
    <col min="14859" max="14859" width="10" style="605" customWidth="1"/>
    <col min="14860" max="14860" width="10.7109375" style="605" customWidth="1"/>
    <col min="14861" max="14861" width="10.140625" style="605" customWidth="1"/>
    <col min="14862" max="14862" width="16.5703125" style="605" customWidth="1"/>
    <col min="14863" max="14863" width="11.140625" style="605" customWidth="1"/>
    <col min="14864" max="14864" width="9.28515625" style="605" customWidth="1"/>
    <col min="14865" max="15104" width="16.5703125" style="605"/>
    <col min="15105" max="15105" width="3.7109375" style="605" customWidth="1"/>
    <col min="15106" max="15106" width="10.42578125" style="605" customWidth="1"/>
    <col min="15107" max="15107" width="23.140625" style="605" customWidth="1"/>
    <col min="15108" max="15108" width="11" style="605" customWidth="1"/>
    <col min="15109" max="15109" width="8.85546875" style="605" customWidth="1"/>
    <col min="15110" max="15110" width="10.42578125" style="605" customWidth="1"/>
    <col min="15111" max="15111" width="8.5703125" style="605" customWidth="1"/>
    <col min="15112" max="15112" width="9.5703125" style="605" customWidth="1"/>
    <col min="15113" max="15113" width="9.7109375" style="605" customWidth="1"/>
    <col min="15114" max="15114" width="9.85546875" style="605" customWidth="1"/>
    <col min="15115" max="15115" width="10" style="605" customWidth="1"/>
    <col min="15116" max="15116" width="10.7109375" style="605" customWidth="1"/>
    <col min="15117" max="15117" width="10.140625" style="605" customWidth="1"/>
    <col min="15118" max="15118" width="16.5703125" style="605" customWidth="1"/>
    <col min="15119" max="15119" width="11.140625" style="605" customWidth="1"/>
    <col min="15120" max="15120" width="9.28515625" style="605" customWidth="1"/>
    <col min="15121" max="15360" width="16.5703125" style="605"/>
    <col min="15361" max="15361" width="3.7109375" style="605" customWidth="1"/>
    <col min="15362" max="15362" width="10.42578125" style="605" customWidth="1"/>
    <col min="15363" max="15363" width="23.140625" style="605" customWidth="1"/>
    <col min="15364" max="15364" width="11" style="605" customWidth="1"/>
    <col min="15365" max="15365" width="8.85546875" style="605" customWidth="1"/>
    <col min="15366" max="15366" width="10.42578125" style="605" customWidth="1"/>
    <col min="15367" max="15367" width="8.5703125" style="605" customWidth="1"/>
    <col min="15368" max="15368" width="9.5703125" style="605" customWidth="1"/>
    <col min="15369" max="15369" width="9.7109375" style="605" customWidth="1"/>
    <col min="15370" max="15370" width="9.85546875" style="605" customWidth="1"/>
    <col min="15371" max="15371" width="10" style="605" customWidth="1"/>
    <col min="15372" max="15372" width="10.7109375" style="605" customWidth="1"/>
    <col min="15373" max="15373" width="10.140625" style="605" customWidth="1"/>
    <col min="15374" max="15374" width="16.5703125" style="605" customWidth="1"/>
    <col min="15375" max="15375" width="11.140625" style="605" customWidth="1"/>
    <col min="15376" max="15376" width="9.28515625" style="605" customWidth="1"/>
    <col min="15377" max="15616" width="16.5703125" style="605"/>
    <col min="15617" max="15617" width="3.7109375" style="605" customWidth="1"/>
    <col min="15618" max="15618" width="10.42578125" style="605" customWidth="1"/>
    <col min="15619" max="15619" width="23.140625" style="605" customWidth="1"/>
    <col min="15620" max="15620" width="11" style="605" customWidth="1"/>
    <col min="15621" max="15621" width="8.85546875" style="605" customWidth="1"/>
    <col min="15622" max="15622" width="10.42578125" style="605" customWidth="1"/>
    <col min="15623" max="15623" width="8.5703125" style="605" customWidth="1"/>
    <col min="15624" max="15624" width="9.5703125" style="605" customWidth="1"/>
    <col min="15625" max="15625" width="9.7109375" style="605" customWidth="1"/>
    <col min="15626" max="15626" width="9.85546875" style="605" customWidth="1"/>
    <col min="15627" max="15627" width="10" style="605" customWidth="1"/>
    <col min="15628" max="15628" width="10.7109375" style="605" customWidth="1"/>
    <col min="15629" max="15629" width="10.140625" style="605" customWidth="1"/>
    <col min="15630" max="15630" width="16.5703125" style="605" customWidth="1"/>
    <col min="15631" max="15631" width="11.140625" style="605" customWidth="1"/>
    <col min="15632" max="15632" width="9.28515625" style="605" customWidth="1"/>
    <col min="15633" max="15872" width="16.5703125" style="605"/>
    <col min="15873" max="15873" width="3.7109375" style="605" customWidth="1"/>
    <col min="15874" max="15874" width="10.42578125" style="605" customWidth="1"/>
    <col min="15875" max="15875" width="23.140625" style="605" customWidth="1"/>
    <col min="15876" max="15876" width="11" style="605" customWidth="1"/>
    <col min="15877" max="15877" width="8.85546875" style="605" customWidth="1"/>
    <col min="15878" max="15878" width="10.42578125" style="605" customWidth="1"/>
    <col min="15879" max="15879" width="8.5703125" style="605" customWidth="1"/>
    <col min="15880" max="15880" width="9.5703125" style="605" customWidth="1"/>
    <col min="15881" max="15881" width="9.7109375" style="605" customWidth="1"/>
    <col min="15882" max="15882" width="9.85546875" style="605" customWidth="1"/>
    <col min="15883" max="15883" width="10" style="605" customWidth="1"/>
    <col min="15884" max="15884" width="10.7109375" style="605" customWidth="1"/>
    <col min="15885" max="15885" width="10.140625" style="605" customWidth="1"/>
    <col min="15886" max="15886" width="16.5703125" style="605" customWidth="1"/>
    <col min="15887" max="15887" width="11.140625" style="605" customWidth="1"/>
    <col min="15888" max="15888" width="9.28515625" style="605" customWidth="1"/>
    <col min="15889" max="16128" width="16.5703125" style="605"/>
    <col min="16129" max="16129" width="3.7109375" style="605" customWidth="1"/>
    <col min="16130" max="16130" width="10.42578125" style="605" customWidth="1"/>
    <col min="16131" max="16131" width="23.140625" style="605" customWidth="1"/>
    <col min="16132" max="16132" width="11" style="605" customWidth="1"/>
    <col min="16133" max="16133" width="8.85546875" style="605" customWidth="1"/>
    <col min="16134" max="16134" width="10.42578125" style="605" customWidth="1"/>
    <col min="16135" max="16135" width="8.5703125" style="605" customWidth="1"/>
    <col min="16136" max="16136" width="9.5703125" style="605" customWidth="1"/>
    <col min="16137" max="16137" width="9.7109375" style="605" customWidth="1"/>
    <col min="16138" max="16138" width="9.85546875" style="605" customWidth="1"/>
    <col min="16139" max="16139" width="10" style="605" customWidth="1"/>
    <col min="16140" max="16140" width="10.7109375" style="605" customWidth="1"/>
    <col min="16141" max="16141" width="10.140625" style="605" customWidth="1"/>
    <col min="16142" max="16142" width="16.5703125" style="605" customWidth="1"/>
    <col min="16143" max="16143" width="11.140625" style="605" customWidth="1"/>
    <col min="16144" max="16144" width="9.28515625" style="605" customWidth="1"/>
    <col min="16145" max="16384" width="16.5703125" style="605"/>
  </cols>
  <sheetData>
    <row r="5" spans="3:18" s="606" customFormat="1" ht="34.5" customHeight="1">
      <c r="C5" s="489" t="s">
        <v>410</v>
      </c>
      <c r="D5" s="490"/>
      <c r="E5" s="490"/>
      <c r="F5" s="490"/>
      <c r="G5" s="490"/>
      <c r="H5" s="490"/>
      <c r="I5" s="490"/>
      <c r="J5" s="490"/>
      <c r="K5" s="490"/>
      <c r="L5" s="490"/>
      <c r="M5" s="491"/>
    </row>
    <row r="6" spans="3:18" s="606" customFormat="1" ht="18.75" customHeight="1">
      <c r="C6" s="628" t="s">
        <v>262</v>
      </c>
      <c r="D6" s="629" t="s">
        <v>411</v>
      </c>
      <c r="E6" s="629"/>
      <c r="F6" s="629" t="s">
        <v>412</v>
      </c>
      <c r="G6" s="629"/>
      <c r="H6" s="629" t="s">
        <v>413</v>
      </c>
      <c r="I6" s="629"/>
      <c r="J6" s="629" t="s">
        <v>414</v>
      </c>
      <c r="K6" s="629"/>
      <c r="L6" s="629" t="s">
        <v>415</v>
      </c>
      <c r="M6" s="629"/>
    </row>
    <row r="7" spans="3:18" s="606" customFormat="1" ht="36">
      <c r="C7" s="630"/>
      <c r="D7" s="631" t="str">
        <f>'Plazas Autorizadas tipología'!C5</f>
        <v>julio 2010</v>
      </c>
      <c r="E7" s="632" t="s">
        <v>416</v>
      </c>
      <c r="F7" s="633" t="str">
        <f>D7</f>
        <v>julio 2010</v>
      </c>
      <c r="G7" s="493" t="s">
        <v>416</v>
      </c>
      <c r="H7" s="492" t="str">
        <f>F7</f>
        <v>julio 2010</v>
      </c>
      <c r="I7" s="493" t="s">
        <v>416</v>
      </c>
      <c r="J7" s="492" t="str">
        <f>H7</f>
        <v>julio 2010</v>
      </c>
      <c r="K7" s="493" t="s">
        <v>416</v>
      </c>
      <c r="L7" s="492" t="str">
        <f>J7</f>
        <v>julio 2010</v>
      </c>
      <c r="M7" s="493" t="s">
        <v>416</v>
      </c>
    </row>
    <row r="8" spans="3:18">
      <c r="C8" s="634" t="s">
        <v>417</v>
      </c>
      <c r="D8" s="635">
        <f>'Plazas Autorizadas tipología'!D8</f>
        <v>47298</v>
      </c>
      <c r="E8" s="636">
        <f>D8/$D$39</f>
        <v>0.35199035520528676</v>
      </c>
      <c r="F8" s="635">
        <f>'Plazas Autorizadas tipología'!F8</f>
        <v>33818</v>
      </c>
      <c r="G8" s="637">
        <f>F8/$F$39</f>
        <v>0.41263101382432249</v>
      </c>
      <c r="H8" s="638">
        <f>'Plazas Autorizadas tipología'!H8</f>
        <v>13444</v>
      </c>
      <c r="I8" s="637">
        <f>H8/$H$39</f>
        <v>0.26274747395782438</v>
      </c>
      <c r="J8" s="638">
        <f>'Plazas Autorizadas tipología'!J8</f>
        <v>22</v>
      </c>
      <c r="K8" s="637">
        <f>J8/$J$39</f>
        <v>4.6511627906976744E-2</v>
      </c>
      <c r="L8" s="638">
        <f>'Plazas Autorizadas tipología'!L8</f>
        <v>14</v>
      </c>
      <c r="M8" s="639">
        <f t="shared" ref="M8:M23" si="0">L8/$L$39</f>
        <v>1.804123711340206E-2</v>
      </c>
      <c r="N8" s="640"/>
      <c r="O8" s="640"/>
    </row>
    <row r="9" spans="3:18">
      <c r="C9" s="641" t="s">
        <v>418</v>
      </c>
      <c r="D9" s="638">
        <f>'Plazas Autorizadas tipología'!D9</f>
        <v>17</v>
      </c>
      <c r="E9" s="637">
        <f>D9/$D$39</f>
        <v>1.2651351089876687E-4</v>
      </c>
      <c r="F9" s="638">
        <f>'Plazas Autorizadas tipología'!F9</f>
        <v>0</v>
      </c>
      <c r="G9" s="638">
        <f>'Plazas Autorizadas tipología'!H9</f>
        <v>0</v>
      </c>
      <c r="H9" s="638">
        <f>'Plazas Autorizadas tipología'!H9</f>
        <v>0</v>
      </c>
      <c r="I9" s="638">
        <f>'Plazas Autorizadas tipología'!J9</f>
        <v>0</v>
      </c>
      <c r="J9" s="638">
        <f>'Plazas Autorizadas tipología'!J9</f>
        <v>0</v>
      </c>
      <c r="K9" s="642" t="s">
        <v>32</v>
      </c>
      <c r="L9" s="638">
        <f>'Plazas Autorizadas tipología'!L9</f>
        <v>17</v>
      </c>
      <c r="M9" s="639">
        <f t="shared" si="0"/>
        <v>2.1907216494845359E-2</v>
      </c>
      <c r="N9" s="640"/>
      <c r="O9" s="640"/>
    </row>
    <row r="10" spans="3:18">
      <c r="C10" s="641" t="s">
        <v>419</v>
      </c>
      <c r="D10" s="638">
        <f>'Plazas Autorizadas tipología'!D10</f>
        <v>111</v>
      </c>
      <c r="E10" s="637">
        <f t="shared" ref="E10:E39" si="1">D10/$D$39</f>
        <v>8.2605880645665423E-4</v>
      </c>
      <c r="F10" s="638">
        <f>'Plazas Autorizadas tipología'!F10</f>
        <v>18</v>
      </c>
      <c r="G10" s="637">
        <f t="shared" ref="G10:G39" si="2">F10/$F$39</f>
        <v>2.1962736556975E-4</v>
      </c>
      <c r="H10" s="638">
        <f>'Plazas Autorizadas tipología'!H10</f>
        <v>20</v>
      </c>
      <c r="I10" s="637">
        <f t="shared" ref="I10:I39" si="3">H10/$H$39</f>
        <v>3.9087693239783452E-4</v>
      </c>
      <c r="J10" s="638">
        <f>'Plazas Autorizadas tipología'!J10</f>
        <v>0</v>
      </c>
      <c r="K10" s="642" t="s">
        <v>32</v>
      </c>
      <c r="L10" s="638">
        <f>'Plazas Autorizadas tipología'!L10</f>
        <v>73</v>
      </c>
      <c r="M10" s="639">
        <f t="shared" si="0"/>
        <v>9.4072164948453607E-2</v>
      </c>
      <c r="N10" s="640"/>
      <c r="O10" s="640"/>
    </row>
    <row r="11" spans="3:18">
      <c r="C11" s="641" t="s">
        <v>420</v>
      </c>
      <c r="D11" s="638">
        <f>'Plazas Autorizadas tipología'!D11</f>
        <v>39569</v>
      </c>
      <c r="E11" s="637">
        <f t="shared" si="1"/>
        <v>0.29447135957372389</v>
      </c>
      <c r="F11" s="638">
        <f>'Plazas Autorizadas tipología'!F11</f>
        <v>16604</v>
      </c>
      <c r="G11" s="637">
        <f t="shared" si="2"/>
        <v>0.20259404321778493</v>
      </c>
      <c r="H11" s="638">
        <f>'Plazas Autorizadas tipología'!H11</f>
        <v>22945</v>
      </c>
      <c r="I11" s="637">
        <f t="shared" si="3"/>
        <v>0.44843356069341567</v>
      </c>
      <c r="J11" s="638">
        <f>'Plazas Autorizadas tipología'!J11</f>
        <v>0</v>
      </c>
      <c r="K11" s="642" t="s">
        <v>32</v>
      </c>
      <c r="L11" s="638">
        <f>'Plazas Autorizadas tipología'!L11</f>
        <v>20</v>
      </c>
      <c r="M11" s="639">
        <f t="shared" si="0"/>
        <v>2.5773195876288658E-2</v>
      </c>
      <c r="N11" s="640"/>
      <c r="O11" s="640"/>
    </row>
    <row r="12" spans="3:18">
      <c r="C12" s="641" t="s">
        <v>421</v>
      </c>
      <c r="D12" s="638">
        <f>'Plazas Autorizadas tipología'!D12</f>
        <v>30</v>
      </c>
      <c r="E12" s="637">
        <f t="shared" si="1"/>
        <v>2.2325913688017683E-4</v>
      </c>
      <c r="F12" s="638">
        <f>'Plazas Autorizadas tipología'!F12</f>
        <v>0</v>
      </c>
      <c r="G12" s="638">
        <f>'Plazas Autorizadas tipología'!H12</f>
        <v>0</v>
      </c>
      <c r="H12" s="638">
        <f>'Plazas Autorizadas tipología'!H12</f>
        <v>0</v>
      </c>
      <c r="I12" s="638">
        <f>'Plazas Autorizadas tipología'!J12</f>
        <v>0</v>
      </c>
      <c r="J12" s="638">
        <f>'Plazas Autorizadas tipología'!J12</f>
        <v>0</v>
      </c>
      <c r="K12" s="642" t="s">
        <v>32</v>
      </c>
      <c r="L12" s="638">
        <f>'Plazas Autorizadas tipología'!L12</f>
        <v>30</v>
      </c>
      <c r="M12" s="639">
        <f t="shared" si="0"/>
        <v>3.8659793814432991E-2</v>
      </c>
      <c r="N12" s="640"/>
      <c r="O12" s="640"/>
    </row>
    <row r="13" spans="3:18">
      <c r="C13" s="641" t="s">
        <v>422</v>
      </c>
      <c r="D13" s="638">
        <f>'Plazas Autorizadas tipología'!D13</f>
        <v>1026</v>
      </c>
      <c r="E13" s="637">
        <f t="shared" si="1"/>
        <v>7.6354624813020477E-3</v>
      </c>
      <c r="F13" s="638">
        <f>'Plazas Autorizadas tipología'!F13</f>
        <v>986</v>
      </c>
      <c r="G13" s="637">
        <f t="shared" si="2"/>
        <v>1.2030699025098528E-2</v>
      </c>
      <c r="H13" s="638">
        <f>'Plazas Autorizadas tipología'!H13</f>
        <v>28</v>
      </c>
      <c r="I13" s="637">
        <f t="shared" si="3"/>
        <v>5.4722770535696832E-4</v>
      </c>
      <c r="J13" s="638">
        <f>'Plazas Autorizadas tipología'!J13</f>
        <v>0</v>
      </c>
      <c r="K13" s="642" t="s">
        <v>32</v>
      </c>
      <c r="L13" s="638">
        <f>'Plazas Autorizadas tipología'!L13</f>
        <v>12</v>
      </c>
      <c r="M13" s="639">
        <f t="shared" si="0"/>
        <v>1.5463917525773196E-2</v>
      </c>
      <c r="N13" s="640"/>
      <c r="O13" s="640"/>
    </row>
    <row r="14" spans="3:18">
      <c r="C14" s="641" t="s">
        <v>423</v>
      </c>
      <c r="D14" s="638">
        <f>'Plazas Autorizadas tipología'!D14</f>
        <v>20</v>
      </c>
      <c r="E14" s="637">
        <f t="shared" si="1"/>
        <v>1.4883942458678454E-4</v>
      </c>
      <c r="F14" s="638">
        <f>'Plazas Autorizadas tipología'!F14</f>
        <v>0</v>
      </c>
      <c r="G14" s="638">
        <f>'Plazas Autorizadas tipología'!H14</f>
        <v>0</v>
      </c>
      <c r="H14" s="638">
        <f>'Plazas Autorizadas tipología'!H14</f>
        <v>0</v>
      </c>
      <c r="I14" s="638">
        <f>'Plazas Autorizadas tipología'!J14</f>
        <v>0</v>
      </c>
      <c r="J14" s="638">
        <f>'Plazas Autorizadas tipología'!J14</f>
        <v>0</v>
      </c>
      <c r="K14" s="642" t="s">
        <v>32</v>
      </c>
      <c r="L14" s="638">
        <f>'Plazas Autorizadas tipología'!L14</f>
        <v>20</v>
      </c>
      <c r="M14" s="639">
        <f t="shared" si="0"/>
        <v>2.5773195876288658E-2</v>
      </c>
      <c r="N14" s="640"/>
      <c r="O14" s="640"/>
      <c r="P14" s="640"/>
      <c r="Q14" s="640"/>
      <c r="R14" s="640"/>
    </row>
    <row r="15" spans="3:18">
      <c r="C15" s="641" t="s">
        <v>424</v>
      </c>
      <c r="D15" s="638">
        <f>'Plazas Autorizadas tipología'!D15</f>
        <v>163</v>
      </c>
      <c r="E15" s="637">
        <f t="shared" si="1"/>
        <v>1.2130413103822941E-3</v>
      </c>
      <c r="F15" s="638">
        <f>'Plazas Autorizadas tipología'!F15</f>
        <v>46</v>
      </c>
      <c r="G15" s="637">
        <f t="shared" si="2"/>
        <v>5.6126993423380553E-4</v>
      </c>
      <c r="H15" s="638">
        <f>'Plazas Autorizadas tipología'!H15</f>
        <v>4</v>
      </c>
      <c r="I15" s="637">
        <f t="shared" si="3"/>
        <v>7.8175386479566912E-5</v>
      </c>
      <c r="J15" s="638">
        <f>'Plazas Autorizadas tipología'!J15</f>
        <v>78</v>
      </c>
      <c r="K15" s="637">
        <f>J15/$J$39</f>
        <v>0.16490486257928119</v>
      </c>
      <c r="L15" s="638">
        <f>'Plazas Autorizadas tipología'!L15</f>
        <v>35</v>
      </c>
      <c r="M15" s="639">
        <f t="shared" si="0"/>
        <v>4.5103092783505154E-2</v>
      </c>
      <c r="N15" s="640"/>
      <c r="O15" s="640"/>
      <c r="P15" s="640"/>
      <c r="Q15" s="640"/>
      <c r="R15" s="640"/>
    </row>
    <row r="16" spans="3:18">
      <c r="C16" s="641" t="s">
        <v>425</v>
      </c>
      <c r="D16" s="638">
        <f>'Plazas Autorizadas tipología'!D16</f>
        <v>1376</v>
      </c>
      <c r="E16" s="637">
        <f t="shared" si="1"/>
        <v>1.0240152411570776E-2</v>
      </c>
      <c r="F16" s="638">
        <f>'Plazas Autorizadas tipología'!F16</f>
        <v>930</v>
      </c>
      <c r="G16" s="637">
        <f t="shared" si="2"/>
        <v>1.1347413887770417E-2</v>
      </c>
      <c r="H16" s="638">
        <f>'Plazas Autorizadas tipología'!H16</f>
        <v>383</v>
      </c>
      <c r="I16" s="637">
        <f t="shared" si="3"/>
        <v>7.4852932554185314E-3</v>
      </c>
      <c r="J16" s="638">
        <f>'Plazas Autorizadas tipología'!J16</f>
        <v>0</v>
      </c>
      <c r="K16" s="637">
        <f>J16/$J$39</f>
        <v>0</v>
      </c>
      <c r="L16" s="638">
        <f>'Plazas Autorizadas tipología'!L16</f>
        <v>63</v>
      </c>
      <c r="M16" s="639">
        <f t="shared" si="0"/>
        <v>8.1185567010309281E-2</v>
      </c>
      <c r="N16" s="640"/>
      <c r="O16" s="640"/>
      <c r="P16" s="640"/>
      <c r="Q16" s="640"/>
      <c r="R16" s="640"/>
    </row>
    <row r="17" spans="3:18">
      <c r="C17" s="641" t="s">
        <v>426</v>
      </c>
      <c r="D17" s="638">
        <f>'Plazas Autorizadas tipología'!D17</f>
        <v>4</v>
      </c>
      <c r="E17" s="637">
        <f t="shared" si="1"/>
        <v>2.9767884917356909E-5</v>
      </c>
      <c r="F17" s="638">
        <f>'Plazas Autorizadas tipología'!F17</f>
        <v>0</v>
      </c>
      <c r="G17" s="638">
        <f>'Plazas Autorizadas tipología'!H17</f>
        <v>0</v>
      </c>
      <c r="H17" s="638">
        <f>'Plazas Autorizadas tipología'!H17</f>
        <v>0</v>
      </c>
      <c r="I17" s="638">
        <f>'Plazas Autorizadas tipología'!J17</f>
        <v>0</v>
      </c>
      <c r="J17" s="638">
        <f>'Plazas Autorizadas tipología'!J17</f>
        <v>0</v>
      </c>
      <c r="K17" s="642" t="s">
        <v>32</v>
      </c>
      <c r="L17" s="638">
        <f>'Plazas Autorizadas tipología'!L17</f>
        <v>4</v>
      </c>
      <c r="M17" s="639">
        <f t="shared" si="0"/>
        <v>5.1546391752577319E-3</v>
      </c>
      <c r="N17" s="640"/>
      <c r="O17" s="640"/>
      <c r="P17" s="640"/>
      <c r="Q17" s="640"/>
      <c r="R17" s="640"/>
    </row>
    <row r="18" spans="3:18">
      <c r="C18" s="641" t="s">
        <v>427</v>
      </c>
      <c r="D18" s="638">
        <f>'Plazas Autorizadas tipología'!D18</f>
        <v>2339</v>
      </c>
      <c r="E18" s="637">
        <f t="shared" si="1"/>
        <v>1.7406770705424453E-2</v>
      </c>
      <c r="F18" s="638">
        <f>'Plazas Autorizadas tipología'!F18</f>
        <v>2261</v>
      </c>
      <c r="G18" s="637">
        <f t="shared" si="2"/>
        <v>2.7587637419622484E-2</v>
      </c>
      <c r="H18" s="638">
        <f>'Plazas Autorizadas tipología'!H18</f>
        <v>30</v>
      </c>
      <c r="I18" s="637">
        <f t="shared" si="3"/>
        <v>5.8631539859675186E-4</v>
      </c>
      <c r="J18" s="638">
        <f>'Plazas Autorizadas tipología'!J18</f>
        <v>15</v>
      </c>
      <c r="K18" s="637">
        <f>J18/$J$39</f>
        <v>3.1712473572938688E-2</v>
      </c>
      <c r="L18" s="638">
        <f>'Plazas Autorizadas tipología'!L18</f>
        <v>33</v>
      </c>
      <c r="M18" s="639">
        <f t="shared" si="0"/>
        <v>4.252577319587629E-2</v>
      </c>
      <c r="N18" s="640"/>
      <c r="O18" s="640"/>
      <c r="P18" s="640"/>
      <c r="Q18" s="640"/>
      <c r="R18" s="640"/>
    </row>
    <row r="19" spans="3:18">
      <c r="C19" s="641" t="s">
        <v>428</v>
      </c>
      <c r="D19" s="638">
        <f>'Plazas Autorizadas tipología'!D19</f>
        <v>80</v>
      </c>
      <c r="E19" s="637">
        <f t="shared" si="1"/>
        <v>5.9535769834713817E-4</v>
      </c>
      <c r="F19" s="638">
        <f>'Plazas Autorizadas tipología'!F19</f>
        <v>0</v>
      </c>
      <c r="G19" s="638">
        <f>'Plazas Autorizadas tipología'!H19</f>
        <v>0</v>
      </c>
      <c r="H19" s="638">
        <f>'Plazas Autorizadas tipología'!H19</f>
        <v>0</v>
      </c>
      <c r="I19" s="642" t="s">
        <v>32</v>
      </c>
      <c r="J19" s="638">
        <f>'Plazas Autorizadas tipología'!J19</f>
        <v>65</v>
      </c>
      <c r="K19" s="637">
        <f>J19/$J$39</f>
        <v>0.13742071881606766</v>
      </c>
      <c r="L19" s="638">
        <f>'Plazas Autorizadas tipología'!L19</f>
        <v>15</v>
      </c>
      <c r="M19" s="639">
        <f t="shared" si="0"/>
        <v>1.9329896907216496E-2</v>
      </c>
      <c r="N19" s="640"/>
      <c r="O19" s="640"/>
      <c r="P19" s="640"/>
      <c r="Q19" s="640"/>
      <c r="R19" s="640"/>
    </row>
    <row r="20" spans="3:18">
      <c r="C20" s="641" t="s">
        <v>429</v>
      </c>
      <c r="D20" s="638">
        <f>'Plazas Autorizadas tipología'!D20</f>
        <v>97</v>
      </c>
      <c r="E20" s="637">
        <f t="shared" si="1"/>
        <v>7.2187120924590501E-4</v>
      </c>
      <c r="F20" s="638">
        <f>'Plazas Autorizadas tipología'!F20</f>
        <v>0</v>
      </c>
      <c r="G20" s="638">
        <f>'Plazas Autorizadas tipología'!H20</f>
        <v>0</v>
      </c>
      <c r="H20" s="638">
        <f>'Plazas Autorizadas tipología'!H20</f>
        <v>0</v>
      </c>
      <c r="I20" s="642" t="s">
        <v>32</v>
      </c>
      <c r="J20" s="638">
        <f>'Plazas Autorizadas tipología'!J20</f>
        <v>0</v>
      </c>
      <c r="K20" s="642" t="s">
        <v>32</v>
      </c>
      <c r="L20" s="638">
        <f>'Plazas Autorizadas tipología'!L20</f>
        <v>97</v>
      </c>
      <c r="M20" s="639">
        <f t="shared" si="0"/>
        <v>0.125</v>
      </c>
      <c r="N20" s="640"/>
      <c r="O20" s="640"/>
      <c r="P20" s="640"/>
      <c r="Q20" s="640"/>
      <c r="R20" s="640"/>
    </row>
    <row r="21" spans="3:18">
      <c r="C21" s="641" t="s">
        <v>430</v>
      </c>
      <c r="D21" s="638">
        <f>'Plazas Autorizadas tipología'!D21</f>
        <v>1173</v>
      </c>
      <c r="E21" s="637">
        <f t="shared" si="1"/>
        <v>8.7294322520149129E-3</v>
      </c>
      <c r="F21" s="638">
        <f>'Plazas Autorizadas tipología'!F21</f>
        <v>689</v>
      </c>
      <c r="G21" s="637">
        <f t="shared" si="2"/>
        <v>8.4068474931976531E-3</v>
      </c>
      <c r="H21" s="638">
        <f>'Plazas Autorizadas tipología'!H21</f>
        <v>414</v>
      </c>
      <c r="I21" s="637">
        <f t="shared" si="3"/>
        <v>8.0911525006351747E-3</v>
      </c>
      <c r="J21" s="638">
        <f>'Plazas Autorizadas tipología'!J21</f>
        <v>22</v>
      </c>
      <c r="K21" s="637">
        <f>J21/$J$39</f>
        <v>4.6511627906976744E-2</v>
      </c>
      <c r="L21" s="638">
        <f>'Plazas Autorizadas tipología'!L21</f>
        <v>48</v>
      </c>
      <c r="M21" s="639">
        <f t="shared" si="0"/>
        <v>6.1855670103092786E-2</v>
      </c>
      <c r="N21" s="640"/>
      <c r="O21" s="640"/>
      <c r="P21" s="640"/>
      <c r="Q21" s="640"/>
      <c r="R21" s="640"/>
    </row>
    <row r="22" spans="3:18">
      <c r="C22" s="641" t="s">
        <v>431</v>
      </c>
      <c r="D22" s="638">
        <f>'Plazas Autorizadas tipología'!D22</f>
        <v>24</v>
      </c>
      <c r="E22" s="637">
        <f t="shared" si="1"/>
        <v>1.7860730950414145E-4</v>
      </c>
      <c r="F22" s="638">
        <f>'Plazas Autorizadas tipología'!F22</f>
        <v>0</v>
      </c>
      <c r="G22" s="638">
        <f>'Plazas Autorizadas tipología'!H22</f>
        <v>0</v>
      </c>
      <c r="H22" s="638">
        <f>'Plazas Autorizadas tipología'!H22</f>
        <v>0</v>
      </c>
      <c r="I22" s="642" t="s">
        <v>32</v>
      </c>
      <c r="J22" s="638">
        <f>'Plazas Autorizadas tipología'!J22</f>
        <v>0</v>
      </c>
      <c r="K22" s="642" t="s">
        <v>32</v>
      </c>
      <c r="L22" s="638">
        <f>'Plazas Autorizadas tipología'!L22</f>
        <v>24</v>
      </c>
      <c r="M22" s="639">
        <f t="shared" si="0"/>
        <v>3.0927835051546393E-2</v>
      </c>
      <c r="N22" s="640"/>
      <c r="O22" s="640"/>
      <c r="P22" s="640"/>
      <c r="Q22" s="640"/>
      <c r="R22" s="640"/>
    </row>
    <row r="23" spans="3:18">
      <c r="C23" s="641" t="s">
        <v>432</v>
      </c>
      <c r="D23" s="638">
        <f>'Plazas Autorizadas tipología'!D23</f>
        <v>158</v>
      </c>
      <c r="E23" s="637">
        <f t="shared" si="1"/>
        <v>1.1758314542355979E-3</v>
      </c>
      <c r="F23" s="638">
        <f>'Plazas Autorizadas tipología'!F23</f>
        <v>67</v>
      </c>
      <c r="G23" s="637">
        <f t="shared" si="2"/>
        <v>8.1750186073184722E-4</v>
      </c>
      <c r="H23" s="638">
        <f>'Plazas Autorizadas tipología'!H23</f>
        <v>34</v>
      </c>
      <c r="I23" s="637">
        <f t="shared" si="3"/>
        <v>6.6449078507631874E-4</v>
      </c>
      <c r="J23" s="638">
        <f>'Plazas Autorizadas tipología'!J23</f>
        <v>28</v>
      </c>
      <c r="K23" s="637">
        <f>J23/$J$39</f>
        <v>5.9196617336152217E-2</v>
      </c>
      <c r="L23" s="638">
        <f>'Plazas Autorizadas tipología'!L23</f>
        <v>29</v>
      </c>
      <c r="M23" s="639">
        <f t="shared" si="0"/>
        <v>3.7371134020618556E-2</v>
      </c>
      <c r="N23" s="640"/>
      <c r="O23" s="640"/>
      <c r="P23" s="640"/>
      <c r="Q23" s="640"/>
      <c r="R23" s="640"/>
    </row>
    <row r="24" spans="3:18">
      <c r="C24" s="641" t="s">
        <v>433</v>
      </c>
      <c r="D24" s="638">
        <f>'Plazas Autorizadas tipología'!D24</f>
        <v>23028</v>
      </c>
      <c r="E24" s="637">
        <f t="shared" si="1"/>
        <v>0.17137371346922373</v>
      </c>
      <c r="F24" s="638">
        <f>'Plazas Autorizadas tipología'!F24</f>
        <v>16251</v>
      </c>
      <c r="G24" s="637">
        <f t="shared" si="2"/>
        <v>0.19828690654855596</v>
      </c>
      <c r="H24" s="638">
        <f>'Plazas Autorizadas tipología'!H24</f>
        <v>6777</v>
      </c>
      <c r="I24" s="637">
        <f t="shared" si="3"/>
        <v>0.13244864854300623</v>
      </c>
      <c r="J24" s="638">
        <f>'Plazas Autorizadas tipología'!J24</f>
        <v>0</v>
      </c>
      <c r="K24" s="642" t="s">
        <v>32</v>
      </c>
      <c r="L24" s="638">
        <f>'Plazas Autorizadas tipología'!L24</f>
        <v>0</v>
      </c>
      <c r="M24" s="643" t="s">
        <v>32</v>
      </c>
      <c r="N24" s="640"/>
      <c r="O24" s="640"/>
      <c r="P24" s="640"/>
      <c r="Q24" s="640"/>
      <c r="R24" s="640"/>
    </row>
    <row r="25" spans="3:18">
      <c r="C25" s="641" t="s">
        <v>434</v>
      </c>
      <c r="D25" s="638">
        <f>'Plazas Autorizadas tipología'!D25</f>
        <v>1880</v>
      </c>
      <c r="E25" s="637">
        <f t="shared" si="1"/>
        <v>1.3990905911157748E-2</v>
      </c>
      <c r="F25" s="638">
        <f>'Plazas Autorizadas tipología'!F25</f>
        <v>1355</v>
      </c>
      <c r="G25" s="637">
        <f t="shared" si="2"/>
        <v>1.6533060019278401E-2</v>
      </c>
      <c r="H25" s="638">
        <f>'Plazas Autorizadas tipología'!H25</f>
        <v>342</v>
      </c>
      <c r="I25" s="637">
        <f t="shared" si="3"/>
        <v>6.683995544002971E-3</v>
      </c>
      <c r="J25" s="638">
        <f>'Plazas Autorizadas tipología'!J25</f>
        <v>90</v>
      </c>
      <c r="K25" s="637">
        <f>J25/$J$39</f>
        <v>0.19027484143763213</v>
      </c>
      <c r="L25" s="638">
        <f>'Plazas Autorizadas tipología'!L25</f>
        <v>93</v>
      </c>
      <c r="M25" s="639">
        <f>L25/$L$39</f>
        <v>0.11984536082474227</v>
      </c>
      <c r="N25" s="640"/>
      <c r="O25" s="640"/>
      <c r="P25" s="640"/>
      <c r="Q25" s="640"/>
      <c r="R25" s="640"/>
    </row>
    <row r="26" spans="3:18">
      <c r="C26" s="641" t="s">
        <v>435</v>
      </c>
      <c r="D26" s="638">
        <f>'Plazas Autorizadas tipología'!D26</f>
        <v>77</v>
      </c>
      <c r="E26" s="637">
        <f t="shared" si="1"/>
        <v>5.7303178465912055E-4</v>
      </c>
      <c r="F26" s="638">
        <f>'Plazas Autorizadas tipología'!F26</f>
        <v>21</v>
      </c>
      <c r="G26" s="637">
        <f t="shared" si="2"/>
        <v>2.5623192649804164E-4</v>
      </c>
      <c r="H26" s="638">
        <f>'Plazas Autorizadas tipología'!H26</f>
        <v>7</v>
      </c>
      <c r="I26" s="637">
        <f t="shared" si="3"/>
        <v>1.3680692633924208E-4</v>
      </c>
      <c r="J26" s="638">
        <f>'Plazas Autorizadas tipología'!J26</f>
        <v>20</v>
      </c>
      <c r="K26" s="637">
        <f>J26/$J$39</f>
        <v>4.2283298097251586E-2</v>
      </c>
      <c r="L26" s="638">
        <f>'Plazas Autorizadas tipología'!L26</f>
        <v>29</v>
      </c>
      <c r="M26" s="639">
        <f>L26/$L$39</f>
        <v>3.7371134020618556E-2</v>
      </c>
      <c r="N26" s="640"/>
      <c r="O26" s="640"/>
      <c r="P26" s="640"/>
      <c r="Q26" s="640"/>
      <c r="R26" s="640"/>
    </row>
    <row r="27" spans="3:18">
      <c r="C27" s="641" t="s">
        <v>436</v>
      </c>
      <c r="D27" s="638">
        <f>'Plazas Autorizadas tipología'!D27</f>
        <v>23</v>
      </c>
      <c r="E27" s="637">
        <f t="shared" si="1"/>
        <v>1.7116533827480222E-4</v>
      </c>
      <c r="F27" s="638">
        <f>'Plazas Autorizadas tipología'!F27</f>
        <v>0</v>
      </c>
      <c r="G27" s="638">
        <f>'Plazas Autorizadas tipología'!H27</f>
        <v>0</v>
      </c>
      <c r="H27" s="638">
        <f>'Plazas Autorizadas tipología'!H27</f>
        <v>0</v>
      </c>
      <c r="I27" s="642" t="s">
        <v>32</v>
      </c>
      <c r="J27" s="638">
        <f>'Plazas Autorizadas tipología'!J27</f>
        <v>16</v>
      </c>
      <c r="K27" s="637">
        <f>J27/$J$39</f>
        <v>3.382663847780127E-2</v>
      </c>
      <c r="L27" s="638">
        <f>'Plazas Autorizadas tipología'!L27</f>
        <v>7</v>
      </c>
      <c r="M27" s="639">
        <f>L27/$L$39</f>
        <v>9.0206185567010301E-3</v>
      </c>
      <c r="N27" s="640"/>
      <c r="O27" s="640"/>
      <c r="P27" s="640"/>
      <c r="Q27" s="640"/>
      <c r="R27" s="640"/>
    </row>
    <row r="28" spans="3:18">
      <c r="C28" s="641" t="s">
        <v>437</v>
      </c>
      <c r="D28" s="638">
        <f>'Plazas Autorizadas tipología'!D28</f>
        <v>4538</v>
      </c>
      <c r="E28" s="637">
        <f t="shared" si="1"/>
        <v>3.3771665438741411E-2</v>
      </c>
      <c r="F28" s="638">
        <f>'Plazas Autorizadas tipología'!F28</f>
        <v>1688</v>
      </c>
      <c r="G28" s="637">
        <f t="shared" si="2"/>
        <v>2.0596166282318779E-2</v>
      </c>
      <c r="H28" s="638">
        <f>'Plazas Autorizadas tipología'!H28</f>
        <v>2790</v>
      </c>
      <c r="I28" s="637">
        <f t="shared" si="3"/>
        <v>5.4527332069497919E-2</v>
      </c>
      <c r="J28" s="638">
        <f>'Plazas Autorizadas tipología'!J28</f>
        <v>32</v>
      </c>
      <c r="K28" s="642" t="s">
        <v>32</v>
      </c>
      <c r="L28" s="638">
        <f>'Plazas Autorizadas tipología'!L28</f>
        <v>28</v>
      </c>
      <c r="M28" s="639">
        <f>L28/$L$39</f>
        <v>3.608247422680412E-2</v>
      </c>
      <c r="N28" s="640"/>
      <c r="O28" s="640"/>
      <c r="P28" s="640"/>
      <c r="Q28" s="640"/>
      <c r="R28" s="640"/>
    </row>
    <row r="29" spans="3:18">
      <c r="C29" s="641" t="s">
        <v>438</v>
      </c>
      <c r="D29" s="638">
        <f>'Plazas Autorizadas tipología'!D29</f>
        <v>2687</v>
      </c>
      <c r="E29" s="637">
        <f t="shared" si="1"/>
        <v>1.9996576693234503E-2</v>
      </c>
      <c r="F29" s="638">
        <f>'Plazas Autorizadas tipología'!F29</f>
        <v>2673</v>
      </c>
      <c r="G29" s="637">
        <f t="shared" si="2"/>
        <v>3.2614663787107874E-2</v>
      </c>
      <c r="H29" s="638">
        <f>'Plazas Autorizadas tipología'!H29</f>
        <v>6</v>
      </c>
      <c r="I29" s="637">
        <f t="shared" si="3"/>
        <v>1.1726307971935036E-4</v>
      </c>
      <c r="J29" s="638">
        <f>'Plazas Autorizadas tipología'!J29</f>
        <v>0</v>
      </c>
      <c r="K29" s="642" t="s">
        <v>32</v>
      </c>
      <c r="L29" s="638">
        <f>'Plazas Autorizadas tipología'!L29</f>
        <v>8</v>
      </c>
      <c r="M29" s="639">
        <f>L29/$L$39</f>
        <v>1.0309278350515464E-2</v>
      </c>
      <c r="N29" s="640"/>
      <c r="O29" s="640"/>
      <c r="P29" s="640"/>
      <c r="Q29" s="640"/>
      <c r="R29" s="640"/>
    </row>
    <row r="30" spans="3:18">
      <c r="C30" s="641" t="s">
        <v>439</v>
      </c>
      <c r="D30" s="638">
        <f>'Plazas Autorizadas tipología'!D30</f>
        <v>810</v>
      </c>
      <c r="E30" s="637">
        <f t="shared" si="1"/>
        <v>6.0279966957647738E-3</v>
      </c>
      <c r="F30" s="638">
        <f>'Plazas Autorizadas tipología'!F30</f>
        <v>804</v>
      </c>
      <c r="G30" s="637">
        <f t="shared" si="2"/>
        <v>9.8100223287821663E-3</v>
      </c>
      <c r="H30" s="638">
        <f>'Plazas Autorizadas tipología'!H30</f>
        <v>6</v>
      </c>
      <c r="I30" s="637">
        <f t="shared" si="3"/>
        <v>1.1726307971935036E-4</v>
      </c>
      <c r="J30" s="638">
        <f>'Plazas Autorizadas tipología'!J30</f>
        <v>0</v>
      </c>
      <c r="K30" s="642" t="s">
        <v>32</v>
      </c>
      <c r="L30" s="638">
        <f>'Plazas Autorizadas tipología'!L30</f>
        <v>0</v>
      </c>
      <c r="M30" s="643" t="s">
        <v>32</v>
      </c>
      <c r="N30" s="640"/>
      <c r="O30" s="640"/>
      <c r="P30" s="640"/>
      <c r="Q30" s="640"/>
      <c r="R30" s="640"/>
    </row>
    <row r="31" spans="3:18">
      <c r="C31" s="641" t="s">
        <v>440</v>
      </c>
      <c r="D31" s="638">
        <f>'Plazas Autorizadas tipología'!D31</f>
        <v>7277</v>
      </c>
      <c r="E31" s="637">
        <f t="shared" si="1"/>
        <v>5.4155224635901555E-2</v>
      </c>
      <c r="F31" s="638">
        <f>'Plazas Autorizadas tipología'!F31</f>
        <v>3635</v>
      </c>
      <c r="G31" s="637">
        <f t="shared" si="2"/>
        <v>4.4352526324780067E-2</v>
      </c>
      <c r="H31" s="638">
        <f>'Plazas Autorizadas tipología'!H31</f>
        <v>3642</v>
      </c>
      <c r="I31" s="637">
        <f t="shared" si="3"/>
        <v>7.1178689389645666E-2</v>
      </c>
      <c r="J31" s="638">
        <f>'Plazas Autorizadas tipología'!J31</f>
        <v>0</v>
      </c>
      <c r="K31" s="642" t="s">
        <v>32</v>
      </c>
      <c r="L31" s="638">
        <f>'Plazas Autorizadas tipología'!L31</f>
        <v>0</v>
      </c>
      <c r="M31" s="643" t="s">
        <v>32</v>
      </c>
      <c r="N31" s="640"/>
      <c r="O31" s="640"/>
      <c r="P31" s="640"/>
      <c r="Q31" s="640"/>
      <c r="R31" s="640"/>
    </row>
    <row r="32" spans="3:18">
      <c r="C32" s="641" t="s">
        <v>441</v>
      </c>
      <c r="D32" s="638">
        <f>'Plazas Autorizadas tipología'!D32</f>
        <v>18</v>
      </c>
      <c r="E32" s="637">
        <f t="shared" si="1"/>
        <v>1.339554821281061E-4</v>
      </c>
      <c r="F32" s="638">
        <f>'Plazas Autorizadas tipología'!F32</f>
        <v>14</v>
      </c>
      <c r="G32" s="637">
        <f t="shared" si="2"/>
        <v>1.7082128433202777E-4</v>
      </c>
      <c r="H32" s="638">
        <f>'Plazas Autorizadas tipología'!H32</f>
        <v>0</v>
      </c>
      <c r="I32" s="642" t="s">
        <v>32</v>
      </c>
      <c r="J32" s="638">
        <f>'Plazas Autorizadas tipología'!J32</f>
        <v>0</v>
      </c>
      <c r="K32" s="642" t="s">
        <v>32</v>
      </c>
      <c r="L32" s="638">
        <f>'Plazas Autorizadas tipología'!L32</f>
        <v>4</v>
      </c>
      <c r="M32" s="639">
        <f>L32/$L$39</f>
        <v>5.1546391752577319E-3</v>
      </c>
      <c r="N32" s="640"/>
      <c r="O32" s="640"/>
      <c r="P32" s="640"/>
      <c r="Q32" s="640"/>
      <c r="R32" s="640"/>
    </row>
    <row r="33" spans="3:18">
      <c r="C33" s="641" t="s">
        <v>442</v>
      </c>
      <c r="D33" s="638">
        <f>'Plazas Autorizadas tipología'!D33</f>
        <v>45</v>
      </c>
      <c r="E33" s="637">
        <f t="shared" si="1"/>
        <v>3.3488870532026523E-4</v>
      </c>
      <c r="F33" s="638">
        <f>'Plazas Autorizadas tipología'!F33</f>
        <v>0</v>
      </c>
      <c r="G33" s="638">
        <f>'Plazas Autorizadas tipología'!H33</f>
        <v>10</v>
      </c>
      <c r="H33" s="638">
        <f>'Plazas Autorizadas tipología'!H33</f>
        <v>10</v>
      </c>
      <c r="I33" s="637">
        <f t="shared" si="3"/>
        <v>1.9543846619891726E-4</v>
      </c>
      <c r="J33" s="638">
        <f>'Plazas Autorizadas tipología'!J33</f>
        <v>24</v>
      </c>
      <c r="K33" s="642" t="s">
        <v>32</v>
      </c>
      <c r="L33" s="638">
        <f>'Plazas Autorizadas tipología'!L33</f>
        <v>11</v>
      </c>
      <c r="M33" s="643" t="s">
        <v>32</v>
      </c>
      <c r="N33" s="640"/>
      <c r="O33" s="640"/>
      <c r="P33" s="640"/>
      <c r="Q33" s="640"/>
      <c r="R33" s="640"/>
    </row>
    <row r="34" spans="3:18">
      <c r="C34" s="641" t="s">
        <v>443</v>
      </c>
      <c r="D34" s="638">
        <f>'Plazas Autorizadas tipología'!D34</f>
        <v>296</v>
      </c>
      <c r="E34" s="637">
        <f t="shared" si="1"/>
        <v>2.2028234838844113E-3</v>
      </c>
      <c r="F34" s="638">
        <f>'Plazas Autorizadas tipología'!F34</f>
        <v>0</v>
      </c>
      <c r="G34" s="638">
        <f>'Plazas Autorizadas tipología'!H34</f>
        <v>272</v>
      </c>
      <c r="H34" s="638">
        <f>'Plazas Autorizadas tipología'!H34</f>
        <v>272</v>
      </c>
      <c r="I34" s="637">
        <f t="shared" si="3"/>
        <v>5.3159262806105499E-3</v>
      </c>
      <c r="J34" s="638">
        <f>'Plazas Autorizadas tipología'!J34</f>
        <v>0</v>
      </c>
      <c r="K34" s="642" t="s">
        <v>32</v>
      </c>
      <c r="L34" s="638">
        <f>'Plazas Autorizadas tipología'!L34</f>
        <v>24</v>
      </c>
      <c r="M34" s="639">
        <f>L34/$L$39</f>
        <v>3.0927835051546393E-2</v>
      </c>
      <c r="N34" s="640"/>
      <c r="O34" s="640"/>
      <c r="P34" s="640"/>
      <c r="Q34" s="640"/>
      <c r="R34" s="640"/>
    </row>
    <row r="35" spans="3:18">
      <c r="C35" s="641" t="s">
        <v>444</v>
      </c>
      <c r="D35" s="638">
        <f>'Plazas Autorizadas tipología'!D35</f>
        <v>24</v>
      </c>
      <c r="E35" s="637">
        <f t="shared" si="1"/>
        <v>1.7860730950414145E-4</v>
      </c>
      <c r="F35" s="638">
        <f>'Plazas Autorizadas tipología'!F35</f>
        <v>0</v>
      </c>
      <c r="G35" s="638">
        <f>'Plazas Autorizadas tipología'!H35</f>
        <v>0</v>
      </c>
      <c r="H35" s="638">
        <f>'Plazas Autorizadas tipología'!H35</f>
        <v>0</v>
      </c>
      <c r="I35" s="642" t="s">
        <v>32</v>
      </c>
      <c r="J35" s="638">
        <f>'Plazas Autorizadas tipología'!J35</f>
        <v>21</v>
      </c>
      <c r="K35" s="637">
        <f>J35/$J$39</f>
        <v>4.4397463002114168E-2</v>
      </c>
      <c r="L35" s="638">
        <f>'Plazas Autorizadas tipología'!L35</f>
        <v>3</v>
      </c>
      <c r="M35" s="643" t="s">
        <v>32</v>
      </c>
      <c r="N35" s="640"/>
      <c r="O35" s="640"/>
      <c r="P35" s="640"/>
      <c r="Q35" s="640"/>
      <c r="R35" s="640"/>
    </row>
    <row r="36" spans="3:18">
      <c r="C36" s="641" t="s">
        <v>445</v>
      </c>
      <c r="D36" s="638">
        <f>'Plazas Autorizadas tipología'!D36</f>
        <v>16</v>
      </c>
      <c r="E36" s="637">
        <f t="shared" si="1"/>
        <v>1.1907153966942763E-4</v>
      </c>
      <c r="F36" s="638">
        <f>'Plazas Autorizadas tipología'!F36</f>
        <v>0</v>
      </c>
      <c r="G36" s="638">
        <f>'Plazas Autorizadas tipología'!H36</f>
        <v>7</v>
      </c>
      <c r="H36" s="638">
        <f>'Plazas Autorizadas tipología'!H36</f>
        <v>7</v>
      </c>
      <c r="I36" s="637">
        <f t="shared" si="3"/>
        <v>1.3680692633924208E-4</v>
      </c>
      <c r="J36" s="638">
        <f>'Plazas Autorizadas tipología'!J36</f>
        <v>0</v>
      </c>
      <c r="K36" s="642" t="s">
        <v>32</v>
      </c>
      <c r="L36" s="638">
        <f>'Plazas Autorizadas tipología'!L36</f>
        <v>9</v>
      </c>
      <c r="M36" s="639">
        <f>L36/$L$39</f>
        <v>1.1597938144329897E-2</v>
      </c>
      <c r="N36" s="640"/>
      <c r="O36" s="640"/>
      <c r="P36" s="640"/>
      <c r="Q36" s="640"/>
      <c r="R36" s="640"/>
    </row>
    <row r="37" spans="3:18">
      <c r="C37" s="641" t="s">
        <v>446</v>
      </c>
      <c r="D37" s="638">
        <f>'Plazas Autorizadas tipología'!D37</f>
        <v>12</v>
      </c>
      <c r="E37" s="637">
        <f t="shared" si="1"/>
        <v>8.9303654752070726E-5</v>
      </c>
      <c r="F37" s="638">
        <f>'Plazas Autorizadas tipología'!F37</f>
        <v>0</v>
      </c>
      <c r="G37" s="638">
        <f>'Plazas Autorizadas tipología'!H37</f>
        <v>0</v>
      </c>
      <c r="H37" s="638">
        <f>'Plazas Autorizadas tipología'!H37</f>
        <v>0</v>
      </c>
      <c r="I37" s="642" t="s">
        <v>32</v>
      </c>
      <c r="J37" s="638">
        <f>'Plazas Autorizadas tipología'!J37</f>
        <v>0</v>
      </c>
      <c r="K37" s="642" t="s">
        <v>32</v>
      </c>
      <c r="L37" s="638">
        <f>'Plazas Autorizadas tipología'!L37</f>
        <v>12</v>
      </c>
      <c r="M37" s="639">
        <f>L37/$L$39</f>
        <v>1.5463917525773196E-2</v>
      </c>
      <c r="N37" s="640"/>
      <c r="O37" s="640"/>
      <c r="P37" s="640"/>
      <c r="Q37" s="640"/>
      <c r="R37" s="640"/>
    </row>
    <row r="38" spans="3:18">
      <c r="C38" s="641" t="s">
        <v>447</v>
      </c>
      <c r="D38" s="638">
        <f>'Plazas Autorizadas tipología'!D38</f>
        <v>157</v>
      </c>
      <c r="E38" s="637">
        <f t="shared" si="1"/>
        <v>1.1683894830062586E-3</v>
      </c>
      <c r="F38" s="638">
        <f>'Plazas Autorizadas tipología'!F38</f>
        <v>97</v>
      </c>
      <c r="G38" s="637">
        <f t="shared" si="2"/>
        <v>1.1835474700147639E-3</v>
      </c>
      <c r="H38" s="638">
        <f>'Plazas Autorizadas tipología'!H38</f>
        <v>6</v>
      </c>
      <c r="I38" s="637">
        <f t="shared" si="3"/>
        <v>1.1726307971935036E-4</v>
      </c>
      <c r="J38" s="638">
        <f>'Plazas Autorizadas tipología'!J38</f>
        <v>40</v>
      </c>
      <c r="K38" s="637">
        <f>J38/$J$39</f>
        <v>8.4566596194503171E-2</v>
      </c>
      <c r="L38" s="638">
        <f>'Plazas Autorizadas tipología'!L38</f>
        <v>14</v>
      </c>
      <c r="M38" s="639">
        <f>L38/$L$39</f>
        <v>1.804123711340206E-2</v>
      </c>
      <c r="N38" s="640"/>
      <c r="O38" s="640"/>
      <c r="P38" s="640"/>
      <c r="Q38" s="640"/>
      <c r="R38" s="640"/>
    </row>
    <row r="39" spans="3:18">
      <c r="C39" s="644" t="s">
        <v>448</v>
      </c>
      <c r="D39" s="645">
        <f>'Plazas Autorizadas tipología'!D39</f>
        <v>134373</v>
      </c>
      <c r="E39" s="646">
        <f t="shared" si="1"/>
        <v>1</v>
      </c>
      <c r="F39" s="645">
        <f>'Plazas Autorizadas tipología'!F39</f>
        <v>81957</v>
      </c>
      <c r="G39" s="647">
        <f t="shared" si="2"/>
        <v>1</v>
      </c>
      <c r="H39" s="645">
        <f>'Plazas Autorizadas tipología'!H39</f>
        <v>51167</v>
      </c>
      <c r="I39" s="647">
        <f t="shared" si="3"/>
        <v>1</v>
      </c>
      <c r="J39" s="645">
        <f>'Plazas Autorizadas tipología'!J39</f>
        <v>473</v>
      </c>
      <c r="K39" s="647">
        <f>J39/$J$39</f>
        <v>1</v>
      </c>
      <c r="L39" s="645">
        <f>'Plazas Autorizadas tipología'!L39</f>
        <v>776</v>
      </c>
      <c r="M39" s="648">
        <f>L39/$L$39</f>
        <v>1</v>
      </c>
    </row>
    <row r="40" spans="3:18" ht="21.75" customHeight="1">
      <c r="C40" s="649" t="s">
        <v>449</v>
      </c>
      <c r="D40" s="650"/>
      <c r="E40" s="651"/>
      <c r="F40" s="650"/>
      <c r="G40" s="651"/>
      <c r="H40" s="651"/>
      <c r="I40" s="651"/>
      <c r="J40" s="651"/>
      <c r="K40" s="651"/>
      <c r="L40" s="651"/>
      <c r="M40" s="652"/>
    </row>
    <row r="41" spans="3:18">
      <c r="C41" s="653" t="s">
        <v>450</v>
      </c>
    </row>
  </sheetData>
  <mergeCells count="8">
    <mergeCell ref="C40:M40"/>
    <mergeCell ref="C5:M5"/>
    <mergeCell ref="C6:C7"/>
    <mergeCell ref="D6:E6"/>
    <mergeCell ref="F6:G6"/>
    <mergeCell ref="H6:I6"/>
    <mergeCell ref="J6:K6"/>
    <mergeCell ref="L6:M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13" max="39" man="1"/>
  </colBreaks>
  <drawing r:id="rId2"/>
  <legacyDrawingHF r:id="rId3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Hoja42">
    <tabColor rgb="FF000099"/>
    <pageSetUpPr autoPageBreaks="0" fitToPage="1"/>
  </sheetPr>
  <dimension ref="C6:K63"/>
  <sheetViews>
    <sheetView showGridLines="0" showRowColHeaders="0" showOutlineSymbols="0" topLeftCell="A5" zoomScaleNormal="100" workbookViewId="0">
      <selection activeCell="I13" sqref="I13"/>
    </sheetView>
  </sheetViews>
  <sheetFormatPr baseColWidth="10" defaultColWidth="16.5703125" defaultRowHeight="12.75"/>
  <cols>
    <col min="1" max="2" width="14.28515625" style="605" customWidth="1"/>
    <col min="3" max="3" width="25.7109375" style="605" customWidth="1"/>
    <col min="4" max="5" width="13.7109375" style="605" customWidth="1"/>
    <col min="6" max="6" width="9.7109375" style="605" customWidth="1"/>
    <col min="7" max="7" width="25.7109375" style="605" customWidth="1"/>
    <col min="8" max="9" width="13.7109375" style="605" customWidth="1"/>
    <col min="10" max="256" width="16.5703125" style="605"/>
    <col min="257" max="258" width="14.28515625" style="605" customWidth="1"/>
    <col min="259" max="259" width="25.7109375" style="605" customWidth="1"/>
    <col min="260" max="260" width="13.85546875" style="605" customWidth="1"/>
    <col min="261" max="261" width="13.7109375" style="605" customWidth="1"/>
    <col min="262" max="264" width="9.7109375" style="605" customWidth="1"/>
    <col min="265" max="512" width="16.5703125" style="605"/>
    <col min="513" max="514" width="14.28515625" style="605" customWidth="1"/>
    <col min="515" max="515" width="25.7109375" style="605" customWidth="1"/>
    <col min="516" max="516" width="13.85546875" style="605" customWidth="1"/>
    <col min="517" max="517" width="13.7109375" style="605" customWidth="1"/>
    <col min="518" max="520" width="9.7109375" style="605" customWidth="1"/>
    <col min="521" max="768" width="16.5703125" style="605"/>
    <col min="769" max="770" width="14.28515625" style="605" customWidth="1"/>
    <col min="771" max="771" width="25.7109375" style="605" customWidth="1"/>
    <col min="772" max="772" width="13.85546875" style="605" customWidth="1"/>
    <col min="773" max="773" width="13.7109375" style="605" customWidth="1"/>
    <col min="774" max="776" width="9.7109375" style="605" customWidth="1"/>
    <col min="777" max="1024" width="16.5703125" style="605"/>
    <col min="1025" max="1026" width="14.28515625" style="605" customWidth="1"/>
    <col min="1027" max="1027" width="25.7109375" style="605" customWidth="1"/>
    <col min="1028" max="1028" width="13.85546875" style="605" customWidth="1"/>
    <col min="1029" max="1029" width="13.7109375" style="605" customWidth="1"/>
    <col min="1030" max="1032" width="9.7109375" style="605" customWidth="1"/>
    <col min="1033" max="1280" width="16.5703125" style="605"/>
    <col min="1281" max="1282" width="14.28515625" style="605" customWidth="1"/>
    <col min="1283" max="1283" width="25.7109375" style="605" customWidth="1"/>
    <col min="1284" max="1284" width="13.85546875" style="605" customWidth="1"/>
    <col min="1285" max="1285" width="13.7109375" style="605" customWidth="1"/>
    <col min="1286" max="1288" width="9.7109375" style="605" customWidth="1"/>
    <col min="1289" max="1536" width="16.5703125" style="605"/>
    <col min="1537" max="1538" width="14.28515625" style="605" customWidth="1"/>
    <col min="1539" max="1539" width="25.7109375" style="605" customWidth="1"/>
    <col min="1540" max="1540" width="13.85546875" style="605" customWidth="1"/>
    <col min="1541" max="1541" width="13.7109375" style="605" customWidth="1"/>
    <col min="1542" max="1544" width="9.7109375" style="605" customWidth="1"/>
    <col min="1545" max="1792" width="16.5703125" style="605"/>
    <col min="1793" max="1794" width="14.28515625" style="605" customWidth="1"/>
    <col min="1795" max="1795" width="25.7109375" style="605" customWidth="1"/>
    <col min="1796" max="1796" width="13.85546875" style="605" customWidth="1"/>
    <col min="1797" max="1797" width="13.7109375" style="605" customWidth="1"/>
    <col min="1798" max="1800" width="9.7109375" style="605" customWidth="1"/>
    <col min="1801" max="2048" width="16.5703125" style="605"/>
    <col min="2049" max="2050" width="14.28515625" style="605" customWidth="1"/>
    <col min="2051" max="2051" width="25.7109375" style="605" customWidth="1"/>
    <col min="2052" max="2052" width="13.85546875" style="605" customWidth="1"/>
    <col min="2053" max="2053" width="13.7109375" style="605" customWidth="1"/>
    <col min="2054" max="2056" width="9.7109375" style="605" customWidth="1"/>
    <col min="2057" max="2304" width="16.5703125" style="605"/>
    <col min="2305" max="2306" width="14.28515625" style="605" customWidth="1"/>
    <col min="2307" max="2307" width="25.7109375" style="605" customWidth="1"/>
    <col min="2308" max="2308" width="13.85546875" style="605" customWidth="1"/>
    <col min="2309" max="2309" width="13.7109375" style="605" customWidth="1"/>
    <col min="2310" max="2312" width="9.7109375" style="605" customWidth="1"/>
    <col min="2313" max="2560" width="16.5703125" style="605"/>
    <col min="2561" max="2562" width="14.28515625" style="605" customWidth="1"/>
    <col min="2563" max="2563" width="25.7109375" style="605" customWidth="1"/>
    <col min="2564" max="2564" width="13.85546875" style="605" customWidth="1"/>
    <col min="2565" max="2565" width="13.7109375" style="605" customWidth="1"/>
    <col min="2566" max="2568" width="9.7109375" style="605" customWidth="1"/>
    <col min="2569" max="2816" width="16.5703125" style="605"/>
    <col min="2817" max="2818" width="14.28515625" style="605" customWidth="1"/>
    <col min="2819" max="2819" width="25.7109375" style="605" customWidth="1"/>
    <col min="2820" max="2820" width="13.85546875" style="605" customWidth="1"/>
    <col min="2821" max="2821" width="13.7109375" style="605" customWidth="1"/>
    <col min="2822" max="2824" width="9.7109375" style="605" customWidth="1"/>
    <col min="2825" max="3072" width="16.5703125" style="605"/>
    <col min="3073" max="3074" width="14.28515625" style="605" customWidth="1"/>
    <col min="3075" max="3075" width="25.7109375" style="605" customWidth="1"/>
    <col min="3076" max="3076" width="13.85546875" style="605" customWidth="1"/>
    <col min="3077" max="3077" width="13.7109375" style="605" customWidth="1"/>
    <col min="3078" max="3080" width="9.7109375" style="605" customWidth="1"/>
    <col min="3081" max="3328" width="16.5703125" style="605"/>
    <col min="3329" max="3330" width="14.28515625" style="605" customWidth="1"/>
    <col min="3331" max="3331" width="25.7109375" style="605" customWidth="1"/>
    <col min="3332" max="3332" width="13.85546875" style="605" customWidth="1"/>
    <col min="3333" max="3333" width="13.7109375" style="605" customWidth="1"/>
    <col min="3334" max="3336" width="9.7109375" style="605" customWidth="1"/>
    <col min="3337" max="3584" width="16.5703125" style="605"/>
    <col min="3585" max="3586" width="14.28515625" style="605" customWidth="1"/>
    <col min="3587" max="3587" width="25.7109375" style="605" customWidth="1"/>
    <col min="3588" max="3588" width="13.85546875" style="605" customWidth="1"/>
    <col min="3589" max="3589" width="13.7109375" style="605" customWidth="1"/>
    <col min="3590" max="3592" width="9.7109375" style="605" customWidth="1"/>
    <col min="3593" max="3840" width="16.5703125" style="605"/>
    <col min="3841" max="3842" width="14.28515625" style="605" customWidth="1"/>
    <col min="3843" max="3843" width="25.7109375" style="605" customWidth="1"/>
    <col min="3844" max="3844" width="13.85546875" style="605" customWidth="1"/>
    <col min="3845" max="3845" width="13.7109375" style="605" customWidth="1"/>
    <col min="3846" max="3848" width="9.7109375" style="605" customWidth="1"/>
    <col min="3849" max="4096" width="16.5703125" style="605"/>
    <col min="4097" max="4098" width="14.28515625" style="605" customWidth="1"/>
    <col min="4099" max="4099" width="25.7109375" style="605" customWidth="1"/>
    <col min="4100" max="4100" width="13.85546875" style="605" customWidth="1"/>
    <col min="4101" max="4101" width="13.7109375" style="605" customWidth="1"/>
    <col min="4102" max="4104" width="9.7109375" style="605" customWidth="1"/>
    <col min="4105" max="4352" width="16.5703125" style="605"/>
    <col min="4353" max="4354" width="14.28515625" style="605" customWidth="1"/>
    <col min="4355" max="4355" width="25.7109375" style="605" customWidth="1"/>
    <col min="4356" max="4356" width="13.85546875" style="605" customWidth="1"/>
    <col min="4357" max="4357" width="13.7109375" style="605" customWidth="1"/>
    <col min="4358" max="4360" width="9.7109375" style="605" customWidth="1"/>
    <col min="4361" max="4608" width="16.5703125" style="605"/>
    <col min="4609" max="4610" width="14.28515625" style="605" customWidth="1"/>
    <col min="4611" max="4611" width="25.7109375" style="605" customWidth="1"/>
    <col min="4612" max="4612" width="13.85546875" style="605" customWidth="1"/>
    <col min="4613" max="4613" width="13.7109375" style="605" customWidth="1"/>
    <col min="4614" max="4616" width="9.7109375" style="605" customWidth="1"/>
    <col min="4617" max="4864" width="16.5703125" style="605"/>
    <col min="4865" max="4866" width="14.28515625" style="605" customWidth="1"/>
    <col min="4867" max="4867" width="25.7109375" style="605" customWidth="1"/>
    <col min="4868" max="4868" width="13.85546875" style="605" customWidth="1"/>
    <col min="4869" max="4869" width="13.7109375" style="605" customWidth="1"/>
    <col min="4870" max="4872" width="9.7109375" style="605" customWidth="1"/>
    <col min="4873" max="5120" width="16.5703125" style="605"/>
    <col min="5121" max="5122" width="14.28515625" style="605" customWidth="1"/>
    <col min="5123" max="5123" width="25.7109375" style="605" customWidth="1"/>
    <col min="5124" max="5124" width="13.85546875" style="605" customWidth="1"/>
    <col min="5125" max="5125" width="13.7109375" style="605" customWidth="1"/>
    <col min="5126" max="5128" width="9.7109375" style="605" customWidth="1"/>
    <col min="5129" max="5376" width="16.5703125" style="605"/>
    <col min="5377" max="5378" width="14.28515625" style="605" customWidth="1"/>
    <col min="5379" max="5379" width="25.7109375" style="605" customWidth="1"/>
    <col min="5380" max="5380" width="13.85546875" style="605" customWidth="1"/>
    <col min="5381" max="5381" width="13.7109375" style="605" customWidth="1"/>
    <col min="5382" max="5384" width="9.7109375" style="605" customWidth="1"/>
    <col min="5385" max="5632" width="16.5703125" style="605"/>
    <col min="5633" max="5634" width="14.28515625" style="605" customWidth="1"/>
    <col min="5635" max="5635" width="25.7109375" style="605" customWidth="1"/>
    <col min="5636" max="5636" width="13.85546875" style="605" customWidth="1"/>
    <col min="5637" max="5637" width="13.7109375" style="605" customWidth="1"/>
    <col min="5638" max="5640" width="9.7109375" style="605" customWidth="1"/>
    <col min="5641" max="5888" width="16.5703125" style="605"/>
    <col min="5889" max="5890" width="14.28515625" style="605" customWidth="1"/>
    <col min="5891" max="5891" width="25.7109375" style="605" customWidth="1"/>
    <col min="5892" max="5892" width="13.85546875" style="605" customWidth="1"/>
    <col min="5893" max="5893" width="13.7109375" style="605" customWidth="1"/>
    <col min="5894" max="5896" width="9.7109375" style="605" customWidth="1"/>
    <col min="5897" max="6144" width="16.5703125" style="605"/>
    <col min="6145" max="6146" width="14.28515625" style="605" customWidth="1"/>
    <col min="6147" max="6147" width="25.7109375" style="605" customWidth="1"/>
    <col min="6148" max="6148" width="13.85546875" style="605" customWidth="1"/>
    <col min="6149" max="6149" width="13.7109375" style="605" customWidth="1"/>
    <col min="6150" max="6152" width="9.7109375" style="605" customWidth="1"/>
    <col min="6153" max="6400" width="16.5703125" style="605"/>
    <col min="6401" max="6402" width="14.28515625" style="605" customWidth="1"/>
    <col min="6403" max="6403" width="25.7109375" style="605" customWidth="1"/>
    <col min="6404" max="6404" width="13.85546875" style="605" customWidth="1"/>
    <col min="6405" max="6405" width="13.7109375" style="605" customWidth="1"/>
    <col min="6406" max="6408" width="9.7109375" style="605" customWidth="1"/>
    <col min="6409" max="6656" width="16.5703125" style="605"/>
    <col min="6657" max="6658" width="14.28515625" style="605" customWidth="1"/>
    <col min="6659" max="6659" width="25.7109375" style="605" customWidth="1"/>
    <col min="6660" max="6660" width="13.85546875" style="605" customWidth="1"/>
    <col min="6661" max="6661" width="13.7109375" style="605" customWidth="1"/>
    <col min="6662" max="6664" width="9.7109375" style="605" customWidth="1"/>
    <col min="6665" max="6912" width="16.5703125" style="605"/>
    <col min="6913" max="6914" width="14.28515625" style="605" customWidth="1"/>
    <col min="6915" max="6915" width="25.7109375" style="605" customWidth="1"/>
    <col min="6916" max="6916" width="13.85546875" style="605" customWidth="1"/>
    <col min="6917" max="6917" width="13.7109375" style="605" customWidth="1"/>
    <col min="6918" max="6920" width="9.7109375" style="605" customWidth="1"/>
    <col min="6921" max="7168" width="16.5703125" style="605"/>
    <col min="7169" max="7170" width="14.28515625" style="605" customWidth="1"/>
    <col min="7171" max="7171" width="25.7109375" style="605" customWidth="1"/>
    <col min="7172" max="7172" width="13.85546875" style="605" customWidth="1"/>
    <col min="7173" max="7173" width="13.7109375" style="605" customWidth="1"/>
    <col min="7174" max="7176" width="9.7109375" style="605" customWidth="1"/>
    <col min="7177" max="7424" width="16.5703125" style="605"/>
    <col min="7425" max="7426" width="14.28515625" style="605" customWidth="1"/>
    <col min="7427" max="7427" width="25.7109375" style="605" customWidth="1"/>
    <col min="7428" max="7428" width="13.85546875" style="605" customWidth="1"/>
    <col min="7429" max="7429" width="13.7109375" style="605" customWidth="1"/>
    <col min="7430" max="7432" width="9.7109375" style="605" customWidth="1"/>
    <col min="7433" max="7680" width="16.5703125" style="605"/>
    <col min="7681" max="7682" width="14.28515625" style="605" customWidth="1"/>
    <col min="7683" max="7683" width="25.7109375" style="605" customWidth="1"/>
    <col min="7684" max="7684" width="13.85546875" style="605" customWidth="1"/>
    <col min="7685" max="7685" width="13.7109375" style="605" customWidth="1"/>
    <col min="7686" max="7688" width="9.7109375" style="605" customWidth="1"/>
    <col min="7689" max="7936" width="16.5703125" style="605"/>
    <col min="7937" max="7938" width="14.28515625" style="605" customWidth="1"/>
    <col min="7939" max="7939" width="25.7109375" style="605" customWidth="1"/>
    <col min="7940" max="7940" width="13.85546875" style="605" customWidth="1"/>
    <col min="7941" max="7941" width="13.7109375" style="605" customWidth="1"/>
    <col min="7942" max="7944" width="9.7109375" style="605" customWidth="1"/>
    <col min="7945" max="8192" width="16.5703125" style="605"/>
    <col min="8193" max="8194" width="14.28515625" style="605" customWidth="1"/>
    <col min="8195" max="8195" width="25.7109375" style="605" customWidth="1"/>
    <col min="8196" max="8196" width="13.85546875" style="605" customWidth="1"/>
    <col min="8197" max="8197" width="13.7109375" style="605" customWidth="1"/>
    <col min="8198" max="8200" width="9.7109375" style="605" customWidth="1"/>
    <col min="8201" max="8448" width="16.5703125" style="605"/>
    <col min="8449" max="8450" width="14.28515625" style="605" customWidth="1"/>
    <col min="8451" max="8451" width="25.7109375" style="605" customWidth="1"/>
    <col min="8452" max="8452" width="13.85546875" style="605" customWidth="1"/>
    <col min="8453" max="8453" width="13.7109375" style="605" customWidth="1"/>
    <col min="8454" max="8456" width="9.7109375" style="605" customWidth="1"/>
    <col min="8457" max="8704" width="16.5703125" style="605"/>
    <col min="8705" max="8706" width="14.28515625" style="605" customWidth="1"/>
    <col min="8707" max="8707" width="25.7109375" style="605" customWidth="1"/>
    <col min="8708" max="8708" width="13.85546875" style="605" customWidth="1"/>
    <col min="8709" max="8709" width="13.7109375" style="605" customWidth="1"/>
    <col min="8710" max="8712" width="9.7109375" style="605" customWidth="1"/>
    <col min="8713" max="8960" width="16.5703125" style="605"/>
    <col min="8961" max="8962" width="14.28515625" style="605" customWidth="1"/>
    <col min="8963" max="8963" width="25.7109375" style="605" customWidth="1"/>
    <col min="8964" max="8964" width="13.85546875" style="605" customWidth="1"/>
    <col min="8965" max="8965" width="13.7109375" style="605" customWidth="1"/>
    <col min="8966" max="8968" width="9.7109375" style="605" customWidth="1"/>
    <col min="8969" max="9216" width="16.5703125" style="605"/>
    <col min="9217" max="9218" width="14.28515625" style="605" customWidth="1"/>
    <col min="9219" max="9219" width="25.7109375" style="605" customWidth="1"/>
    <col min="9220" max="9220" width="13.85546875" style="605" customWidth="1"/>
    <col min="9221" max="9221" width="13.7109375" style="605" customWidth="1"/>
    <col min="9222" max="9224" width="9.7109375" style="605" customWidth="1"/>
    <col min="9225" max="9472" width="16.5703125" style="605"/>
    <col min="9473" max="9474" width="14.28515625" style="605" customWidth="1"/>
    <col min="9475" max="9475" width="25.7109375" style="605" customWidth="1"/>
    <col min="9476" max="9476" width="13.85546875" style="605" customWidth="1"/>
    <col min="9477" max="9477" width="13.7109375" style="605" customWidth="1"/>
    <col min="9478" max="9480" width="9.7109375" style="605" customWidth="1"/>
    <col min="9481" max="9728" width="16.5703125" style="605"/>
    <col min="9729" max="9730" width="14.28515625" style="605" customWidth="1"/>
    <col min="9731" max="9731" width="25.7109375" style="605" customWidth="1"/>
    <col min="9732" max="9732" width="13.85546875" style="605" customWidth="1"/>
    <col min="9733" max="9733" width="13.7109375" style="605" customWidth="1"/>
    <col min="9734" max="9736" width="9.7109375" style="605" customWidth="1"/>
    <col min="9737" max="9984" width="16.5703125" style="605"/>
    <col min="9985" max="9986" width="14.28515625" style="605" customWidth="1"/>
    <col min="9987" max="9987" width="25.7109375" style="605" customWidth="1"/>
    <col min="9988" max="9988" width="13.85546875" style="605" customWidth="1"/>
    <col min="9989" max="9989" width="13.7109375" style="605" customWidth="1"/>
    <col min="9990" max="9992" width="9.7109375" style="605" customWidth="1"/>
    <col min="9993" max="10240" width="16.5703125" style="605"/>
    <col min="10241" max="10242" width="14.28515625" style="605" customWidth="1"/>
    <col min="10243" max="10243" width="25.7109375" style="605" customWidth="1"/>
    <col min="10244" max="10244" width="13.85546875" style="605" customWidth="1"/>
    <col min="10245" max="10245" width="13.7109375" style="605" customWidth="1"/>
    <col min="10246" max="10248" width="9.7109375" style="605" customWidth="1"/>
    <col min="10249" max="10496" width="16.5703125" style="605"/>
    <col min="10497" max="10498" width="14.28515625" style="605" customWidth="1"/>
    <col min="10499" max="10499" width="25.7109375" style="605" customWidth="1"/>
    <col min="10500" max="10500" width="13.85546875" style="605" customWidth="1"/>
    <col min="10501" max="10501" width="13.7109375" style="605" customWidth="1"/>
    <col min="10502" max="10504" width="9.7109375" style="605" customWidth="1"/>
    <col min="10505" max="10752" width="16.5703125" style="605"/>
    <col min="10753" max="10754" width="14.28515625" style="605" customWidth="1"/>
    <col min="10755" max="10755" width="25.7109375" style="605" customWidth="1"/>
    <col min="10756" max="10756" width="13.85546875" style="605" customWidth="1"/>
    <col min="10757" max="10757" width="13.7109375" style="605" customWidth="1"/>
    <col min="10758" max="10760" width="9.7109375" style="605" customWidth="1"/>
    <col min="10761" max="11008" width="16.5703125" style="605"/>
    <col min="11009" max="11010" width="14.28515625" style="605" customWidth="1"/>
    <col min="11011" max="11011" width="25.7109375" style="605" customWidth="1"/>
    <col min="11012" max="11012" width="13.85546875" style="605" customWidth="1"/>
    <col min="11013" max="11013" width="13.7109375" style="605" customWidth="1"/>
    <col min="11014" max="11016" width="9.7109375" style="605" customWidth="1"/>
    <col min="11017" max="11264" width="16.5703125" style="605"/>
    <col min="11265" max="11266" width="14.28515625" style="605" customWidth="1"/>
    <col min="11267" max="11267" width="25.7109375" style="605" customWidth="1"/>
    <col min="11268" max="11268" width="13.85546875" style="605" customWidth="1"/>
    <col min="11269" max="11269" width="13.7109375" style="605" customWidth="1"/>
    <col min="11270" max="11272" width="9.7109375" style="605" customWidth="1"/>
    <col min="11273" max="11520" width="16.5703125" style="605"/>
    <col min="11521" max="11522" width="14.28515625" style="605" customWidth="1"/>
    <col min="11523" max="11523" width="25.7109375" style="605" customWidth="1"/>
    <col min="11524" max="11524" width="13.85546875" style="605" customWidth="1"/>
    <col min="11525" max="11525" width="13.7109375" style="605" customWidth="1"/>
    <col min="11526" max="11528" width="9.7109375" style="605" customWidth="1"/>
    <col min="11529" max="11776" width="16.5703125" style="605"/>
    <col min="11777" max="11778" width="14.28515625" style="605" customWidth="1"/>
    <col min="11779" max="11779" width="25.7109375" style="605" customWidth="1"/>
    <col min="11780" max="11780" width="13.85546875" style="605" customWidth="1"/>
    <col min="11781" max="11781" width="13.7109375" style="605" customWidth="1"/>
    <col min="11782" max="11784" width="9.7109375" style="605" customWidth="1"/>
    <col min="11785" max="12032" width="16.5703125" style="605"/>
    <col min="12033" max="12034" width="14.28515625" style="605" customWidth="1"/>
    <col min="12035" max="12035" width="25.7109375" style="605" customWidth="1"/>
    <col min="12036" max="12036" width="13.85546875" style="605" customWidth="1"/>
    <col min="12037" max="12037" width="13.7109375" style="605" customWidth="1"/>
    <col min="12038" max="12040" width="9.7109375" style="605" customWidth="1"/>
    <col min="12041" max="12288" width="16.5703125" style="605"/>
    <col min="12289" max="12290" width="14.28515625" style="605" customWidth="1"/>
    <col min="12291" max="12291" width="25.7109375" style="605" customWidth="1"/>
    <col min="12292" max="12292" width="13.85546875" style="605" customWidth="1"/>
    <col min="12293" max="12293" width="13.7109375" style="605" customWidth="1"/>
    <col min="12294" max="12296" width="9.7109375" style="605" customWidth="1"/>
    <col min="12297" max="12544" width="16.5703125" style="605"/>
    <col min="12545" max="12546" width="14.28515625" style="605" customWidth="1"/>
    <col min="12547" max="12547" width="25.7109375" style="605" customWidth="1"/>
    <col min="12548" max="12548" width="13.85546875" style="605" customWidth="1"/>
    <col min="12549" max="12549" width="13.7109375" style="605" customWidth="1"/>
    <col min="12550" max="12552" width="9.7109375" style="605" customWidth="1"/>
    <col min="12553" max="12800" width="16.5703125" style="605"/>
    <col min="12801" max="12802" width="14.28515625" style="605" customWidth="1"/>
    <col min="12803" max="12803" width="25.7109375" style="605" customWidth="1"/>
    <col min="12804" max="12804" width="13.85546875" style="605" customWidth="1"/>
    <col min="12805" max="12805" width="13.7109375" style="605" customWidth="1"/>
    <col min="12806" max="12808" width="9.7109375" style="605" customWidth="1"/>
    <col min="12809" max="13056" width="16.5703125" style="605"/>
    <col min="13057" max="13058" width="14.28515625" style="605" customWidth="1"/>
    <col min="13059" max="13059" width="25.7109375" style="605" customWidth="1"/>
    <col min="13060" max="13060" width="13.85546875" style="605" customWidth="1"/>
    <col min="13061" max="13061" width="13.7109375" style="605" customWidth="1"/>
    <col min="13062" max="13064" width="9.7109375" style="605" customWidth="1"/>
    <col min="13065" max="13312" width="16.5703125" style="605"/>
    <col min="13313" max="13314" width="14.28515625" style="605" customWidth="1"/>
    <col min="13315" max="13315" width="25.7109375" style="605" customWidth="1"/>
    <col min="13316" max="13316" width="13.85546875" style="605" customWidth="1"/>
    <col min="13317" max="13317" width="13.7109375" style="605" customWidth="1"/>
    <col min="13318" max="13320" width="9.7109375" style="605" customWidth="1"/>
    <col min="13321" max="13568" width="16.5703125" style="605"/>
    <col min="13569" max="13570" width="14.28515625" style="605" customWidth="1"/>
    <col min="13571" max="13571" width="25.7109375" style="605" customWidth="1"/>
    <col min="13572" max="13572" width="13.85546875" style="605" customWidth="1"/>
    <col min="13573" max="13573" width="13.7109375" style="605" customWidth="1"/>
    <col min="13574" max="13576" width="9.7109375" style="605" customWidth="1"/>
    <col min="13577" max="13824" width="16.5703125" style="605"/>
    <col min="13825" max="13826" width="14.28515625" style="605" customWidth="1"/>
    <col min="13827" max="13827" width="25.7109375" style="605" customWidth="1"/>
    <col min="13828" max="13828" width="13.85546875" style="605" customWidth="1"/>
    <col min="13829" max="13829" width="13.7109375" style="605" customWidth="1"/>
    <col min="13830" max="13832" width="9.7109375" style="605" customWidth="1"/>
    <col min="13833" max="14080" width="16.5703125" style="605"/>
    <col min="14081" max="14082" width="14.28515625" style="605" customWidth="1"/>
    <col min="14083" max="14083" width="25.7109375" style="605" customWidth="1"/>
    <col min="14084" max="14084" width="13.85546875" style="605" customWidth="1"/>
    <col min="14085" max="14085" width="13.7109375" style="605" customWidth="1"/>
    <col min="14086" max="14088" width="9.7109375" style="605" customWidth="1"/>
    <col min="14089" max="14336" width="16.5703125" style="605"/>
    <col min="14337" max="14338" width="14.28515625" style="605" customWidth="1"/>
    <col min="14339" max="14339" width="25.7109375" style="605" customWidth="1"/>
    <col min="14340" max="14340" width="13.85546875" style="605" customWidth="1"/>
    <col min="14341" max="14341" width="13.7109375" style="605" customWidth="1"/>
    <col min="14342" max="14344" width="9.7109375" style="605" customWidth="1"/>
    <col min="14345" max="14592" width="16.5703125" style="605"/>
    <col min="14593" max="14594" width="14.28515625" style="605" customWidth="1"/>
    <col min="14595" max="14595" width="25.7109375" style="605" customWidth="1"/>
    <col min="14596" max="14596" width="13.85546875" style="605" customWidth="1"/>
    <col min="14597" max="14597" width="13.7109375" style="605" customWidth="1"/>
    <col min="14598" max="14600" width="9.7109375" style="605" customWidth="1"/>
    <col min="14601" max="14848" width="16.5703125" style="605"/>
    <col min="14849" max="14850" width="14.28515625" style="605" customWidth="1"/>
    <col min="14851" max="14851" width="25.7109375" style="605" customWidth="1"/>
    <col min="14852" max="14852" width="13.85546875" style="605" customWidth="1"/>
    <col min="14853" max="14853" width="13.7109375" style="605" customWidth="1"/>
    <col min="14854" max="14856" width="9.7109375" style="605" customWidth="1"/>
    <col min="14857" max="15104" width="16.5703125" style="605"/>
    <col min="15105" max="15106" width="14.28515625" style="605" customWidth="1"/>
    <col min="15107" max="15107" width="25.7109375" style="605" customWidth="1"/>
    <col min="15108" max="15108" width="13.85546875" style="605" customWidth="1"/>
    <col min="15109" max="15109" width="13.7109375" style="605" customWidth="1"/>
    <col min="15110" max="15112" width="9.7109375" style="605" customWidth="1"/>
    <col min="15113" max="15360" width="16.5703125" style="605"/>
    <col min="15361" max="15362" width="14.28515625" style="605" customWidth="1"/>
    <col min="15363" max="15363" width="25.7109375" style="605" customWidth="1"/>
    <col min="15364" max="15364" width="13.85546875" style="605" customWidth="1"/>
    <col min="15365" max="15365" width="13.7109375" style="605" customWidth="1"/>
    <col min="15366" max="15368" width="9.7109375" style="605" customWidth="1"/>
    <col min="15369" max="15616" width="16.5703125" style="605"/>
    <col min="15617" max="15618" width="14.28515625" style="605" customWidth="1"/>
    <col min="15619" max="15619" width="25.7109375" style="605" customWidth="1"/>
    <col min="15620" max="15620" width="13.85546875" style="605" customWidth="1"/>
    <col min="15621" max="15621" width="13.7109375" style="605" customWidth="1"/>
    <col min="15622" max="15624" width="9.7109375" style="605" customWidth="1"/>
    <col min="15625" max="15872" width="16.5703125" style="605"/>
    <col min="15873" max="15874" width="14.28515625" style="605" customWidth="1"/>
    <col min="15875" max="15875" width="25.7109375" style="605" customWidth="1"/>
    <col min="15876" max="15876" width="13.85546875" style="605" customWidth="1"/>
    <col min="15877" max="15877" width="13.7109375" style="605" customWidth="1"/>
    <col min="15878" max="15880" width="9.7109375" style="605" customWidth="1"/>
    <col min="15881" max="16128" width="16.5703125" style="605"/>
    <col min="16129" max="16130" width="14.28515625" style="605" customWidth="1"/>
    <col min="16131" max="16131" width="25.7109375" style="605" customWidth="1"/>
    <col min="16132" max="16132" width="13.85546875" style="605" customWidth="1"/>
    <col min="16133" max="16133" width="13.7109375" style="605" customWidth="1"/>
    <col min="16134" max="16136" width="9.7109375" style="605" customWidth="1"/>
    <col min="16137" max="16384" width="16.5703125" style="605"/>
  </cols>
  <sheetData>
    <row r="6" spans="3:9" ht="50.1" customHeight="1">
      <c r="C6" s="489" t="s">
        <v>451</v>
      </c>
      <c r="D6" s="490"/>
      <c r="E6" s="491"/>
      <c r="F6" s="654"/>
      <c r="G6" s="489" t="s">
        <v>452</v>
      </c>
      <c r="H6" s="490"/>
      <c r="I6" s="491"/>
    </row>
    <row r="7" spans="3:9" ht="24.95" customHeight="1">
      <c r="C7" s="655"/>
      <c r="D7" s="631" t="str">
        <f>'Cuotas Plazas Autorizadas05'!$D$7</f>
        <v>julio 2010</v>
      </c>
      <c r="E7" s="655" t="s">
        <v>27</v>
      </c>
      <c r="G7" s="655"/>
      <c r="H7" s="631" t="str">
        <f>'Cuotas Plazas Autorizadas05'!$D$7</f>
        <v>julio 2010</v>
      </c>
      <c r="I7" s="655" t="s">
        <v>27</v>
      </c>
    </row>
    <row r="8" spans="3:9" ht="15" customHeight="1">
      <c r="C8" s="656" t="s">
        <v>411</v>
      </c>
      <c r="D8" s="657">
        <f>IFERROR(GETPIVOTDATA("Suma de Plazas",'[1]tabla dinámica plazas cat'!$A$4,"NombreMunicipio","ADEJE"),"-")</f>
        <v>47298</v>
      </c>
      <c r="E8" s="658">
        <f t="shared" ref="E8:E18" si="0">IFERROR(D8/$D$8,"-")</f>
        <v>1</v>
      </c>
      <c r="G8" s="656" t="s">
        <v>411</v>
      </c>
      <c r="H8" s="657">
        <f>IFERROR(GETPIVOTDATA("Suma de Plazas",'[1]tabla dinámica plazas cat'!$A$4,"NombreMunicipio","ARONA"),"-")</f>
        <v>39569</v>
      </c>
      <c r="I8" s="658">
        <f>IFERROR(H8/$H$8,"-")</f>
        <v>1</v>
      </c>
    </row>
    <row r="9" spans="3:9" ht="15" customHeight="1">
      <c r="C9" s="659" t="s">
        <v>343</v>
      </c>
      <c r="D9" s="660">
        <f>GETPIVOTDATA("Suma de Plazas",'[1]tabla dinámica plazas cat'!$A$4,"NombreMunicipio","ADEJE","Actividad","HOTELES")</f>
        <v>33818</v>
      </c>
      <c r="E9" s="661">
        <f t="shared" si="0"/>
        <v>0.71499852002198827</v>
      </c>
      <c r="F9" s="640"/>
      <c r="G9" s="659" t="s">
        <v>343</v>
      </c>
      <c r="H9" s="660">
        <f>GETPIVOTDATA("Suma de Plazas",'[1]tabla dinámica plazas cat'!$A$4,"NombreMunicipio","ARONA","Actividad","HOTELES")</f>
        <v>16604</v>
      </c>
      <c r="I9" s="661">
        <f t="shared" ref="I9:I32" si="1">IFERROR(H9/$H$8,"-")</f>
        <v>0.41962142080921933</v>
      </c>
    </row>
    <row r="10" spans="3:9" ht="15" customHeight="1">
      <c r="C10" s="662" t="s">
        <v>453</v>
      </c>
      <c r="D10" s="663">
        <f>IFERROR(GETPIVOTDATA("Suma de Plazas",'[1]tabla dinámica plazas cat'!$A$4,"NombreMunicipio","ADEJE","Actividad","HOTELES","Categoría","1 ESTRELLA"),"-")</f>
        <v>477</v>
      </c>
      <c r="E10" s="664">
        <f t="shared" si="0"/>
        <v>1.0084993022960802E-2</v>
      </c>
      <c r="F10" s="640"/>
      <c r="G10" s="662" t="s">
        <v>453</v>
      </c>
      <c r="H10" s="663">
        <f>IFERROR(GETPIVOTDATA("Suma de Plazas",'[1]tabla dinámica plazas cat'!$A$4,"NombreMunicipio","ARONA","Actividad","HOTELES","Categoría","1 ESTRELLA"),"-")</f>
        <v>190</v>
      </c>
      <c r="I10" s="661">
        <f t="shared" si="1"/>
        <v>4.8017387348682052E-3</v>
      </c>
    </row>
    <row r="11" spans="3:9" ht="15" customHeight="1">
      <c r="C11" s="662" t="s">
        <v>454</v>
      </c>
      <c r="D11" s="665">
        <f>IFERROR(GETPIVOTDATA("Suma de Plazas",'[1]tabla dinámica plazas cat'!$A$4,"NombreMunicipio","ADEJE","Actividad","HOTELES","Categoría","2 ESTRELLAS"),"-")</f>
        <v>1155</v>
      </c>
      <c r="E11" s="664">
        <f t="shared" si="0"/>
        <v>2.4419637193961691E-2</v>
      </c>
      <c r="F11" s="640"/>
      <c r="G11" s="662" t="s">
        <v>454</v>
      </c>
      <c r="H11" s="665">
        <f>IFERROR(GETPIVOTDATA("Suma de Plazas",'[1]tabla dinámica plazas cat'!$A$4,"NombreMunicipio","ARONA","Actividad","HOTELES","Categoría","2 ESTRELLAS"),"-")</f>
        <v>96</v>
      </c>
      <c r="I11" s="664">
        <f t="shared" si="1"/>
        <v>2.4261416765649878E-3</v>
      </c>
    </row>
    <row r="12" spans="3:9" ht="15" customHeight="1">
      <c r="C12" s="662" t="s">
        <v>455</v>
      </c>
      <c r="D12" s="665">
        <f>IFERROR(GETPIVOTDATA("Suma de Plazas",'[1]tabla dinámica plazas cat'!$A$4,"NombreMunicipio","ADEJE","Actividad","HOTELES","Categoría","3 ESTRELLAS"),"-")</f>
        <v>8794</v>
      </c>
      <c r="E12" s="664">
        <f t="shared" si="0"/>
        <v>0.18592752336251003</v>
      </c>
      <c r="F12" s="640"/>
      <c r="G12" s="662" t="s">
        <v>455</v>
      </c>
      <c r="H12" s="665">
        <f>IFERROR(GETPIVOTDATA("Suma de Plazas",'[1]tabla dinámica plazas cat'!$A$4,"NombreMunicipio","ARONA","Actividad","HOTELES","Categoría","3 ESTRELLAS"),"-")</f>
        <v>4904</v>
      </c>
      <c r="I12" s="664">
        <f t="shared" si="1"/>
        <v>0.12393540397786146</v>
      </c>
    </row>
    <row r="13" spans="3:9" ht="15" customHeight="1">
      <c r="C13" s="662" t="s">
        <v>456</v>
      </c>
      <c r="D13" s="665">
        <f>IFERROR(GETPIVOTDATA("Suma de Plazas",'[1]tabla dinámica plazas cat'!$A$4,"NombreMunicipio","ADEJE","Actividad","HOTELES","Categoría","4 ESTRELLAS"),"-")</f>
        <v>17960</v>
      </c>
      <c r="E13" s="664">
        <f t="shared" si="0"/>
        <v>0.37972007273034802</v>
      </c>
      <c r="F13" s="640"/>
      <c r="G13" s="662" t="s">
        <v>456</v>
      </c>
      <c r="H13" s="665">
        <f>IFERROR(GETPIVOTDATA("Suma de Plazas",'[1]tabla dinámica plazas cat'!$A$4,"NombreMunicipio","ARONA","Actividad","HOTELES","Categoría","4 ESTRELLAS"),"-")</f>
        <v>9803</v>
      </c>
      <c r="I13" s="664">
        <f t="shared" si="1"/>
        <v>0.24774444641006849</v>
      </c>
    </row>
    <row r="14" spans="3:9" ht="15" customHeight="1">
      <c r="C14" s="662" t="s">
        <v>457</v>
      </c>
      <c r="D14" s="665">
        <f>IFERROR(GETPIVOTDATA("Suma de Plazas",'[1]tabla dinámica plazas cat'!$A$4,"NombreMunicipio","ADEJE","Actividad","HOTELES","Categoría","5 ESTRELLAS")+GETPIVOTDATA("Suma de Plazas",'[1]tabla dinámica plazas cat'!$A$4,"NombreMunicipio","ADEJE","Actividad","HOTELES","Categoría","5 ESTRELLAS LUJO"),"-")</f>
        <v>4886</v>
      </c>
      <c r="E14" s="664">
        <f t="shared" si="0"/>
        <v>0.10330246522051673</v>
      </c>
      <c r="F14" s="640"/>
      <c r="G14" s="662" t="s">
        <v>457</v>
      </c>
      <c r="H14" s="665">
        <f>IFERROR(GETPIVOTDATA("Suma de Plazas",'[1]tabla dinámica plazas cat'!$A$4,"NombreMunicipio","ARONA","Actividad","HOTELES","Categoría","5 ESTRELLAS")+GETPIVOTDATA("Suma de Plazas",'[1]tabla dinámica plazas cat'!$A$4,"NombreMunicipio","ARONA","Actividad","HOTELES","Categoría","5 ESTRELLAS LUJO"),"-")</f>
        <v>1611</v>
      </c>
      <c r="I14" s="664">
        <f t="shared" si="1"/>
        <v>4.0713690009856203E-2</v>
      </c>
    </row>
    <row r="15" spans="3:9" ht="15" hidden="1" customHeight="1">
      <c r="C15" s="662" t="s">
        <v>458</v>
      </c>
      <c r="D15" s="665" t="str">
        <f>IFERROR(GETPIVOTDATA("Suma de Plazas",'[1]tabla dinámica plazas cat'!$A$1,"Actividad","HOTELES","Categoría","SIN DATO"),"-")</f>
        <v>-</v>
      </c>
      <c r="E15" s="664" t="str">
        <f t="shared" si="0"/>
        <v>-</v>
      </c>
      <c r="F15" s="640"/>
      <c r="G15" s="662" t="s">
        <v>458</v>
      </c>
      <c r="H15" s="665" t="str">
        <f>IFERROR(GETPIVOTDATA("Suma de Plazas",'[1]tabla dinámica plazas cat'!$A$1,"Actividad","HOTELES","Categoría","SIN DATO"),"-")</f>
        <v>-</v>
      </c>
      <c r="I15" s="664" t="str">
        <f t="shared" si="1"/>
        <v>-</v>
      </c>
    </row>
    <row r="16" spans="3:9" ht="15" customHeight="1">
      <c r="C16" s="659" t="s">
        <v>344</v>
      </c>
      <c r="D16" s="660">
        <f>GETPIVOTDATA("Suma de Plazas",'[1]tabla dinámica plazas cat'!$A$4,"NombreMunicipio","ADEJE","Actividad","APARTAMENTOS")</f>
        <v>13444</v>
      </c>
      <c r="E16" s="661">
        <f t="shared" si="0"/>
        <v>0.28424034842910906</v>
      </c>
      <c r="F16" s="640"/>
      <c r="G16" s="659" t="s">
        <v>344</v>
      </c>
      <c r="H16" s="660">
        <f>GETPIVOTDATA("Suma de Plazas",'[1]tabla dinámica plazas cat'!$A$4,"NombreMunicipio","ARONA","Actividad","APARTAMENTOS")</f>
        <v>22945</v>
      </c>
      <c r="I16" s="661">
        <f t="shared" si="1"/>
        <v>0.57987313300816301</v>
      </c>
    </row>
    <row r="17" spans="3:9" ht="15" customHeight="1">
      <c r="C17" s="662" t="s">
        <v>459</v>
      </c>
      <c r="D17" s="665">
        <f>IFERROR(GETPIVOTDATA("Suma de Plazas",'[1]tabla dinámica plazas cat'!$A$4,"NombreMunicipio","ADEJE","Actividad","APARTAMENTOS","Categoría","1 LLAVE"),"-")</f>
        <v>1041</v>
      </c>
      <c r="E17" s="664">
        <f t="shared" si="0"/>
        <v>2.2009387289103132E-2</v>
      </c>
      <c r="F17" s="640"/>
      <c r="G17" s="662" t="s">
        <v>459</v>
      </c>
      <c r="H17" s="665">
        <f>IFERROR(GETPIVOTDATA("Suma de Plazas",'[1]tabla dinámica plazas cat'!$A$4,"NombreMunicipio","ARONA","Actividad","APARTAMENTOS","Categoría","1 LLAVE"),"-")</f>
        <v>3836</v>
      </c>
      <c r="I17" s="664">
        <f t="shared" si="1"/>
        <v>9.6944577826075962E-2</v>
      </c>
    </row>
    <row r="18" spans="3:9" ht="15" customHeight="1">
      <c r="C18" s="662" t="s">
        <v>460</v>
      </c>
      <c r="D18" s="665">
        <f>IFERROR(GETPIVOTDATA("Suma de Plazas",'[1]tabla dinámica plazas cat'!$A$4,"NombreMunicipio","ADEJE","Actividad","APARTAMENTOS","Categoría","2 LLAVES"),"-")</f>
        <v>5401</v>
      </c>
      <c r="E18" s="664">
        <f t="shared" si="0"/>
        <v>0.11419087487843038</v>
      </c>
      <c r="F18" s="640"/>
      <c r="G18" s="662" t="s">
        <v>460</v>
      </c>
      <c r="H18" s="665">
        <f>IFERROR(GETPIVOTDATA("Suma de Plazas",'[1]tabla dinámica plazas cat'!$A$4,"NombreMunicipio","ARONA","Actividad","APARTAMENTOS","Categoría","2 LLAVES"),"-")</f>
        <v>5510</v>
      </c>
      <c r="I18" s="664">
        <f t="shared" si="1"/>
        <v>0.13925042331117793</v>
      </c>
    </row>
    <row r="19" spans="3:9" ht="15" customHeight="1">
      <c r="C19" s="662" t="s">
        <v>461</v>
      </c>
      <c r="D19" s="665">
        <f>IFERROR(GETPIVOTDATA("Suma de Plazas",'[1]tabla dinámica plazas cat'!$A$4,"NombreMunicipio","ADEJE","Actividad","APARTAMENTOS","Categoría","3 LLAVES"),"-")</f>
        <v>6998</v>
      </c>
      <c r="E19" s="664">
        <f>IFERROR(D19/$D$8,"-")</f>
        <v>0.14795551608947524</v>
      </c>
      <c r="F19" s="640"/>
      <c r="G19" s="662" t="s">
        <v>461</v>
      </c>
      <c r="H19" s="665">
        <f>IFERROR(GETPIVOTDATA("Suma de Plazas",'[1]tabla dinámica plazas cat'!$A$4,"NombreMunicipio","ARONA","Actividad","APARTAMENTOS","Categoría","3 LLAVES"),"-")</f>
        <v>13381</v>
      </c>
      <c r="I19" s="664">
        <f t="shared" si="1"/>
        <v>0.33816876848037603</v>
      </c>
    </row>
    <row r="20" spans="3:9" ht="15" hidden="1" customHeight="1">
      <c r="C20" s="662" t="s">
        <v>462</v>
      </c>
      <c r="D20" s="665" t="str">
        <f>IFERROR(GETPIVOTDATA("Suma de Plazas",'[1]tabla dinámica plazas cat'!$A$4,"NombreMunicipio","ADEJE","Actividad","APARTAMENTOS","Categoría","4 LLAVES"),"-")</f>
        <v>-</v>
      </c>
      <c r="E20" s="664" t="str">
        <f t="shared" ref="E20:E32" si="2">IFERROR(D20/$D$8,"-")</f>
        <v>-</v>
      </c>
      <c r="F20" s="640"/>
      <c r="G20" s="662" t="s">
        <v>462</v>
      </c>
      <c r="H20" s="665" t="str">
        <f>IFERROR(GETPIVOTDATA("Suma de Plazas",'[1]tabla dinámica plazas cat'!$A$4,"NombreMunicipio","ARONA","Actividad","APARTAMENTOS","Categoría","4 LLAVES"),"-")</f>
        <v>-</v>
      </c>
      <c r="I20" s="664" t="str">
        <f t="shared" si="1"/>
        <v>-</v>
      </c>
    </row>
    <row r="21" spans="3:9" ht="15" customHeight="1">
      <c r="C21" s="662" t="s">
        <v>463</v>
      </c>
      <c r="D21" s="665" t="str">
        <f>IFERROR(GETPIVOTDATA("Suma de Plazas",'[1]tabla dinámica plazas cat'!$A$4,"NombreMunicipio","ADEJE","Actividad","APARTAMENTOS","Categoría","5 LLAVES"),"-")</f>
        <v>-</v>
      </c>
      <c r="E21" s="664" t="str">
        <f t="shared" si="2"/>
        <v>-</v>
      </c>
      <c r="F21" s="640"/>
      <c r="G21" s="662" t="s">
        <v>463</v>
      </c>
      <c r="H21" s="665">
        <f>IFERROR(GETPIVOTDATA("Suma de Plazas",'[1]tabla dinámica plazas cat'!$A$4,"NombreMunicipio","ARONA","Actividad","APARTAMENTOS","Categoría","5 LLAVES"),"-")</f>
        <v>218</v>
      </c>
      <c r="I21" s="664">
        <f t="shared" si="1"/>
        <v>5.5093633905329929E-3</v>
      </c>
    </row>
    <row r="22" spans="3:9" ht="15" customHeight="1">
      <c r="C22" s="662" t="s">
        <v>458</v>
      </c>
      <c r="D22" s="665">
        <f>IFERROR(GETPIVOTDATA("Suma de Plazas",'[1]tabla dinámica plazas cat'!$A$4,"NombreMunicipio","ADEJE","Actividad","APARTAMENTOS","Categoría","SIN DATO"),"-")</f>
        <v>4</v>
      </c>
      <c r="E22" s="664">
        <f t="shared" si="2"/>
        <v>8.4570172100300223E-5</v>
      </c>
      <c r="F22" s="640"/>
      <c r="G22" s="662" t="s">
        <v>458</v>
      </c>
      <c r="H22" s="665" t="str">
        <f>IFERROR(GETPIVOTDATA("Suma de Plazas",'[1]tabla dinámica plazas cat'!$A$4,"NombreMunicipio","ARONA","Actividad","APARTAMENTOS","Categoría","SIN DATO"),"-")</f>
        <v>-</v>
      </c>
      <c r="I22" s="664" t="str">
        <f t="shared" si="1"/>
        <v>-</v>
      </c>
    </row>
    <row r="23" spans="3:9" ht="15" customHeight="1">
      <c r="C23" s="659" t="s">
        <v>414</v>
      </c>
      <c r="D23" s="666">
        <f>GETPIVOTDATA("Suma de Plazas",'[1]tabla dinámica plazas cat'!$A$4,"NombreMunicipio","ADEJE","Actividad","HOTELES RURALES")</f>
        <v>22</v>
      </c>
      <c r="E23" s="661">
        <f t="shared" si="2"/>
        <v>4.6513594655165123E-4</v>
      </c>
      <c r="F23" s="640"/>
      <c r="G23" s="659" t="s">
        <v>414</v>
      </c>
      <c r="H23" s="666">
        <f>GETPIVOTDATA("Suma de Plazas",'[1]tabla dinámica plazas cat'!$A$4,"NombreMunicipio","ARONA","Actividad","HOTELES RURALES")</f>
        <v>0</v>
      </c>
      <c r="I23" s="661">
        <f t="shared" si="1"/>
        <v>0</v>
      </c>
    </row>
    <row r="24" spans="3:9" ht="15" customHeight="1">
      <c r="C24" s="662" t="s">
        <v>464</v>
      </c>
      <c r="D24" s="665">
        <f>IFERROR(GETPIVOTDATA("Suma de Plazas",'[1]tabla dinámica plazas cat'!$A$4,"NombreMunicipio","ADEJE","Actividad","HOTELES RURALES","Categoría","1 PALMERA"),"-")</f>
        <v>22</v>
      </c>
      <c r="E24" s="664">
        <f t="shared" si="2"/>
        <v>4.6513594655165123E-4</v>
      </c>
      <c r="F24" s="640"/>
      <c r="G24" s="662" t="s">
        <v>464</v>
      </c>
      <c r="H24" s="665" t="str">
        <f>IFERROR(GETPIVOTDATA("Suma de Plazas",'[1]tabla dinámica plazas cat'!$A$4,"NombreMunicipio","ARONA","Actividad","HOTELES RURALES","Categoría","1 PALMERA"),"-")</f>
        <v>-</v>
      </c>
      <c r="I24" s="664" t="str">
        <f t="shared" si="1"/>
        <v>-</v>
      </c>
    </row>
    <row r="25" spans="3:9" ht="15" hidden="1" customHeight="1">
      <c r="C25" s="662" t="s">
        <v>465</v>
      </c>
      <c r="D25" s="665" t="str">
        <f>IFERROR(GETPIVOTDATA("Suma de Plazas",'[1]tabla dinámica plazas cat'!$A$4,"NombreMunicipio","ADEJE","Actividad","HOTELES RURALES","Categoría","2 PALMERA"),"-")</f>
        <v>-</v>
      </c>
      <c r="E25" s="664" t="str">
        <f t="shared" si="2"/>
        <v>-</v>
      </c>
      <c r="F25" s="640"/>
      <c r="G25" s="662" t="s">
        <v>465</v>
      </c>
      <c r="H25" s="665" t="str">
        <f>IFERROR(GETPIVOTDATA("Suma de Plazas",'[1]tabla dinámica plazas cat'!$A$4,"NombreMunicipio","ARONA","Actividad","HOTELES RURALES","Categoría","2 PALMERA"),"-")</f>
        <v>-</v>
      </c>
      <c r="I25" s="664" t="str">
        <f t="shared" si="1"/>
        <v>-</v>
      </c>
    </row>
    <row r="26" spans="3:9" ht="15" hidden="1" customHeight="1">
      <c r="C26" s="662" t="s">
        <v>458</v>
      </c>
      <c r="D26" s="665">
        <f>IFERROR(GETPIVOTDATA("Suma de Plazas",'[1]tabla dinámica plazas cat'!$A$4,"NombreMunicipio","ADEJE","Actividad","HOTELES RURALES","Categoría","SIN DATO"),"-")</f>
        <v>0</v>
      </c>
      <c r="E26" s="664">
        <f t="shared" si="2"/>
        <v>0</v>
      </c>
      <c r="F26" s="640"/>
      <c r="G26" s="662" t="s">
        <v>458</v>
      </c>
      <c r="H26" s="665" t="str">
        <f>IFERROR(GETPIVOTDATA("Suma de Plazas",'[1]tabla dinámica plazas cat'!$A$4,"NombreMunicipio","ARONA","Actividad","HOTELES RURALES","Categoría","SIN DATO"),"-")</f>
        <v>-</v>
      </c>
      <c r="I26" s="664" t="str">
        <f t="shared" si="1"/>
        <v>-</v>
      </c>
    </row>
    <row r="27" spans="3:9" ht="15" customHeight="1">
      <c r="C27" s="659" t="s">
        <v>415</v>
      </c>
      <c r="D27" s="667">
        <f>GETPIVOTDATA("Suma de Plazas",'[1]tabla dinámica plazas cat'!$A$4,"NombreMunicipio","ADEJE","Actividad","CASAS RURALES")</f>
        <v>14</v>
      </c>
      <c r="E27" s="661">
        <f t="shared" si="2"/>
        <v>2.9599560235105078E-4</v>
      </c>
      <c r="F27" s="640"/>
      <c r="G27" s="659" t="s">
        <v>415</v>
      </c>
      <c r="H27" s="667">
        <f>GETPIVOTDATA("Suma de Plazas",'[1]tabla dinámica plazas cat'!$A$4,"NombreMunicipio","ARONA","Actividad","CASAS RURALES")</f>
        <v>20</v>
      </c>
      <c r="I27" s="661">
        <f t="shared" si="1"/>
        <v>5.0544618261770579E-4</v>
      </c>
    </row>
    <row r="28" spans="3:9" ht="15" hidden="1" customHeight="1">
      <c r="C28" s="662" t="s">
        <v>466</v>
      </c>
      <c r="D28" s="668" t="str">
        <f>IFERROR(GETPIVOTDATA("Suma de Plazas",'[1]tabla dinámica plazas cat'!$A$4,"NombreMunicipio","ADEJE","Actividad","CASAS RURALES","Categoría","CONJUNTO INMUEBLES"),"-")</f>
        <v>-</v>
      </c>
      <c r="E28" s="664" t="str">
        <f t="shared" si="2"/>
        <v>-</v>
      </c>
      <c r="F28" s="640"/>
      <c r="G28" s="662" t="s">
        <v>466</v>
      </c>
      <c r="H28" s="668" t="str">
        <f>IFERROR(GETPIVOTDATA("Suma de Plazas",'[1]tabla dinámica plazas cat'!$A$4,"NombreMunicipio","ARONA","Actividad","CASAS RURALES","Categoría","CONJUNTO INMUEBLES"),"-")</f>
        <v>-</v>
      </c>
      <c r="I28" s="664" t="str">
        <f t="shared" si="1"/>
        <v>-</v>
      </c>
    </row>
    <row r="29" spans="3:9" ht="15" hidden="1" customHeight="1">
      <c r="C29" s="662" t="s">
        <v>467</v>
      </c>
      <c r="D29" s="668" t="str">
        <f>IFERROR(GETPIVOTDATA("Suma de Plazas",'[1]tabla dinámica plazas cat'!$A$4,"NombreMunicipio","ADEJE","Actividad","CASAS RURALES","Categoría","COMPARTIDO PROPIETARIO"),"-")</f>
        <v>-</v>
      </c>
      <c r="E29" s="664" t="str">
        <f t="shared" si="2"/>
        <v>-</v>
      </c>
      <c r="F29" s="640"/>
      <c r="G29" s="662" t="s">
        <v>467</v>
      </c>
      <c r="H29" s="668" t="str">
        <f>IFERROR(GETPIVOTDATA("Suma de Plazas",'[1]tabla dinámica plazas cat'!$A$4,"NombreMunicipio","ARONA","Actividad","CASAS RURALES","Categoría","COMPARTIDO PROPIETARIO"),"-")</f>
        <v>-</v>
      </c>
      <c r="I29" s="664" t="str">
        <f t="shared" si="1"/>
        <v>-</v>
      </c>
    </row>
    <row r="30" spans="3:9" ht="15" customHeight="1">
      <c r="C30" s="662" t="s">
        <v>468</v>
      </c>
      <c r="D30" s="668">
        <f>IFERROR(GETPIVOTDATA("Suma de Plazas",'[1]tabla dinámica plazas cat'!$A$4,"NombreMunicipio","ADEJE","Actividad","CASAS RURALES","Categoría","EXCLUSIVO"),"-")</f>
        <v>5</v>
      </c>
      <c r="E30" s="664">
        <f t="shared" si="2"/>
        <v>1.0571271512537528E-4</v>
      </c>
      <c r="F30" s="669"/>
      <c r="G30" s="662" t="s">
        <v>468</v>
      </c>
      <c r="H30" s="668" t="str">
        <f>IFERROR(GETPIVOTDATA("Suma de Plazas",'[1]tabla dinámica plazas cat'!$A$4,"NombreMunicipio","ARONA","Actividad","CASAS RURALES","Categoría","EXCLUSIVO"),"-")</f>
        <v>-</v>
      </c>
      <c r="I30" s="664" t="str">
        <f t="shared" si="1"/>
        <v>-</v>
      </c>
    </row>
    <row r="31" spans="3:9" ht="15" customHeight="1" thickBot="1">
      <c r="C31" s="662" t="s">
        <v>469</v>
      </c>
      <c r="D31" s="668">
        <f>GETPIVOTDATA("Suma de Plazas",'[1]tabla dinámica plazas cat'!$A$4,"NombreMunicipio","ADEJE","Actividad","CASAS RURALES","Categoría","COMPARTIDO OTROS USUARIOS")</f>
        <v>9</v>
      </c>
      <c r="E31" s="664">
        <f t="shared" si="2"/>
        <v>1.902828872256755E-4</v>
      </c>
      <c r="F31" s="669"/>
      <c r="G31" s="662" t="s">
        <v>469</v>
      </c>
      <c r="H31" s="668">
        <f>GETPIVOTDATA("Suma de Plazas",'[1]tabla dinámica plazas cat'!$A$4,"NombreMunicipio","ARONA","Actividad","CASAS RURALES","Categoría","COMPARTIDO OTROS USUARIOS")</f>
        <v>20</v>
      </c>
      <c r="I31" s="664">
        <f t="shared" si="1"/>
        <v>5.0544618261770579E-4</v>
      </c>
    </row>
    <row r="32" spans="3:9" ht="15" hidden="1" customHeight="1" thickBot="1">
      <c r="C32" s="662" t="s">
        <v>458</v>
      </c>
      <c r="D32" s="668">
        <f>IFERROR(GETPIVOTDATA("Suma de Plazas",'[1]tabla dinámica plazas cat'!$A$4,"NombreMunicipio","ADEJE","Actividad","CASAS RURALES","Categoría","SIN DATO"),"-")</f>
        <v>0</v>
      </c>
      <c r="E32" s="664">
        <f t="shared" si="2"/>
        <v>0</v>
      </c>
      <c r="F32" s="640"/>
      <c r="G32" s="662" t="s">
        <v>458</v>
      </c>
      <c r="H32" s="668" t="str">
        <f>IFERROR(GETPIVOTDATA("Suma de Plazas",'[1]tabla dinámica plazas cat'!$A$4,"NombreMunicipio","ARONA","Actividad","CASAS RURALES","Categoría","SIN DATO"),"-")</f>
        <v>-</v>
      </c>
      <c r="I32" s="664" t="str">
        <f t="shared" si="1"/>
        <v>-</v>
      </c>
    </row>
    <row r="33" spans="3:11" ht="30" customHeight="1" thickBot="1">
      <c r="C33" s="670" t="s">
        <v>470</v>
      </c>
      <c r="D33" s="671"/>
      <c r="E33" s="672"/>
      <c r="F33" s="640"/>
      <c r="G33" s="670" t="s">
        <v>470</v>
      </c>
      <c r="H33" s="671"/>
      <c r="I33" s="672"/>
      <c r="K33" s="60" t="s">
        <v>50</v>
      </c>
    </row>
    <row r="34" spans="3:11" ht="51" customHeight="1">
      <c r="D34" s="640"/>
      <c r="E34" s="640"/>
      <c r="F34" s="640"/>
      <c r="G34" s="640"/>
      <c r="H34" s="640"/>
    </row>
    <row r="35" spans="3:11" ht="40.5" customHeight="1">
      <c r="C35" s="489" t="s">
        <v>471</v>
      </c>
      <c r="D35" s="490"/>
      <c r="E35" s="491"/>
      <c r="F35" s="654"/>
      <c r="G35" s="489" t="s">
        <v>472</v>
      </c>
      <c r="H35" s="490"/>
      <c r="I35" s="491"/>
    </row>
    <row r="36" spans="3:11" ht="24.75" customHeight="1">
      <c r="C36" s="655"/>
      <c r="D36" s="631" t="str">
        <f>'Cuotas Plazas Autorizadas05'!$D$7</f>
        <v>julio 2010</v>
      </c>
      <c r="E36" s="655" t="s">
        <v>27</v>
      </c>
      <c r="G36" s="655"/>
      <c r="H36" s="631" t="str">
        <f>'Cuotas Plazas Autorizadas05'!$D$7</f>
        <v>julio 2010</v>
      </c>
      <c r="I36" s="655" t="s">
        <v>27</v>
      </c>
    </row>
    <row r="37" spans="3:11">
      <c r="C37" s="656" t="s">
        <v>411</v>
      </c>
      <c r="D37" s="657">
        <f>IFERROR(GETPIVOTDATA("Suma de Plazas",'[1]tabla dinámica plazas cat'!$A$4,"NombreMunicipio","PUERTO DE LA CRUZ"),"-")</f>
        <v>23028</v>
      </c>
      <c r="E37" s="658">
        <f>IFERROR(D37/$D$37,"-")</f>
        <v>1</v>
      </c>
      <c r="G37" s="656" t="s">
        <v>411</v>
      </c>
      <c r="H37" s="657">
        <f>IFERROR(GETPIVOTDATA("Suma de Plazas",'[1]tabla dinámica plazas cat'!$A$4,"NombreMunicipio","SANTA CRUZ DE TENERIFE"),"-")</f>
        <v>2687</v>
      </c>
      <c r="I37" s="658">
        <f>IFERROR(H37/$H$37,"-")</f>
        <v>1</v>
      </c>
    </row>
    <row r="38" spans="3:11">
      <c r="C38" s="659" t="s">
        <v>343</v>
      </c>
      <c r="D38" s="660">
        <f>GETPIVOTDATA("Suma de Plazas",'[1]tabla dinámica plazas cat'!$A$4,"NombreMunicipio","PUERTO DE LA CRUZ","Actividad","HOTELES")</f>
        <v>16251</v>
      </c>
      <c r="E38" s="661">
        <f t="shared" ref="E38:E61" si="3">IFERROR(D38/$D$37,"-")</f>
        <v>0.70570609692548203</v>
      </c>
      <c r="F38" s="640"/>
      <c r="G38" s="659" t="s">
        <v>343</v>
      </c>
      <c r="H38" s="660">
        <f>GETPIVOTDATA("Suma de Plazas",'[1]tabla dinámica plazas cat'!$A$4,"NombreMunicipio","SANTA CRUZ DE TENERIFE","Actividad","HOTELES")</f>
        <v>2673</v>
      </c>
      <c r="I38" s="661">
        <f t="shared" ref="I38:I61" si="4">IFERROR(H38/$H$37,"-")</f>
        <v>0.99478972832154822</v>
      </c>
    </row>
    <row r="39" spans="3:11">
      <c r="C39" s="662" t="s">
        <v>453</v>
      </c>
      <c r="D39" s="663">
        <f>IFERROR(GETPIVOTDATA("Suma de Plazas",'[1]tabla dinámica plazas cat'!$A$4,"NombreMunicipio","PUERTO DE LA CRUZ","Actividad","HOTELES","Categoría","1 ESTRELLA"),"-")</f>
        <v>145</v>
      </c>
      <c r="E39" s="664">
        <f t="shared" si="3"/>
        <v>6.2966822998089282E-3</v>
      </c>
      <c r="F39" s="640"/>
      <c r="G39" s="662" t="s">
        <v>453</v>
      </c>
      <c r="H39" s="663">
        <f>IFERROR(GETPIVOTDATA("Suma de Plazas",'[1]tabla dinámica plazas cat'!$A$4,"NombreMunicipio","SANTA CRUZ DE TENERIFE","Actividad","HOTELES","Categoría","1 ESTRELLA"),"-")</f>
        <v>218</v>
      </c>
      <c r="I39" s="664">
        <f t="shared" si="4"/>
        <v>8.113137327874953E-2</v>
      </c>
    </row>
    <row r="40" spans="3:11">
      <c r="C40" s="662" t="s">
        <v>454</v>
      </c>
      <c r="D40" s="665">
        <f>IFERROR(GETPIVOTDATA("Suma de Plazas",'[1]tabla dinámica plazas cat'!$A$4,"NombreMunicipio","PUERTO DE LA CRUZ","Actividad","HOTELES","Categoría","2 ESTRELLAS"),"-")</f>
        <v>317</v>
      </c>
      <c r="E40" s="664">
        <f t="shared" si="3"/>
        <v>1.376585026923745E-2</v>
      </c>
      <c r="F40" s="640"/>
      <c r="G40" s="662" t="s">
        <v>454</v>
      </c>
      <c r="H40" s="665">
        <f>IFERROR(GETPIVOTDATA("Suma de Plazas",'[1]tabla dinámica plazas cat'!$A$4,"NombreMunicipio","SANTA CRUZ DE TENERIFE","Actividad","HOTELES","Categoría","2 ESTRELLAS"),"-")</f>
        <v>680</v>
      </c>
      <c r="I40" s="664">
        <f t="shared" si="4"/>
        <v>0.2530703386676591</v>
      </c>
    </row>
    <row r="41" spans="3:11">
      <c r="C41" s="662" t="s">
        <v>455</v>
      </c>
      <c r="D41" s="665">
        <f>IFERROR(GETPIVOTDATA("Suma de Plazas",'[1]tabla dinámica plazas cat'!$A$4,"NombreMunicipio","PUERTO DE LA CRUZ","Actividad","HOTELES","Categoría","3 ESTRELLAS"),"-")</f>
        <v>3374</v>
      </c>
      <c r="E41" s="664">
        <f t="shared" si="3"/>
        <v>0.14651728330727809</v>
      </c>
      <c r="F41" s="640"/>
      <c r="G41" s="662" t="s">
        <v>455</v>
      </c>
      <c r="H41" s="665">
        <f>IFERROR(GETPIVOTDATA("Suma de Plazas",'[1]tabla dinámica plazas cat'!$A$4,"NombreMunicipio","SANTA CRUZ DE TENERIFE","Actividad","HOTELES","Categoría","3 ESTRELLAS"),"-")</f>
        <v>795</v>
      </c>
      <c r="I41" s="664">
        <f t="shared" si="4"/>
        <v>0.2958689988835132</v>
      </c>
    </row>
    <row r="42" spans="3:11">
      <c r="C42" s="662" t="s">
        <v>456</v>
      </c>
      <c r="D42" s="665">
        <f>IFERROR(GETPIVOTDATA("Suma de Plazas",'[1]tabla dinámica plazas cat'!$A$4,"NombreMunicipio","PUERTO DE LA CRUZ","Actividad","HOTELES","Categoría","4 ESTRELLAS"),"-")</f>
        <v>11321</v>
      </c>
      <c r="E42" s="664">
        <f t="shared" si="3"/>
        <v>0.49161889873197845</v>
      </c>
      <c r="F42" s="640"/>
      <c r="G42" s="662" t="s">
        <v>456</v>
      </c>
      <c r="H42" s="665">
        <f>IFERROR(GETPIVOTDATA("Suma de Plazas",'[1]tabla dinámica plazas cat'!$A$4,"NombreMunicipio","SANTA CRUZ DE TENERIFE","Actividad","HOTELES","Categoría","4 ESTRELLAS"),"-")</f>
        <v>408</v>
      </c>
      <c r="I42" s="664">
        <f t="shared" si="4"/>
        <v>0.15184220320059547</v>
      </c>
    </row>
    <row r="43" spans="3:11">
      <c r="C43" s="662" t="s">
        <v>457</v>
      </c>
      <c r="D43" s="665">
        <f>IFERROR(GETPIVOTDATA("Suma de Plazas",'[1]tabla dinámica plazas cat'!$A$4,"NombreMunicipio","PUERTO DE LA CRUZ","Actividad","HOTELES","Categoría","5 ESTRELLAS")+GETPIVOTDATA("Suma de Plazas",'[1]tabla dinámica plazas cat'!$A$4,"NombreMunicipio","PUERTO DE LA CRUZ","Actividad","HOTELES","Categoría","5 ESTRELLAS LUJO"),"-")</f>
        <v>1094</v>
      </c>
      <c r="E43" s="664">
        <f t="shared" si="3"/>
        <v>4.7507382317179089E-2</v>
      </c>
      <c r="F43" s="640"/>
      <c r="G43" s="662" t="s">
        <v>457</v>
      </c>
      <c r="H43" s="665">
        <f>IFERROR(GETPIVOTDATA("Suma de Plazas",'[1]tabla dinámica plazas cat'!$A$4,"NombreMunicipio","SANTA CRUZ DE TENERIFE","Actividad","HOTELES","Categoría","5 ESTRELLAS"),"-")</f>
        <v>572</v>
      </c>
      <c r="I43" s="664">
        <f t="shared" si="4"/>
        <v>0.21287681429103089</v>
      </c>
    </row>
    <row r="44" spans="3:11" hidden="1">
      <c r="C44" s="662" t="s">
        <v>458</v>
      </c>
      <c r="D44" s="665" t="str">
        <f>IFERROR(GETPIVOTDATA("Suma de Plazas",'[1]tabla dinámica plazas cat'!$A$1,"Actividad","HOTELES","Categoría","SIN DATO"),"-")</f>
        <v>-</v>
      </c>
      <c r="E44" s="664" t="str">
        <f t="shared" si="3"/>
        <v>-</v>
      </c>
      <c r="F44" s="640"/>
      <c r="G44" s="662" t="s">
        <v>458</v>
      </c>
      <c r="H44" s="665" t="str">
        <f>IFERROR(GETPIVOTDATA("Suma de Plazas",'[1]tabla dinámica plazas cat'!$A$1,"Actividad","HOTELES","Categoría","SIN DATO"),"-")</f>
        <v>-</v>
      </c>
      <c r="I44" s="664" t="str">
        <f t="shared" si="4"/>
        <v>-</v>
      </c>
    </row>
    <row r="45" spans="3:11">
      <c r="C45" s="659" t="s">
        <v>344</v>
      </c>
      <c r="D45" s="660">
        <f>GETPIVOTDATA("Suma de Plazas",'[1]tabla dinámica plazas cat'!$A$4,"NombreMunicipio","PUERTO DE LA CRUZ","Actividad","APARTAMENTOS")</f>
        <v>6777</v>
      </c>
      <c r="E45" s="661">
        <f t="shared" si="3"/>
        <v>0.29429390307451797</v>
      </c>
      <c r="F45" s="640"/>
      <c r="G45" s="659" t="s">
        <v>344</v>
      </c>
      <c r="H45" s="660">
        <f>GETPIVOTDATA("Suma de Plazas",'[1]tabla dinámica plazas cat'!$A$4,"NombreMunicipio","SANTA CRUZ DE TENERIFE","Actividad","APARTAMENTOS")</f>
        <v>6</v>
      </c>
      <c r="I45" s="661">
        <f t="shared" si="4"/>
        <v>2.2329735764793448E-3</v>
      </c>
    </row>
    <row r="46" spans="3:11">
      <c r="C46" s="662" t="s">
        <v>459</v>
      </c>
      <c r="D46" s="665">
        <f>IFERROR(GETPIVOTDATA("Suma de Plazas",'[1]tabla dinámica plazas cat'!$A$4,"NombreMunicipio","PUERTO DE LA CRUZ","Actividad","APARTAMENTOS","Categoría","1 LLAVE"),"-")</f>
        <v>182</v>
      </c>
      <c r="E46" s="664">
        <f t="shared" si="3"/>
        <v>7.9034219211394832E-3</v>
      </c>
      <c r="F46" s="640"/>
      <c r="G46" s="662" t="s">
        <v>459</v>
      </c>
      <c r="H46" s="665" t="str">
        <f>IFERROR(GETPIVOTDATA("Suma de Plazas",'[1]tabla dinámica plazas cat'!$A$4,"NombreMunicipio","SANTA CRUZ DE TENERIFE","Actividad","APARTAMENTOS","Categoría","1 LLAVE"),"-")</f>
        <v>-</v>
      </c>
      <c r="I46" s="664" t="str">
        <f t="shared" si="4"/>
        <v>-</v>
      </c>
    </row>
    <row r="47" spans="3:11">
      <c r="C47" s="662" t="s">
        <v>460</v>
      </c>
      <c r="D47" s="665">
        <f>IFERROR(GETPIVOTDATA("Suma de Plazas",'[1]tabla dinámica plazas cat'!$A$4,"NombreMunicipio","PUERTO DE LA CRUZ","Actividad","APARTAMENTOS","Categoría","2 LLAVES"),"-")</f>
        <v>1262</v>
      </c>
      <c r="E47" s="664">
        <f t="shared" si="3"/>
        <v>5.4802848705923224E-2</v>
      </c>
      <c r="F47" s="640"/>
      <c r="G47" s="662" t="s">
        <v>460</v>
      </c>
      <c r="H47" s="665" t="str">
        <f>IFERROR(GETPIVOTDATA("Suma de Plazas",'[1]tabla dinámica plazas cat'!$A$4,"NombreMunicipio","SANTA CRUZ DE TENERIFE","Actividad","APARTAMENTOS","Categoría","2 LLAVES"),"-")</f>
        <v>-</v>
      </c>
      <c r="I47" s="664" t="str">
        <f t="shared" si="4"/>
        <v>-</v>
      </c>
    </row>
    <row r="48" spans="3:11">
      <c r="C48" s="662" t="s">
        <v>461</v>
      </c>
      <c r="D48" s="665">
        <f>IFERROR(GETPIVOTDATA("Suma de Plazas",'[1]tabla dinámica plazas cat'!$A$4,"NombreMunicipio","PUERTO DE LA CRUZ","Actividad","APARTAMENTOS","Categoría","3 LLAVES"),"-")</f>
        <v>5333</v>
      </c>
      <c r="E48" s="664">
        <f t="shared" si="3"/>
        <v>0.23158763244745528</v>
      </c>
      <c r="F48" s="640"/>
      <c r="G48" s="662" t="s">
        <v>461</v>
      </c>
      <c r="H48" s="665" t="str">
        <f>IFERROR(GETPIVOTDATA("Suma de Plazas",'[1]tabla dinámica plazas cat'!$A$4,"NombreMunicipio","SANTA CRUZ DE TENERIFE","Actividad","APARTAMENTOS","Categoría","3 LLAVES"),"-")</f>
        <v>-</v>
      </c>
      <c r="I48" s="664" t="str">
        <f t="shared" si="4"/>
        <v>-</v>
      </c>
    </row>
    <row r="49" spans="3:9" hidden="1">
      <c r="C49" s="662" t="s">
        <v>462</v>
      </c>
      <c r="D49" s="665" t="str">
        <f>IFERROR(GETPIVOTDATA("Suma de Plazas",'[1]tabla dinámica plazas cat'!$A$4,"NombreMunicipio","PUERTO DE LA CRUZ","Actividad","APARTAMENTOS","Categoría","4 LLAVES"),"-")</f>
        <v>-</v>
      </c>
      <c r="E49" s="664" t="str">
        <f t="shared" si="3"/>
        <v>-</v>
      </c>
      <c r="F49" s="640"/>
      <c r="G49" s="662" t="s">
        <v>462</v>
      </c>
      <c r="H49" s="665" t="str">
        <f>IFERROR(GETPIVOTDATA("Suma de Plazas",'[1]tabla dinámica plazas cat'!$A$4,"NombreMunicipio","SANTA CRUZ DE TENERIFE","Actividad","APARTAMENTOS","Categoría","4 LLAVES"),"-")</f>
        <v>-</v>
      </c>
      <c r="I49" s="664" t="str">
        <f t="shared" si="4"/>
        <v>-</v>
      </c>
    </row>
    <row r="50" spans="3:9" hidden="1">
      <c r="C50" s="662" t="s">
        <v>463</v>
      </c>
      <c r="D50" s="665" t="str">
        <f>IFERROR(GETPIVOTDATA("Suma de Plazas",'[1]tabla dinámica plazas cat'!$A$4,"NombreMunicipio","PUERTO DE LA CRUZ","Actividad","APARTAMENTOS","Categoría","5 LLAVES"),"-")</f>
        <v>-</v>
      </c>
      <c r="E50" s="664" t="str">
        <f t="shared" si="3"/>
        <v>-</v>
      </c>
      <c r="F50" s="640"/>
      <c r="G50" s="662" t="s">
        <v>463</v>
      </c>
      <c r="H50" s="665" t="str">
        <f>IFERROR(GETPIVOTDATA("Suma de Plazas",'[1]tabla dinámica plazas cat'!$A$4,"NombreMunicipio","SANTA CRUZ DE TENERIFE","Actividad","APARTAMENTOS","Categoría","5 LLAVES"),"-")</f>
        <v>-</v>
      </c>
      <c r="I50" s="664" t="str">
        <f t="shared" si="4"/>
        <v>-</v>
      </c>
    </row>
    <row r="51" spans="3:9">
      <c r="C51" s="662" t="s">
        <v>458</v>
      </c>
      <c r="D51" s="665" t="str">
        <f>IFERROR(GETPIVOTDATA("Suma de Plazas",'[1]tabla dinámica plazas cat'!$A$4,"NombreMunicipio","PUERTO DE LA CRUZ","Actividad","APARTAMENTOS","Categoría","SIN DATO"),"-")</f>
        <v>-</v>
      </c>
      <c r="E51" s="664" t="str">
        <f t="shared" si="3"/>
        <v>-</v>
      </c>
      <c r="F51" s="640"/>
      <c r="G51" s="662" t="s">
        <v>458</v>
      </c>
      <c r="H51" s="665">
        <f>IFERROR(GETPIVOTDATA("Suma de Plazas",'[1]tabla dinámica plazas cat'!$A$4,"NombreMunicipio","SANTA CRUZ DE TENERIFE","Actividad","APARTAMENTOS","Categoría","SIN DATO"),"-")</f>
        <v>6</v>
      </c>
      <c r="I51" s="664">
        <f t="shared" si="4"/>
        <v>2.2329735764793448E-3</v>
      </c>
    </row>
    <row r="52" spans="3:9" hidden="1">
      <c r="C52" s="659" t="s">
        <v>414</v>
      </c>
      <c r="D52" s="666">
        <f>GETPIVOTDATA("Suma de Plazas",'[1]tabla dinámica plazas cat'!$A$4,"NombreMunicipio","PUERTO DE LA CRUZ","Actividad","HOTELES RURALES")</f>
        <v>0</v>
      </c>
      <c r="E52" s="661">
        <f t="shared" si="3"/>
        <v>0</v>
      </c>
      <c r="F52" s="640"/>
      <c r="G52" s="659" t="s">
        <v>414</v>
      </c>
      <c r="H52" s="666">
        <f>GETPIVOTDATA("Suma de Plazas",'[1]tabla dinámica plazas cat'!$A$4,"NombreMunicipio","SANTA CRUZ DE TENERIFE","Actividad","HOTELES RURALES")</f>
        <v>0</v>
      </c>
      <c r="I52" s="661">
        <f t="shared" si="4"/>
        <v>0</v>
      </c>
    </row>
    <row r="53" spans="3:9" hidden="1">
      <c r="C53" s="662" t="s">
        <v>464</v>
      </c>
      <c r="D53" s="665" t="str">
        <f>IFERROR(GETPIVOTDATA("Suma de Plazas",'[1]tabla dinámica plazas cat'!$A$4,"NombreMunicipio","PUERTO DE LA CRUZ","Actividad","HOTELES RURALES","Categoría","1 PALMERA"),"-")</f>
        <v>-</v>
      </c>
      <c r="E53" s="664" t="str">
        <f t="shared" si="3"/>
        <v>-</v>
      </c>
      <c r="F53" s="640"/>
      <c r="G53" s="662" t="s">
        <v>464</v>
      </c>
      <c r="H53" s="665" t="str">
        <f>IFERROR(GETPIVOTDATA("Suma de Plazas",'[1]tabla dinámica plazas cat'!$A$4,"NombreMunicipio","SANTA CRUZ DE TENERIFE","Actividad","HOTELES RURALES","Categoría","1 PALMERA"),"-")</f>
        <v>-</v>
      </c>
      <c r="I53" s="664" t="str">
        <f t="shared" si="4"/>
        <v>-</v>
      </c>
    </row>
    <row r="54" spans="3:9" hidden="1">
      <c r="C54" s="662" t="s">
        <v>465</v>
      </c>
      <c r="D54" s="665" t="str">
        <f>IFERROR(GETPIVOTDATA("Suma de Plazas",'[1]tabla dinámica plazas cat'!$A$4,"NombreMunicipio","PUERTO DE LA CRUZ","Actividad","HOTELES RURALES","Categoría","2 PALMERA"),"-")</f>
        <v>-</v>
      </c>
      <c r="E54" s="664" t="str">
        <f t="shared" si="3"/>
        <v>-</v>
      </c>
      <c r="F54" s="640"/>
      <c r="G54" s="662" t="s">
        <v>465</v>
      </c>
      <c r="H54" s="665" t="str">
        <f>IFERROR(GETPIVOTDATA("Suma de Plazas",'[1]tabla dinámica plazas cat'!$A$4,"NombreMunicipio","SANTA CRUZ DE TENERIFE","Actividad","HOTELES RURALES","Categoría","2 PALMERA"),"-")</f>
        <v>-</v>
      </c>
      <c r="I54" s="664" t="str">
        <f t="shared" si="4"/>
        <v>-</v>
      </c>
    </row>
    <row r="55" spans="3:9" hidden="1">
      <c r="C55" s="662" t="s">
        <v>458</v>
      </c>
      <c r="D55" s="665" t="str">
        <f>IFERROR(GETPIVOTDATA("Suma de Plazas",'[1]tabla dinámica plazas cat'!$A$4,"NombreMunicipio","PUERTO DE LA CRUZ","Actividad","HOTELES RURALES","Categoría","SIN DATO"),"-")</f>
        <v>-</v>
      </c>
      <c r="E55" s="664" t="str">
        <f t="shared" si="3"/>
        <v>-</v>
      </c>
      <c r="F55" s="640"/>
      <c r="G55" s="662" t="s">
        <v>458</v>
      </c>
      <c r="H55" s="665">
        <f>IFERROR(GETPIVOTDATA("Suma de Plazas",'[1]tabla dinámica plazas cat'!$A$4,"NombreMunicipio","SANTA CRUZ DE TENERIFE","Actividad","HOTELES RURALES","Categoría","SIN DATO"),"-")</f>
        <v>0</v>
      </c>
      <c r="I55" s="664">
        <f t="shared" si="4"/>
        <v>0</v>
      </c>
    </row>
    <row r="56" spans="3:9">
      <c r="C56" s="659" t="s">
        <v>415</v>
      </c>
      <c r="D56" s="667">
        <f>GETPIVOTDATA("Suma de Plazas",'[1]tabla dinámica plazas cat'!$A$4,"NombreMunicipio","PUERTO DE LA CRUZ","Actividad","CASAS RURALES")</f>
        <v>0</v>
      </c>
      <c r="E56" s="661">
        <f t="shared" si="3"/>
        <v>0</v>
      </c>
      <c r="F56" s="640"/>
      <c r="G56" s="659" t="s">
        <v>415</v>
      </c>
      <c r="H56" s="667">
        <f>GETPIVOTDATA("Suma de Plazas",'[1]tabla dinámica plazas cat'!$A$4,"NombreMunicipio","SANTA CRUZ DE TENERIFE","Actividad","CASAS RURALES")</f>
        <v>8</v>
      </c>
      <c r="I56" s="661">
        <f t="shared" si="4"/>
        <v>2.9772981019724602E-3</v>
      </c>
    </row>
    <row r="57" spans="3:9">
      <c r="C57" s="662" t="s">
        <v>466</v>
      </c>
      <c r="D57" s="668" t="str">
        <f>IFERROR(GETPIVOTDATA("Suma de Plazas",'[1]tabla dinámica plazas cat'!$A$4,"NombreMunicipio","PUERTO DE LA CRUZ","Actividad","CASAS RURALES","Categoría","CONJUNTO INMUEBLES"),"-")</f>
        <v>-</v>
      </c>
      <c r="E57" s="664" t="str">
        <f t="shared" si="3"/>
        <v>-</v>
      </c>
      <c r="F57" s="640"/>
      <c r="G57" s="662" t="s">
        <v>466</v>
      </c>
      <c r="H57" s="668">
        <f>IFERROR(GETPIVOTDATA("Suma de Plazas",'[1]tabla dinámica plazas cat'!$A$4,"NombreMunicipio","SANTA CRUZ DE TENERIFE","Actividad","CASAS RURALES","Categoría","CONJUNTO INMUEBLES"),"-")</f>
        <v>8</v>
      </c>
      <c r="I57" s="664">
        <f t="shared" si="4"/>
        <v>2.9772981019724602E-3</v>
      </c>
    </row>
    <row r="58" spans="3:9" hidden="1">
      <c r="C58" s="662" t="s">
        <v>467</v>
      </c>
      <c r="D58" s="668" t="str">
        <f>IFERROR(GETPIVOTDATA("Suma de Plazas",'[1]tabla dinámica plazas cat'!$A$4,"NombreMunicipio","PUERTO DE LA CRUZ","Actividad","CASAS RURALES","Categoría","COMPARTIDO PROPIETARIO"),"-")</f>
        <v>-</v>
      </c>
      <c r="E58" s="664" t="str">
        <f t="shared" si="3"/>
        <v>-</v>
      </c>
      <c r="F58" s="640"/>
      <c r="G58" s="662" t="s">
        <v>467</v>
      </c>
      <c r="H58" s="668" t="str">
        <f>IFERROR(GETPIVOTDATA("Suma de Plazas",'[1]tabla dinámica plazas cat'!$A$4,"NombreMunicipio","SANTA CRUZ DE TENERIFE","Actividad","CASAS RURALES","Categoría","COMPARTIDO PROPIETARIO"),"-")</f>
        <v>-</v>
      </c>
      <c r="I58" s="664" t="str">
        <f t="shared" si="4"/>
        <v>-</v>
      </c>
    </row>
    <row r="59" spans="3:9" hidden="1">
      <c r="C59" s="662" t="s">
        <v>468</v>
      </c>
      <c r="D59" s="668" t="str">
        <f>IFERROR(GETPIVOTDATA("Suma de Plazas",'[1]tabla dinámica plazas cat'!$A$4,"NombreMunicipio","PUERTO DE LA CRUZ","Actividad","CASAS RURALES","Categoría","EXCLUSIVO"),"-")</f>
        <v>-</v>
      </c>
      <c r="E59" s="664" t="str">
        <f t="shared" si="3"/>
        <v>-</v>
      </c>
      <c r="F59" s="669"/>
      <c r="G59" s="662" t="s">
        <v>468</v>
      </c>
      <c r="H59" s="668" t="str">
        <f>IFERROR(GETPIVOTDATA("Suma de Plazas",'[1]tabla dinámica plazas cat'!$A$4,"NombreMunicipio","SANTA CRUZ DE TENERIFE","Actividad","CASAS RURALES","Categoría","EXCLUSIVO"),"-")</f>
        <v>-</v>
      </c>
      <c r="I59" s="664" t="str">
        <f t="shared" si="4"/>
        <v>-</v>
      </c>
    </row>
    <row r="60" spans="3:9" hidden="1">
      <c r="C60" s="662" t="s">
        <v>469</v>
      </c>
      <c r="D60" s="668" t="e">
        <f>GETPIVOTDATA("Suma de Plazas",'[1]tabla dinámica plazas cat'!$A$4,"NombreMunicipio","PUERTO DE LA CRUZ","Actividad","CASAS RURALES","Categoría","COMPARTIDO OTROS USUARIOS")</f>
        <v>#REF!</v>
      </c>
      <c r="E60" s="664" t="str">
        <f t="shared" si="3"/>
        <v>-</v>
      </c>
      <c r="F60" s="669"/>
      <c r="G60" s="662" t="s">
        <v>469</v>
      </c>
      <c r="H60" s="668" t="e">
        <f>GETPIVOTDATA("Suma de Plazas",'[1]tabla dinámica plazas cat'!$A$4,"NombreMunicipio","SANTA CRUZ DE TENERIFE","Actividad","CASAS RURALES","Categoría","COMPARTIDO OTROS USUARIOS")</f>
        <v>#REF!</v>
      </c>
      <c r="I60" s="664" t="str">
        <f t="shared" si="4"/>
        <v>-</v>
      </c>
    </row>
    <row r="61" spans="3:9" hidden="1">
      <c r="C61" s="662" t="s">
        <v>458</v>
      </c>
      <c r="D61" s="668" t="str">
        <f>IFERROR(GETPIVOTDATA("Suma de Plazas",'[1]tabla dinámica plazas cat'!$A$4,"NombreMunicipio","PUERTO DE LA CRUZ","Actividad","CASAS RURALES","Categoría","SIN DATO"),"-")</f>
        <v>-</v>
      </c>
      <c r="E61" s="664" t="str">
        <f t="shared" si="3"/>
        <v>-</v>
      </c>
      <c r="F61" s="640"/>
      <c r="G61" s="662" t="s">
        <v>458</v>
      </c>
      <c r="H61" s="668">
        <f>IFERROR(GETPIVOTDATA("Suma de Plazas",'[1]tabla dinámica plazas cat'!$A$4,"NombreMunicipio","SANTA CRUZ DE TENERIFE","Actividad","CASAS RURALES","Categoría","SIN DATO"),"-")</f>
        <v>0</v>
      </c>
      <c r="I61" s="664">
        <f t="shared" si="4"/>
        <v>0</v>
      </c>
    </row>
    <row r="62" spans="3:9" ht="30.75" customHeight="1">
      <c r="C62" s="670" t="s">
        <v>470</v>
      </c>
      <c r="D62" s="671"/>
      <c r="E62" s="672"/>
      <c r="F62" s="640"/>
      <c r="G62" s="670" t="s">
        <v>470</v>
      </c>
      <c r="H62" s="671"/>
      <c r="I62" s="672"/>
    </row>
    <row r="63" spans="3:9" ht="18" customHeight="1"/>
  </sheetData>
  <mergeCells count="8">
    <mergeCell ref="C62:E62"/>
    <mergeCell ref="G62:I62"/>
    <mergeCell ref="C6:E6"/>
    <mergeCell ref="G6:I6"/>
    <mergeCell ref="C33:E33"/>
    <mergeCell ref="G33:I33"/>
    <mergeCell ref="C35:E35"/>
    <mergeCell ref="G35:I35"/>
  </mergeCells>
  <hyperlinks>
    <hyperlink ref="K33" location="'Gráfica Distrib Plazas Autoriza'!Área_de_impresión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Hoja67">
    <tabColor rgb="FF000099"/>
    <pageSetUpPr autoPageBreaks="0" fitToPage="1"/>
  </sheetPr>
  <dimension ref="B4:R65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5.7109375" style="194" customWidth="1"/>
    <col min="2" max="15" width="11.85546875" style="194" customWidth="1"/>
    <col min="16" max="256" width="11.42578125" style="194"/>
    <col min="257" max="257" width="15.7109375" style="194" customWidth="1"/>
    <col min="258" max="263" width="11.42578125" style="194"/>
    <col min="264" max="264" width="5.7109375" style="194" customWidth="1"/>
    <col min="265" max="512" width="11.42578125" style="194"/>
    <col min="513" max="513" width="15.7109375" style="194" customWidth="1"/>
    <col min="514" max="519" width="11.42578125" style="194"/>
    <col min="520" max="520" width="5.7109375" style="194" customWidth="1"/>
    <col min="521" max="768" width="11.42578125" style="194"/>
    <col min="769" max="769" width="15.7109375" style="194" customWidth="1"/>
    <col min="770" max="775" width="11.42578125" style="194"/>
    <col min="776" max="776" width="5.7109375" style="194" customWidth="1"/>
    <col min="777" max="1024" width="11.42578125" style="194"/>
    <col min="1025" max="1025" width="15.7109375" style="194" customWidth="1"/>
    <col min="1026" max="1031" width="11.42578125" style="194"/>
    <col min="1032" max="1032" width="5.7109375" style="194" customWidth="1"/>
    <col min="1033" max="1280" width="11.42578125" style="194"/>
    <col min="1281" max="1281" width="15.7109375" style="194" customWidth="1"/>
    <col min="1282" max="1287" width="11.42578125" style="194"/>
    <col min="1288" max="1288" width="5.7109375" style="194" customWidth="1"/>
    <col min="1289" max="1536" width="11.42578125" style="194"/>
    <col min="1537" max="1537" width="15.7109375" style="194" customWidth="1"/>
    <col min="1538" max="1543" width="11.42578125" style="194"/>
    <col min="1544" max="1544" width="5.7109375" style="194" customWidth="1"/>
    <col min="1545" max="1792" width="11.42578125" style="194"/>
    <col min="1793" max="1793" width="15.7109375" style="194" customWidth="1"/>
    <col min="1794" max="1799" width="11.42578125" style="194"/>
    <col min="1800" max="1800" width="5.7109375" style="194" customWidth="1"/>
    <col min="1801" max="2048" width="11.42578125" style="194"/>
    <col min="2049" max="2049" width="15.7109375" style="194" customWidth="1"/>
    <col min="2050" max="2055" width="11.42578125" style="194"/>
    <col min="2056" max="2056" width="5.7109375" style="194" customWidth="1"/>
    <col min="2057" max="2304" width="11.42578125" style="194"/>
    <col min="2305" max="2305" width="15.7109375" style="194" customWidth="1"/>
    <col min="2306" max="2311" width="11.42578125" style="194"/>
    <col min="2312" max="2312" width="5.7109375" style="194" customWidth="1"/>
    <col min="2313" max="2560" width="11.42578125" style="194"/>
    <col min="2561" max="2561" width="15.7109375" style="194" customWidth="1"/>
    <col min="2562" max="2567" width="11.42578125" style="194"/>
    <col min="2568" max="2568" width="5.7109375" style="194" customWidth="1"/>
    <col min="2569" max="2816" width="11.42578125" style="194"/>
    <col min="2817" max="2817" width="15.7109375" style="194" customWidth="1"/>
    <col min="2818" max="2823" width="11.42578125" style="194"/>
    <col min="2824" max="2824" width="5.7109375" style="194" customWidth="1"/>
    <col min="2825" max="3072" width="11.42578125" style="194"/>
    <col min="3073" max="3073" width="15.7109375" style="194" customWidth="1"/>
    <col min="3074" max="3079" width="11.42578125" style="194"/>
    <col min="3080" max="3080" width="5.7109375" style="194" customWidth="1"/>
    <col min="3081" max="3328" width="11.42578125" style="194"/>
    <col min="3329" max="3329" width="15.7109375" style="194" customWidth="1"/>
    <col min="3330" max="3335" width="11.42578125" style="194"/>
    <col min="3336" max="3336" width="5.7109375" style="194" customWidth="1"/>
    <col min="3337" max="3584" width="11.42578125" style="194"/>
    <col min="3585" max="3585" width="15.7109375" style="194" customWidth="1"/>
    <col min="3586" max="3591" width="11.42578125" style="194"/>
    <col min="3592" max="3592" width="5.7109375" style="194" customWidth="1"/>
    <col min="3593" max="3840" width="11.42578125" style="194"/>
    <col min="3841" max="3841" width="15.7109375" style="194" customWidth="1"/>
    <col min="3842" max="3847" width="11.42578125" style="194"/>
    <col min="3848" max="3848" width="5.7109375" style="194" customWidth="1"/>
    <col min="3849" max="4096" width="11.42578125" style="194"/>
    <col min="4097" max="4097" width="15.7109375" style="194" customWidth="1"/>
    <col min="4098" max="4103" width="11.42578125" style="194"/>
    <col min="4104" max="4104" width="5.7109375" style="194" customWidth="1"/>
    <col min="4105" max="4352" width="11.42578125" style="194"/>
    <col min="4353" max="4353" width="15.7109375" style="194" customWidth="1"/>
    <col min="4354" max="4359" width="11.42578125" style="194"/>
    <col min="4360" max="4360" width="5.7109375" style="194" customWidth="1"/>
    <col min="4361" max="4608" width="11.42578125" style="194"/>
    <col min="4609" max="4609" width="15.7109375" style="194" customWidth="1"/>
    <col min="4610" max="4615" width="11.42578125" style="194"/>
    <col min="4616" max="4616" width="5.7109375" style="194" customWidth="1"/>
    <col min="4617" max="4864" width="11.42578125" style="194"/>
    <col min="4865" max="4865" width="15.7109375" style="194" customWidth="1"/>
    <col min="4866" max="4871" width="11.42578125" style="194"/>
    <col min="4872" max="4872" width="5.7109375" style="194" customWidth="1"/>
    <col min="4873" max="5120" width="11.42578125" style="194"/>
    <col min="5121" max="5121" width="15.7109375" style="194" customWidth="1"/>
    <col min="5122" max="5127" width="11.42578125" style="194"/>
    <col min="5128" max="5128" width="5.7109375" style="194" customWidth="1"/>
    <col min="5129" max="5376" width="11.42578125" style="194"/>
    <col min="5377" max="5377" width="15.7109375" style="194" customWidth="1"/>
    <col min="5378" max="5383" width="11.42578125" style="194"/>
    <col min="5384" max="5384" width="5.7109375" style="194" customWidth="1"/>
    <col min="5385" max="5632" width="11.42578125" style="194"/>
    <col min="5633" max="5633" width="15.7109375" style="194" customWidth="1"/>
    <col min="5634" max="5639" width="11.42578125" style="194"/>
    <col min="5640" max="5640" width="5.7109375" style="194" customWidth="1"/>
    <col min="5641" max="5888" width="11.42578125" style="194"/>
    <col min="5889" max="5889" width="15.7109375" style="194" customWidth="1"/>
    <col min="5890" max="5895" width="11.42578125" style="194"/>
    <col min="5896" max="5896" width="5.7109375" style="194" customWidth="1"/>
    <col min="5897" max="6144" width="11.42578125" style="194"/>
    <col min="6145" max="6145" width="15.7109375" style="194" customWidth="1"/>
    <col min="6146" max="6151" width="11.42578125" style="194"/>
    <col min="6152" max="6152" width="5.7109375" style="194" customWidth="1"/>
    <col min="6153" max="6400" width="11.42578125" style="194"/>
    <col min="6401" max="6401" width="15.7109375" style="194" customWidth="1"/>
    <col min="6402" max="6407" width="11.42578125" style="194"/>
    <col min="6408" max="6408" width="5.7109375" style="194" customWidth="1"/>
    <col min="6409" max="6656" width="11.42578125" style="194"/>
    <col min="6657" max="6657" width="15.7109375" style="194" customWidth="1"/>
    <col min="6658" max="6663" width="11.42578125" style="194"/>
    <col min="6664" max="6664" width="5.7109375" style="194" customWidth="1"/>
    <col min="6665" max="6912" width="11.42578125" style="194"/>
    <col min="6913" max="6913" width="15.7109375" style="194" customWidth="1"/>
    <col min="6914" max="6919" width="11.42578125" style="194"/>
    <col min="6920" max="6920" width="5.7109375" style="194" customWidth="1"/>
    <col min="6921" max="7168" width="11.42578125" style="194"/>
    <col min="7169" max="7169" width="15.7109375" style="194" customWidth="1"/>
    <col min="7170" max="7175" width="11.42578125" style="194"/>
    <col min="7176" max="7176" width="5.7109375" style="194" customWidth="1"/>
    <col min="7177" max="7424" width="11.42578125" style="194"/>
    <col min="7425" max="7425" width="15.7109375" style="194" customWidth="1"/>
    <col min="7426" max="7431" width="11.42578125" style="194"/>
    <col min="7432" max="7432" width="5.7109375" style="194" customWidth="1"/>
    <col min="7433" max="7680" width="11.42578125" style="194"/>
    <col min="7681" max="7681" width="15.7109375" style="194" customWidth="1"/>
    <col min="7682" max="7687" width="11.42578125" style="194"/>
    <col min="7688" max="7688" width="5.7109375" style="194" customWidth="1"/>
    <col min="7689" max="7936" width="11.42578125" style="194"/>
    <col min="7937" max="7937" width="15.7109375" style="194" customWidth="1"/>
    <col min="7938" max="7943" width="11.42578125" style="194"/>
    <col min="7944" max="7944" width="5.7109375" style="194" customWidth="1"/>
    <col min="7945" max="8192" width="11.42578125" style="194"/>
    <col min="8193" max="8193" width="15.7109375" style="194" customWidth="1"/>
    <col min="8194" max="8199" width="11.42578125" style="194"/>
    <col min="8200" max="8200" width="5.7109375" style="194" customWidth="1"/>
    <col min="8201" max="8448" width="11.42578125" style="194"/>
    <col min="8449" max="8449" width="15.7109375" style="194" customWidth="1"/>
    <col min="8450" max="8455" width="11.42578125" style="194"/>
    <col min="8456" max="8456" width="5.7109375" style="194" customWidth="1"/>
    <col min="8457" max="8704" width="11.42578125" style="194"/>
    <col min="8705" max="8705" width="15.7109375" style="194" customWidth="1"/>
    <col min="8706" max="8711" width="11.42578125" style="194"/>
    <col min="8712" max="8712" width="5.7109375" style="194" customWidth="1"/>
    <col min="8713" max="8960" width="11.42578125" style="194"/>
    <col min="8961" max="8961" width="15.7109375" style="194" customWidth="1"/>
    <col min="8962" max="8967" width="11.42578125" style="194"/>
    <col min="8968" max="8968" width="5.7109375" style="194" customWidth="1"/>
    <col min="8969" max="9216" width="11.42578125" style="194"/>
    <col min="9217" max="9217" width="15.7109375" style="194" customWidth="1"/>
    <col min="9218" max="9223" width="11.42578125" style="194"/>
    <col min="9224" max="9224" width="5.7109375" style="194" customWidth="1"/>
    <col min="9225" max="9472" width="11.42578125" style="194"/>
    <col min="9473" max="9473" width="15.7109375" style="194" customWidth="1"/>
    <col min="9474" max="9479" width="11.42578125" style="194"/>
    <col min="9480" max="9480" width="5.7109375" style="194" customWidth="1"/>
    <col min="9481" max="9728" width="11.42578125" style="194"/>
    <col min="9729" max="9729" width="15.7109375" style="194" customWidth="1"/>
    <col min="9730" max="9735" width="11.42578125" style="194"/>
    <col min="9736" max="9736" width="5.7109375" style="194" customWidth="1"/>
    <col min="9737" max="9984" width="11.42578125" style="194"/>
    <col min="9985" max="9985" width="15.7109375" style="194" customWidth="1"/>
    <col min="9986" max="9991" width="11.42578125" style="194"/>
    <col min="9992" max="9992" width="5.7109375" style="194" customWidth="1"/>
    <col min="9993" max="10240" width="11.42578125" style="194"/>
    <col min="10241" max="10241" width="15.7109375" style="194" customWidth="1"/>
    <col min="10242" max="10247" width="11.42578125" style="194"/>
    <col min="10248" max="10248" width="5.7109375" style="194" customWidth="1"/>
    <col min="10249" max="10496" width="11.42578125" style="194"/>
    <col min="10497" max="10497" width="15.7109375" style="194" customWidth="1"/>
    <col min="10498" max="10503" width="11.42578125" style="194"/>
    <col min="10504" max="10504" width="5.7109375" style="194" customWidth="1"/>
    <col min="10505" max="10752" width="11.42578125" style="194"/>
    <col min="10753" max="10753" width="15.7109375" style="194" customWidth="1"/>
    <col min="10754" max="10759" width="11.42578125" style="194"/>
    <col min="10760" max="10760" width="5.7109375" style="194" customWidth="1"/>
    <col min="10761" max="11008" width="11.42578125" style="194"/>
    <col min="11009" max="11009" width="15.7109375" style="194" customWidth="1"/>
    <col min="11010" max="11015" width="11.42578125" style="194"/>
    <col min="11016" max="11016" width="5.7109375" style="194" customWidth="1"/>
    <col min="11017" max="11264" width="11.42578125" style="194"/>
    <col min="11265" max="11265" width="15.7109375" style="194" customWidth="1"/>
    <col min="11266" max="11271" width="11.42578125" style="194"/>
    <col min="11272" max="11272" width="5.7109375" style="194" customWidth="1"/>
    <col min="11273" max="11520" width="11.42578125" style="194"/>
    <col min="11521" max="11521" width="15.7109375" style="194" customWidth="1"/>
    <col min="11522" max="11527" width="11.42578125" style="194"/>
    <col min="11528" max="11528" width="5.7109375" style="194" customWidth="1"/>
    <col min="11529" max="11776" width="11.42578125" style="194"/>
    <col min="11777" max="11777" width="15.7109375" style="194" customWidth="1"/>
    <col min="11778" max="11783" width="11.42578125" style="194"/>
    <col min="11784" max="11784" width="5.7109375" style="194" customWidth="1"/>
    <col min="11785" max="12032" width="11.42578125" style="194"/>
    <col min="12033" max="12033" width="15.7109375" style="194" customWidth="1"/>
    <col min="12034" max="12039" width="11.42578125" style="194"/>
    <col min="12040" max="12040" width="5.7109375" style="194" customWidth="1"/>
    <col min="12041" max="12288" width="11.42578125" style="194"/>
    <col min="12289" max="12289" width="15.7109375" style="194" customWidth="1"/>
    <col min="12290" max="12295" width="11.42578125" style="194"/>
    <col min="12296" max="12296" width="5.7109375" style="194" customWidth="1"/>
    <col min="12297" max="12544" width="11.42578125" style="194"/>
    <col min="12545" max="12545" width="15.7109375" style="194" customWidth="1"/>
    <col min="12546" max="12551" width="11.42578125" style="194"/>
    <col min="12552" max="12552" width="5.7109375" style="194" customWidth="1"/>
    <col min="12553" max="12800" width="11.42578125" style="194"/>
    <col min="12801" max="12801" width="15.7109375" style="194" customWidth="1"/>
    <col min="12802" max="12807" width="11.42578125" style="194"/>
    <col min="12808" max="12808" width="5.7109375" style="194" customWidth="1"/>
    <col min="12809" max="13056" width="11.42578125" style="194"/>
    <col min="13057" max="13057" width="15.7109375" style="194" customWidth="1"/>
    <col min="13058" max="13063" width="11.42578125" style="194"/>
    <col min="13064" max="13064" width="5.7109375" style="194" customWidth="1"/>
    <col min="13065" max="13312" width="11.42578125" style="194"/>
    <col min="13313" max="13313" width="15.7109375" style="194" customWidth="1"/>
    <col min="13314" max="13319" width="11.42578125" style="194"/>
    <col min="13320" max="13320" width="5.7109375" style="194" customWidth="1"/>
    <col min="13321" max="13568" width="11.42578125" style="194"/>
    <col min="13569" max="13569" width="15.7109375" style="194" customWidth="1"/>
    <col min="13570" max="13575" width="11.42578125" style="194"/>
    <col min="13576" max="13576" width="5.7109375" style="194" customWidth="1"/>
    <col min="13577" max="13824" width="11.42578125" style="194"/>
    <col min="13825" max="13825" width="15.7109375" style="194" customWidth="1"/>
    <col min="13826" max="13831" width="11.42578125" style="194"/>
    <col min="13832" max="13832" width="5.7109375" style="194" customWidth="1"/>
    <col min="13833" max="14080" width="11.42578125" style="194"/>
    <col min="14081" max="14081" width="15.7109375" style="194" customWidth="1"/>
    <col min="14082" max="14087" width="11.42578125" style="194"/>
    <col min="14088" max="14088" width="5.7109375" style="194" customWidth="1"/>
    <col min="14089" max="14336" width="11.42578125" style="194"/>
    <col min="14337" max="14337" width="15.7109375" style="194" customWidth="1"/>
    <col min="14338" max="14343" width="11.42578125" style="194"/>
    <col min="14344" max="14344" width="5.7109375" style="194" customWidth="1"/>
    <col min="14345" max="14592" width="11.42578125" style="194"/>
    <col min="14593" max="14593" width="15.7109375" style="194" customWidth="1"/>
    <col min="14594" max="14599" width="11.42578125" style="194"/>
    <col min="14600" max="14600" width="5.7109375" style="194" customWidth="1"/>
    <col min="14601" max="14848" width="11.42578125" style="194"/>
    <col min="14849" max="14849" width="15.7109375" style="194" customWidth="1"/>
    <col min="14850" max="14855" width="11.42578125" style="194"/>
    <col min="14856" max="14856" width="5.7109375" style="194" customWidth="1"/>
    <col min="14857" max="15104" width="11.42578125" style="194"/>
    <col min="15105" max="15105" width="15.7109375" style="194" customWidth="1"/>
    <col min="15106" max="15111" width="11.42578125" style="194"/>
    <col min="15112" max="15112" width="5.7109375" style="194" customWidth="1"/>
    <col min="15113" max="15360" width="11.42578125" style="194"/>
    <col min="15361" max="15361" width="15.7109375" style="194" customWidth="1"/>
    <col min="15362" max="15367" width="11.42578125" style="194"/>
    <col min="15368" max="15368" width="5.7109375" style="194" customWidth="1"/>
    <col min="15369" max="15616" width="11.42578125" style="194"/>
    <col min="15617" max="15617" width="15.7109375" style="194" customWidth="1"/>
    <col min="15618" max="15623" width="11.42578125" style="194"/>
    <col min="15624" max="15624" width="5.7109375" style="194" customWidth="1"/>
    <col min="15625" max="15872" width="11.42578125" style="194"/>
    <col min="15873" max="15873" width="15.7109375" style="194" customWidth="1"/>
    <col min="15874" max="15879" width="11.42578125" style="194"/>
    <col min="15880" max="15880" width="5.7109375" style="194" customWidth="1"/>
    <col min="15881" max="16128" width="11.42578125" style="194"/>
    <col min="16129" max="16129" width="15.7109375" style="194" customWidth="1"/>
    <col min="16130" max="16135" width="11.42578125" style="194"/>
    <col min="16136" max="16136" width="5.7109375" style="194" customWidth="1"/>
    <col min="16137" max="16384" width="11.42578125" style="194"/>
  </cols>
  <sheetData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2:18" ht="14.25" customHeight="1"/>
    <row r="18" spans="2:18" ht="14.25" customHeight="1"/>
    <row r="19" spans="2:18" ht="14.25" customHeight="1"/>
    <row r="20" spans="2:18" ht="14.25" customHeight="1"/>
    <row r="21" spans="2:18" ht="14.25" customHeight="1"/>
    <row r="22" spans="2:18" ht="14.25" customHeight="1"/>
    <row r="23" spans="2:18" ht="14.25" customHeight="1"/>
    <row r="24" spans="2:18" ht="14.25" customHeight="1"/>
    <row r="25" spans="2:18" ht="14.25" customHeight="1"/>
    <row r="26" spans="2:18" ht="14.25" customHeight="1"/>
    <row r="27" spans="2:18" ht="14.25" customHeight="1"/>
    <row r="28" spans="2:18" ht="14.25" customHeight="1">
      <c r="B28" s="427"/>
      <c r="C28" s="427"/>
      <c r="D28" s="427"/>
      <c r="E28" s="427"/>
      <c r="F28" s="427"/>
      <c r="G28" s="427"/>
      <c r="I28" s="427"/>
      <c r="J28" s="427"/>
      <c r="K28" s="427"/>
      <c r="L28" s="427"/>
    </row>
    <row r="29" spans="2:18" ht="14.25" customHeight="1" thickBot="1"/>
    <row r="30" spans="2:18" ht="14.25" customHeight="1" thickBot="1">
      <c r="R30" s="60" t="s">
        <v>52</v>
      </c>
    </row>
    <row r="31" spans="2:18" ht="14.25" customHeight="1"/>
    <row r="32" spans="2:1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</sheetData>
  <hyperlinks>
    <hyperlink ref="R30" location="'Distrib Plazas Autor 03_04-05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I13" sqref="I1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673" t="s">
        <v>92</v>
      </c>
      <c r="B1" s="674" t="s">
        <v>105</v>
      </c>
      <c r="D1" s="675" t="s">
        <v>411</v>
      </c>
      <c r="F1" s="675" t="s">
        <v>411</v>
      </c>
    </row>
    <row r="2" spans="1:6">
      <c r="A2" s="676"/>
      <c r="B2" s="677" t="s">
        <v>241</v>
      </c>
      <c r="D2" s="675" t="s">
        <v>412</v>
      </c>
      <c r="F2" s="675" t="s">
        <v>473</v>
      </c>
    </row>
    <row r="3" spans="1:6">
      <c r="A3" s="678"/>
      <c r="B3" s="679" t="s">
        <v>243</v>
      </c>
      <c r="D3" s="675" t="s">
        <v>116</v>
      </c>
      <c r="F3" s="675" t="s">
        <v>474</v>
      </c>
    </row>
    <row r="4" spans="1:6">
      <c r="A4" s="673" t="s">
        <v>89</v>
      </c>
      <c r="B4" s="674" t="s">
        <v>105</v>
      </c>
      <c r="D4" s="675" t="s">
        <v>414</v>
      </c>
      <c r="F4" s="675" t="s">
        <v>475</v>
      </c>
    </row>
    <row r="5" spans="1:6">
      <c r="A5" s="676"/>
      <c r="B5" s="677" t="s">
        <v>241</v>
      </c>
      <c r="D5" s="675" t="s">
        <v>415</v>
      </c>
      <c r="F5" s="675"/>
    </row>
    <row r="6" spans="1:6">
      <c r="A6" s="678"/>
      <c r="B6" s="679" t="s">
        <v>243</v>
      </c>
    </row>
    <row r="7" spans="1:6">
      <c r="A7" s="673" t="s">
        <v>302</v>
      </c>
      <c r="B7" s="674" t="s">
        <v>105</v>
      </c>
    </row>
    <row r="8" spans="1:6">
      <c r="A8" s="676"/>
      <c r="B8" s="677" t="s">
        <v>241</v>
      </c>
      <c r="D8" s="680" t="s">
        <v>476</v>
      </c>
    </row>
    <row r="9" spans="1:6">
      <c r="A9" s="678"/>
      <c r="B9" s="679" t="s">
        <v>243</v>
      </c>
      <c r="D9" s="680" t="s">
        <v>477</v>
      </c>
    </row>
    <row r="10" spans="1:6">
      <c r="A10" s="673" t="s">
        <v>347</v>
      </c>
      <c r="B10" s="674" t="s">
        <v>105</v>
      </c>
      <c r="D10" s="680" t="s">
        <v>478</v>
      </c>
    </row>
    <row r="11" spans="1:6">
      <c r="A11" s="676"/>
      <c r="B11" s="677" t="s">
        <v>241</v>
      </c>
      <c r="D11" s="680" t="s">
        <v>479</v>
      </c>
    </row>
    <row r="12" spans="1:6">
      <c r="A12" s="678"/>
      <c r="B12" s="679" t="s">
        <v>243</v>
      </c>
      <c r="D12" s="680" t="s">
        <v>480</v>
      </c>
      <c r="F12" s="2">
        <v>2001</v>
      </c>
    </row>
    <row r="13" spans="1:6">
      <c r="A13" s="673" t="s">
        <v>348</v>
      </c>
      <c r="B13" s="674" t="s">
        <v>105</v>
      </c>
      <c r="D13" s="680" t="s">
        <v>481</v>
      </c>
      <c r="F13" s="2">
        <v>2002</v>
      </c>
    </row>
    <row r="14" spans="1:6">
      <c r="A14" s="676"/>
      <c r="B14" s="677" t="s">
        <v>241</v>
      </c>
      <c r="F14" s="2">
        <v>2003</v>
      </c>
    </row>
    <row r="15" spans="1:6">
      <c r="A15" s="676"/>
      <c r="B15" s="679" t="s">
        <v>243</v>
      </c>
      <c r="F15" s="2">
        <v>2004</v>
      </c>
    </row>
    <row r="18" spans="1:21">
      <c r="A18" s="681" t="s">
        <v>482</v>
      </c>
      <c r="B18" s="682" t="s">
        <v>301</v>
      </c>
    </row>
    <row r="19" spans="1:21">
      <c r="A19" s="683"/>
      <c r="B19" s="684" t="s">
        <v>483</v>
      </c>
    </row>
    <row r="20" spans="1:21">
      <c r="A20" s="681" t="s">
        <v>484</v>
      </c>
      <c r="B20" s="682" t="s">
        <v>301</v>
      </c>
    </row>
    <row r="21" spans="1:21">
      <c r="A21" s="683"/>
      <c r="B21" s="684" t="s">
        <v>483</v>
      </c>
    </row>
    <row r="22" spans="1:21">
      <c r="A22" s="681" t="s">
        <v>485</v>
      </c>
      <c r="B22" s="682" t="s">
        <v>301</v>
      </c>
    </row>
    <row r="23" spans="1:21">
      <c r="A23" s="683"/>
      <c r="B23" s="684" t="s">
        <v>483</v>
      </c>
    </row>
    <row r="25" spans="1:21">
      <c r="A25" s="673" t="s">
        <v>92</v>
      </c>
      <c r="B25" s="674" t="s">
        <v>105</v>
      </c>
      <c r="D25" s="673" t="s">
        <v>92</v>
      </c>
      <c r="E25" s="674" t="s">
        <v>105</v>
      </c>
    </row>
    <row r="26" spans="1:21">
      <c r="A26" s="676"/>
      <c r="B26" s="677" t="s">
        <v>241</v>
      </c>
      <c r="D26" s="676"/>
      <c r="E26" s="677" t="s">
        <v>241</v>
      </c>
    </row>
    <row r="27" spans="1:21">
      <c r="A27" s="678"/>
      <c r="B27" s="679" t="s">
        <v>243</v>
      </c>
      <c r="D27" s="678"/>
      <c r="E27" s="679" t="s">
        <v>243</v>
      </c>
    </row>
    <row r="28" spans="1:21">
      <c r="A28" s="673" t="s">
        <v>345</v>
      </c>
      <c r="B28" s="674" t="s">
        <v>105</v>
      </c>
      <c r="D28" s="673" t="s">
        <v>301</v>
      </c>
      <c r="E28" s="674" t="s">
        <v>105</v>
      </c>
    </row>
    <row r="29" spans="1:21">
      <c r="A29" s="676"/>
      <c r="B29" s="677" t="s">
        <v>241</v>
      </c>
      <c r="D29" s="676"/>
      <c r="E29" s="677" t="s">
        <v>241</v>
      </c>
    </row>
    <row r="30" spans="1:21">
      <c r="A30" s="678"/>
      <c r="B30" s="679" t="s">
        <v>243</v>
      </c>
      <c r="D30" s="678"/>
      <c r="E30" s="679" t="s">
        <v>243</v>
      </c>
    </row>
    <row r="31" spans="1:21">
      <c r="A31" s="673" t="s">
        <v>346</v>
      </c>
      <c r="B31" s="674" t="s">
        <v>105</v>
      </c>
      <c r="D31" s="673" t="s">
        <v>302</v>
      </c>
      <c r="E31" s="674" t="s">
        <v>105</v>
      </c>
      <c r="G31" s="685" t="s">
        <v>92</v>
      </c>
      <c r="H31" s="685"/>
      <c r="I31" s="685"/>
      <c r="J31" s="685" t="s">
        <v>345</v>
      </c>
      <c r="K31" s="685"/>
      <c r="L31" s="685"/>
      <c r="M31" s="685" t="s">
        <v>346</v>
      </c>
      <c r="N31" s="685"/>
      <c r="O31" s="685"/>
      <c r="P31" s="685" t="s">
        <v>347</v>
      </c>
      <c r="Q31" s="685"/>
      <c r="R31" s="685"/>
      <c r="S31" s="685" t="s">
        <v>348</v>
      </c>
      <c r="T31" s="685"/>
      <c r="U31" s="685"/>
    </row>
    <row r="32" spans="1:21">
      <c r="A32" s="676"/>
      <c r="B32" s="677" t="s">
        <v>241</v>
      </c>
      <c r="D32" s="676"/>
      <c r="E32" s="677" t="s">
        <v>241</v>
      </c>
      <c r="G32" s="2" t="s">
        <v>105</v>
      </c>
      <c r="H32" s="2" t="s">
        <v>241</v>
      </c>
      <c r="I32" s="2" t="s">
        <v>243</v>
      </c>
      <c r="J32" s="2" t="s">
        <v>105</v>
      </c>
      <c r="K32" s="2" t="s">
        <v>241</v>
      </c>
      <c r="L32" s="2" t="s">
        <v>243</v>
      </c>
      <c r="M32" s="2" t="s">
        <v>105</v>
      </c>
      <c r="N32" s="2" t="s">
        <v>241</v>
      </c>
      <c r="O32" s="2" t="s">
        <v>243</v>
      </c>
      <c r="P32" s="2" t="s">
        <v>105</v>
      </c>
      <c r="Q32" s="2" t="s">
        <v>241</v>
      </c>
      <c r="R32" s="2" t="s">
        <v>243</v>
      </c>
      <c r="S32" s="2" t="s">
        <v>105</v>
      </c>
      <c r="T32" s="2" t="s">
        <v>241</v>
      </c>
      <c r="U32" s="2" t="s">
        <v>243</v>
      </c>
    </row>
    <row r="33" spans="1:5">
      <c r="A33" s="678"/>
      <c r="B33" s="679" t="s">
        <v>243</v>
      </c>
      <c r="D33" s="676"/>
      <c r="E33" s="679" t="s">
        <v>243</v>
      </c>
    </row>
    <row r="34" spans="1:5">
      <c r="A34" s="673" t="s">
        <v>347</v>
      </c>
      <c r="B34" s="674" t="s">
        <v>105</v>
      </c>
      <c r="D34" s="673" t="s">
        <v>303</v>
      </c>
      <c r="E34" s="674" t="s">
        <v>105</v>
      </c>
    </row>
    <row r="35" spans="1:5">
      <c r="A35" s="676"/>
      <c r="B35" s="677" t="s">
        <v>241</v>
      </c>
      <c r="D35" s="676"/>
      <c r="E35" s="677" t="s">
        <v>241</v>
      </c>
    </row>
    <row r="36" spans="1:5">
      <c r="A36" s="678"/>
      <c r="B36" s="679" t="s">
        <v>243</v>
      </c>
      <c r="D36" s="676"/>
      <c r="E36" s="679" t="s">
        <v>243</v>
      </c>
    </row>
    <row r="37" spans="1:5">
      <c r="A37" s="673" t="s">
        <v>303</v>
      </c>
      <c r="B37" s="674" t="s">
        <v>105</v>
      </c>
      <c r="D37" s="673" t="s">
        <v>89</v>
      </c>
      <c r="E37" s="674" t="s">
        <v>105</v>
      </c>
    </row>
    <row r="38" spans="1:5">
      <c r="A38" s="676"/>
      <c r="B38" s="677" t="s">
        <v>241</v>
      </c>
      <c r="D38" s="676"/>
      <c r="E38" s="677" t="s">
        <v>241</v>
      </c>
    </row>
    <row r="39" spans="1:5">
      <c r="A39" s="676"/>
      <c r="B39" s="679" t="s">
        <v>243</v>
      </c>
      <c r="D39" s="678"/>
      <c r="E39" s="679" t="s">
        <v>243</v>
      </c>
    </row>
    <row r="40" spans="1:5">
      <c r="A40" s="673" t="s">
        <v>348</v>
      </c>
      <c r="B40" s="674" t="s">
        <v>105</v>
      </c>
    </row>
    <row r="41" spans="1:5">
      <c r="A41" s="676"/>
      <c r="B41" s="677" t="s">
        <v>241</v>
      </c>
    </row>
    <row r="42" spans="1:5">
      <c r="A42" s="676"/>
      <c r="B42" s="679" t="s">
        <v>243</v>
      </c>
    </row>
    <row r="43" spans="1:5">
      <c r="A43" s="673" t="s">
        <v>301</v>
      </c>
      <c r="B43" s="674" t="s">
        <v>105</v>
      </c>
    </row>
    <row r="44" spans="1:5">
      <c r="A44" s="676"/>
      <c r="B44" s="677" t="s">
        <v>241</v>
      </c>
    </row>
    <row r="45" spans="1:5">
      <c r="A45" s="676"/>
      <c r="B45" s="679" t="s">
        <v>243</v>
      </c>
    </row>
    <row r="46" spans="1:5">
      <c r="A46" s="673" t="s">
        <v>302</v>
      </c>
      <c r="B46" s="674" t="s">
        <v>105</v>
      </c>
    </row>
    <row r="47" spans="1:5">
      <c r="A47" s="676"/>
      <c r="B47" s="677" t="s">
        <v>241</v>
      </c>
    </row>
    <row r="48" spans="1:5">
      <c r="A48" s="676"/>
      <c r="B48" s="679" t="s">
        <v>243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I13" sqref="I1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23" t="s">
        <v>486</v>
      </c>
    </row>
    <row r="3" spans="1:9">
      <c r="A3" s="23" t="s">
        <v>487</v>
      </c>
    </row>
    <row r="4" spans="1:9">
      <c r="A4" s="23" t="s">
        <v>296</v>
      </c>
      <c r="B4" s="23" t="s">
        <v>338</v>
      </c>
    </row>
    <row r="5" spans="1:9">
      <c r="A5" s="23" t="s">
        <v>339</v>
      </c>
      <c r="B5" s="23" t="s">
        <v>340</v>
      </c>
    </row>
    <row r="6" spans="1:9">
      <c r="A6" s="2" t="s">
        <v>488</v>
      </c>
    </row>
    <row r="7" spans="1:9">
      <c r="A7" s="686" t="s">
        <v>489</v>
      </c>
    </row>
    <row r="8" spans="1:9" ht="54.75" customHeight="1">
      <c r="A8" s="687" t="s">
        <v>490</v>
      </c>
      <c r="B8" s="688"/>
      <c r="C8" s="688"/>
      <c r="D8" s="688"/>
      <c r="E8" s="688"/>
      <c r="F8" s="688"/>
      <c r="G8" s="689"/>
      <c r="I8" s="690" t="s">
        <v>491</v>
      </c>
    </row>
    <row r="9" spans="1:9" ht="14.25">
      <c r="I9" s="691" t="s">
        <v>492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3:L16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2" width="11.42578125" style="23"/>
    <col min="3" max="3" width="36.7109375" style="23" customWidth="1"/>
    <col min="4" max="4" width="12.7109375" style="23" customWidth="1"/>
    <col min="5" max="5" width="10.7109375" style="23" customWidth="1"/>
    <col min="6" max="6" width="12.7109375" style="23" customWidth="1"/>
    <col min="7" max="8" width="10.7109375" style="23" customWidth="1"/>
    <col min="9" max="15" width="11.42578125" style="23"/>
    <col min="16" max="16" width="13.28515625" style="23" customWidth="1"/>
    <col min="17" max="258" width="11.42578125" style="23"/>
    <col min="259" max="259" width="36.7109375" style="23" customWidth="1"/>
    <col min="260" max="260" width="12.7109375" style="23" customWidth="1"/>
    <col min="261" max="261" width="10.7109375" style="23" customWidth="1"/>
    <col min="262" max="262" width="12.7109375" style="23" customWidth="1"/>
    <col min="263" max="264" width="10.7109375" style="23" customWidth="1"/>
    <col min="265" max="271" width="11.42578125" style="23"/>
    <col min="272" max="272" width="13.28515625" style="23" customWidth="1"/>
    <col min="273" max="514" width="11.42578125" style="23"/>
    <col min="515" max="515" width="36.7109375" style="23" customWidth="1"/>
    <col min="516" max="516" width="12.7109375" style="23" customWidth="1"/>
    <col min="517" max="517" width="10.7109375" style="23" customWidth="1"/>
    <col min="518" max="518" width="12.7109375" style="23" customWidth="1"/>
    <col min="519" max="520" width="10.7109375" style="23" customWidth="1"/>
    <col min="521" max="527" width="11.42578125" style="23"/>
    <col min="528" max="528" width="13.28515625" style="23" customWidth="1"/>
    <col min="529" max="770" width="11.42578125" style="23"/>
    <col min="771" max="771" width="36.7109375" style="23" customWidth="1"/>
    <col min="772" max="772" width="12.7109375" style="23" customWidth="1"/>
    <col min="773" max="773" width="10.7109375" style="23" customWidth="1"/>
    <col min="774" max="774" width="12.7109375" style="23" customWidth="1"/>
    <col min="775" max="776" width="10.7109375" style="23" customWidth="1"/>
    <col min="777" max="783" width="11.42578125" style="23"/>
    <col min="784" max="784" width="13.28515625" style="23" customWidth="1"/>
    <col min="785" max="1026" width="11.42578125" style="23"/>
    <col min="1027" max="1027" width="36.7109375" style="23" customWidth="1"/>
    <col min="1028" max="1028" width="12.7109375" style="23" customWidth="1"/>
    <col min="1029" max="1029" width="10.7109375" style="23" customWidth="1"/>
    <col min="1030" max="1030" width="12.7109375" style="23" customWidth="1"/>
    <col min="1031" max="1032" width="10.7109375" style="23" customWidth="1"/>
    <col min="1033" max="1039" width="11.42578125" style="23"/>
    <col min="1040" max="1040" width="13.28515625" style="23" customWidth="1"/>
    <col min="1041" max="1282" width="11.42578125" style="23"/>
    <col min="1283" max="1283" width="36.7109375" style="23" customWidth="1"/>
    <col min="1284" max="1284" width="12.7109375" style="23" customWidth="1"/>
    <col min="1285" max="1285" width="10.7109375" style="23" customWidth="1"/>
    <col min="1286" max="1286" width="12.7109375" style="23" customWidth="1"/>
    <col min="1287" max="1288" width="10.7109375" style="23" customWidth="1"/>
    <col min="1289" max="1295" width="11.42578125" style="23"/>
    <col min="1296" max="1296" width="13.28515625" style="23" customWidth="1"/>
    <col min="1297" max="1538" width="11.42578125" style="23"/>
    <col min="1539" max="1539" width="36.7109375" style="23" customWidth="1"/>
    <col min="1540" max="1540" width="12.7109375" style="23" customWidth="1"/>
    <col min="1541" max="1541" width="10.7109375" style="23" customWidth="1"/>
    <col min="1542" max="1542" width="12.7109375" style="23" customWidth="1"/>
    <col min="1543" max="1544" width="10.7109375" style="23" customWidth="1"/>
    <col min="1545" max="1551" width="11.42578125" style="23"/>
    <col min="1552" max="1552" width="13.28515625" style="23" customWidth="1"/>
    <col min="1553" max="1794" width="11.42578125" style="23"/>
    <col min="1795" max="1795" width="36.7109375" style="23" customWidth="1"/>
    <col min="1796" max="1796" width="12.7109375" style="23" customWidth="1"/>
    <col min="1797" max="1797" width="10.7109375" style="23" customWidth="1"/>
    <col min="1798" max="1798" width="12.7109375" style="23" customWidth="1"/>
    <col min="1799" max="1800" width="10.7109375" style="23" customWidth="1"/>
    <col min="1801" max="1807" width="11.42578125" style="23"/>
    <col min="1808" max="1808" width="13.28515625" style="23" customWidth="1"/>
    <col min="1809" max="2050" width="11.42578125" style="23"/>
    <col min="2051" max="2051" width="36.7109375" style="23" customWidth="1"/>
    <col min="2052" max="2052" width="12.7109375" style="23" customWidth="1"/>
    <col min="2053" max="2053" width="10.7109375" style="23" customWidth="1"/>
    <col min="2054" max="2054" width="12.7109375" style="23" customWidth="1"/>
    <col min="2055" max="2056" width="10.7109375" style="23" customWidth="1"/>
    <col min="2057" max="2063" width="11.42578125" style="23"/>
    <col min="2064" max="2064" width="13.28515625" style="23" customWidth="1"/>
    <col min="2065" max="2306" width="11.42578125" style="23"/>
    <col min="2307" max="2307" width="36.7109375" style="23" customWidth="1"/>
    <col min="2308" max="2308" width="12.7109375" style="23" customWidth="1"/>
    <col min="2309" max="2309" width="10.7109375" style="23" customWidth="1"/>
    <col min="2310" max="2310" width="12.7109375" style="23" customWidth="1"/>
    <col min="2311" max="2312" width="10.7109375" style="23" customWidth="1"/>
    <col min="2313" max="2319" width="11.42578125" style="23"/>
    <col min="2320" max="2320" width="13.28515625" style="23" customWidth="1"/>
    <col min="2321" max="2562" width="11.42578125" style="23"/>
    <col min="2563" max="2563" width="36.7109375" style="23" customWidth="1"/>
    <col min="2564" max="2564" width="12.7109375" style="23" customWidth="1"/>
    <col min="2565" max="2565" width="10.7109375" style="23" customWidth="1"/>
    <col min="2566" max="2566" width="12.7109375" style="23" customWidth="1"/>
    <col min="2567" max="2568" width="10.7109375" style="23" customWidth="1"/>
    <col min="2569" max="2575" width="11.42578125" style="23"/>
    <col min="2576" max="2576" width="13.28515625" style="23" customWidth="1"/>
    <col min="2577" max="2818" width="11.42578125" style="23"/>
    <col min="2819" max="2819" width="36.7109375" style="23" customWidth="1"/>
    <col min="2820" max="2820" width="12.7109375" style="23" customWidth="1"/>
    <col min="2821" max="2821" width="10.7109375" style="23" customWidth="1"/>
    <col min="2822" max="2822" width="12.7109375" style="23" customWidth="1"/>
    <col min="2823" max="2824" width="10.7109375" style="23" customWidth="1"/>
    <col min="2825" max="2831" width="11.42578125" style="23"/>
    <col min="2832" max="2832" width="13.28515625" style="23" customWidth="1"/>
    <col min="2833" max="3074" width="11.42578125" style="23"/>
    <col min="3075" max="3075" width="36.7109375" style="23" customWidth="1"/>
    <col min="3076" max="3076" width="12.7109375" style="23" customWidth="1"/>
    <col min="3077" max="3077" width="10.7109375" style="23" customWidth="1"/>
    <col min="3078" max="3078" width="12.7109375" style="23" customWidth="1"/>
    <col min="3079" max="3080" width="10.7109375" style="23" customWidth="1"/>
    <col min="3081" max="3087" width="11.42578125" style="23"/>
    <col min="3088" max="3088" width="13.28515625" style="23" customWidth="1"/>
    <col min="3089" max="3330" width="11.42578125" style="23"/>
    <col min="3331" max="3331" width="36.7109375" style="23" customWidth="1"/>
    <col min="3332" max="3332" width="12.7109375" style="23" customWidth="1"/>
    <col min="3333" max="3333" width="10.7109375" style="23" customWidth="1"/>
    <col min="3334" max="3334" width="12.7109375" style="23" customWidth="1"/>
    <col min="3335" max="3336" width="10.7109375" style="23" customWidth="1"/>
    <col min="3337" max="3343" width="11.42578125" style="23"/>
    <col min="3344" max="3344" width="13.28515625" style="23" customWidth="1"/>
    <col min="3345" max="3586" width="11.42578125" style="23"/>
    <col min="3587" max="3587" width="36.7109375" style="23" customWidth="1"/>
    <col min="3588" max="3588" width="12.7109375" style="23" customWidth="1"/>
    <col min="3589" max="3589" width="10.7109375" style="23" customWidth="1"/>
    <col min="3590" max="3590" width="12.7109375" style="23" customWidth="1"/>
    <col min="3591" max="3592" width="10.7109375" style="23" customWidth="1"/>
    <col min="3593" max="3599" width="11.42578125" style="23"/>
    <col min="3600" max="3600" width="13.28515625" style="23" customWidth="1"/>
    <col min="3601" max="3842" width="11.42578125" style="23"/>
    <col min="3843" max="3843" width="36.7109375" style="23" customWidth="1"/>
    <col min="3844" max="3844" width="12.7109375" style="23" customWidth="1"/>
    <col min="3845" max="3845" width="10.7109375" style="23" customWidth="1"/>
    <col min="3846" max="3846" width="12.7109375" style="23" customWidth="1"/>
    <col min="3847" max="3848" width="10.7109375" style="23" customWidth="1"/>
    <col min="3849" max="3855" width="11.42578125" style="23"/>
    <col min="3856" max="3856" width="13.28515625" style="23" customWidth="1"/>
    <col min="3857" max="4098" width="11.42578125" style="23"/>
    <col min="4099" max="4099" width="36.7109375" style="23" customWidth="1"/>
    <col min="4100" max="4100" width="12.7109375" style="23" customWidth="1"/>
    <col min="4101" max="4101" width="10.7109375" style="23" customWidth="1"/>
    <col min="4102" max="4102" width="12.7109375" style="23" customWidth="1"/>
    <col min="4103" max="4104" width="10.7109375" style="23" customWidth="1"/>
    <col min="4105" max="4111" width="11.42578125" style="23"/>
    <col min="4112" max="4112" width="13.28515625" style="23" customWidth="1"/>
    <col min="4113" max="4354" width="11.42578125" style="23"/>
    <col min="4355" max="4355" width="36.7109375" style="23" customWidth="1"/>
    <col min="4356" max="4356" width="12.7109375" style="23" customWidth="1"/>
    <col min="4357" max="4357" width="10.7109375" style="23" customWidth="1"/>
    <col min="4358" max="4358" width="12.7109375" style="23" customWidth="1"/>
    <col min="4359" max="4360" width="10.7109375" style="23" customWidth="1"/>
    <col min="4361" max="4367" width="11.42578125" style="23"/>
    <col min="4368" max="4368" width="13.28515625" style="23" customWidth="1"/>
    <col min="4369" max="4610" width="11.42578125" style="23"/>
    <col min="4611" max="4611" width="36.7109375" style="23" customWidth="1"/>
    <col min="4612" max="4612" width="12.7109375" style="23" customWidth="1"/>
    <col min="4613" max="4613" width="10.7109375" style="23" customWidth="1"/>
    <col min="4614" max="4614" width="12.7109375" style="23" customWidth="1"/>
    <col min="4615" max="4616" width="10.7109375" style="23" customWidth="1"/>
    <col min="4617" max="4623" width="11.42578125" style="23"/>
    <col min="4624" max="4624" width="13.28515625" style="23" customWidth="1"/>
    <col min="4625" max="4866" width="11.42578125" style="23"/>
    <col min="4867" max="4867" width="36.7109375" style="23" customWidth="1"/>
    <col min="4868" max="4868" width="12.7109375" style="23" customWidth="1"/>
    <col min="4869" max="4869" width="10.7109375" style="23" customWidth="1"/>
    <col min="4870" max="4870" width="12.7109375" style="23" customWidth="1"/>
    <col min="4871" max="4872" width="10.7109375" style="23" customWidth="1"/>
    <col min="4873" max="4879" width="11.42578125" style="23"/>
    <col min="4880" max="4880" width="13.28515625" style="23" customWidth="1"/>
    <col min="4881" max="5122" width="11.42578125" style="23"/>
    <col min="5123" max="5123" width="36.7109375" style="23" customWidth="1"/>
    <col min="5124" max="5124" width="12.7109375" style="23" customWidth="1"/>
    <col min="5125" max="5125" width="10.7109375" style="23" customWidth="1"/>
    <col min="5126" max="5126" width="12.7109375" style="23" customWidth="1"/>
    <col min="5127" max="5128" width="10.7109375" style="23" customWidth="1"/>
    <col min="5129" max="5135" width="11.42578125" style="23"/>
    <col min="5136" max="5136" width="13.28515625" style="23" customWidth="1"/>
    <col min="5137" max="5378" width="11.42578125" style="23"/>
    <col min="5379" max="5379" width="36.7109375" style="23" customWidth="1"/>
    <col min="5380" max="5380" width="12.7109375" style="23" customWidth="1"/>
    <col min="5381" max="5381" width="10.7109375" style="23" customWidth="1"/>
    <col min="5382" max="5382" width="12.7109375" style="23" customWidth="1"/>
    <col min="5383" max="5384" width="10.7109375" style="23" customWidth="1"/>
    <col min="5385" max="5391" width="11.42578125" style="23"/>
    <col min="5392" max="5392" width="13.28515625" style="23" customWidth="1"/>
    <col min="5393" max="5634" width="11.42578125" style="23"/>
    <col min="5635" max="5635" width="36.7109375" style="23" customWidth="1"/>
    <col min="5636" max="5636" width="12.7109375" style="23" customWidth="1"/>
    <col min="5637" max="5637" width="10.7109375" style="23" customWidth="1"/>
    <col min="5638" max="5638" width="12.7109375" style="23" customWidth="1"/>
    <col min="5639" max="5640" width="10.7109375" style="23" customWidth="1"/>
    <col min="5641" max="5647" width="11.42578125" style="23"/>
    <col min="5648" max="5648" width="13.28515625" style="23" customWidth="1"/>
    <col min="5649" max="5890" width="11.42578125" style="23"/>
    <col min="5891" max="5891" width="36.7109375" style="23" customWidth="1"/>
    <col min="5892" max="5892" width="12.7109375" style="23" customWidth="1"/>
    <col min="5893" max="5893" width="10.7109375" style="23" customWidth="1"/>
    <col min="5894" max="5894" width="12.7109375" style="23" customWidth="1"/>
    <col min="5895" max="5896" width="10.7109375" style="23" customWidth="1"/>
    <col min="5897" max="5903" width="11.42578125" style="23"/>
    <col min="5904" max="5904" width="13.28515625" style="23" customWidth="1"/>
    <col min="5905" max="6146" width="11.42578125" style="23"/>
    <col min="6147" max="6147" width="36.7109375" style="23" customWidth="1"/>
    <col min="6148" max="6148" width="12.7109375" style="23" customWidth="1"/>
    <col min="6149" max="6149" width="10.7109375" style="23" customWidth="1"/>
    <col min="6150" max="6150" width="12.7109375" style="23" customWidth="1"/>
    <col min="6151" max="6152" width="10.7109375" style="23" customWidth="1"/>
    <col min="6153" max="6159" width="11.42578125" style="23"/>
    <col min="6160" max="6160" width="13.28515625" style="23" customWidth="1"/>
    <col min="6161" max="6402" width="11.42578125" style="23"/>
    <col min="6403" max="6403" width="36.7109375" style="23" customWidth="1"/>
    <col min="6404" max="6404" width="12.7109375" style="23" customWidth="1"/>
    <col min="6405" max="6405" width="10.7109375" style="23" customWidth="1"/>
    <col min="6406" max="6406" width="12.7109375" style="23" customWidth="1"/>
    <col min="6407" max="6408" width="10.7109375" style="23" customWidth="1"/>
    <col min="6409" max="6415" width="11.42578125" style="23"/>
    <col min="6416" max="6416" width="13.28515625" style="23" customWidth="1"/>
    <col min="6417" max="6658" width="11.42578125" style="23"/>
    <col min="6659" max="6659" width="36.7109375" style="23" customWidth="1"/>
    <col min="6660" max="6660" width="12.7109375" style="23" customWidth="1"/>
    <col min="6661" max="6661" width="10.7109375" style="23" customWidth="1"/>
    <col min="6662" max="6662" width="12.7109375" style="23" customWidth="1"/>
    <col min="6663" max="6664" width="10.7109375" style="23" customWidth="1"/>
    <col min="6665" max="6671" width="11.42578125" style="23"/>
    <col min="6672" max="6672" width="13.28515625" style="23" customWidth="1"/>
    <col min="6673" max="6914" width="11.42578125" style="23"/>
    <col min="6915" max="6915" width="36.7109375" style="23" customWidth="1"/>
    <col min="6916" max="6916" width="12.7109375" style="23" customWidth="1"/>
    <col min="6917" max="6917" width="10.7109375" style="23" customWidth="1"/>
    <col min="6918" max="6918" width="12.7109375" style="23" customWidth="1"/>
    <col min="6919" max="6920" width="10.7109375" style="23" customWidth="1"/>
    <col min="6921" max="6927" width="11.42578125" style="23"/>
    <col min="6928" max="6928" width="13.28515625" style="23" customWidth="1"/>
    <col min="6929" max="7170" width="11.42578125" style="23"/>
    <col min="7171" max="7171" width="36.7109375" style="23" customWidth="1"/>
    <col min="7172" max="7172" width="12.7109375" style="23" customWidth="1"/>
    <col min="7173" max="7173" width="10.7109375" style="23" customWidth="1"/>
    <col min="7174" max="7174" width="12.7109375" style="23" customWidth="1"/>
    <col min="7175" max="7176" width="10.7109375" style="23" customWidth="1"/>
    <col min="7177" max="7183" width="11.42578125" style="23"/>
    <col min="7184" max="7184" width="13.28515625" style="23" customWidth="1"/>
    <col min="7185" max="7426" width="11.42578125" style="23"/>
    <col min="7427" max="7427" width="36.7109375" style="23" customWidth="1"/>
    <col min="7428" max="7428" width="12.7109375" style="23" customWidth="1"/>
    <col min="7429" max="7429" width="10.7109375" style="23" customWidth="1"/>
    <col min="7430" max="7430" width="12.7109375" style="23" customWidth="1"/>
    <col min="7431" max="7432" width="10.7109375" style="23" customWidth="1"/>
    <col min="7433" max="7439" width="11.42578125" style="23"/>
    <col min="7440" max="7440" width="13.28515625" style="23" customWidth="1"/>
    <col min="7441" max="7682" width="11.42578125" style="23"/>
    <col min="7683" max="7683" width="36.7109375" style="23" customWidth="1"/>
    <col min="7684" max="7684" width="12.7109375" style="23" customWidth="1"/>
    <col min="7685" max="7685" width="10.7109375" style="23" customWidth="1"/>
    <col min="7686" max="7686" width="12.7109375" style="23" customWidth="1"/>
    <col min="7687" max="7688" width="10.7109375" style="23" customWidth="1"/>
    <col min="7689" max="7695" width="11.42578125" style="23"/>
    <col min="7696" max="7696" width="13.28515625" style="23" customWidth="1"/>
    <col min="7697" max="7938" width="11.42578125" style="23"/>
    <col min="7939" max="7939" width="36.7109375" style="23" customWidth="1"/>
    <col min="7940" max="7940" width="12.7109375" style="23" customWidth="1"/>
    <col min="7941" max="7941" width="10.7109375" style="23" customWidth="1"/>
    <col min="7942" max="7942" width="12.7109375" style="23" customWidth="1"/>
    <col min="7943" max="7944" width="10.7109375" style="23" customWidth="1"/>
    <col min="7945" max="7951" width="11.42578125" style="23"/>
    <col min="7952" max="7952" width="13.28515625" style="23" customWidth="1"/>
    <col min="7953" max="8194" width="11.42578125" style="23"/>
    <col min="8195" max="8195" width="36.7109375" style="23" customWidth="1"/>
    <col min="8196" max="8196" width="12.7109375" style="23" customWidth="1"/>
    <col min="8197" max="8197" width="10.7109375" style="23" customWidth="1"/>
    <col min="8198" max="8198" width="12.7109375" style="23" customWidth="1"/>
    <col min="8199" max="8200" width="10.7109375" style="23" customWidth="1"/>
    <col min="8201" max="8207" width="11.42578125" style="23"/>
    <col min="8208" max="8208" width="13.28515625" style="23" customWidth="1"/>
    <col min="8209" max="8450" width="11.42578125" style="23"/>
    <col min="8451" max="8451" width="36.7109375" style="23" customWidth="1"/>
    <col min="8452" max="8452" width="12.7109375" style="23" customWidth="1"/>
    <col min="8453" max="8453" width="10.7109375" style="23" customWidth="1"/>
    <col min="8454" max="8454" width="12.7109375" style="23" customWidth="1"/>
    <col min="8455" max="8456" width="10.7109375" style="23" customWidth="1"/>
    <col min="8457" max="8463" width="11.42578125" style="23"/>
    <col min="8464" max="8464" width="13.28515625" style="23" customWidth="1"/>
    <col min="8465" max="8706" width="11.42578125" style="23"/>
    <col min="8707" max="8707" width="36.7109375" style="23" customWidth="1"/>
    <col min="8708" max="8708" width="12.7109375" style="23" customWidth="1"/>
    <col min="8709" max="8709" width="10.7109375" style="23" customWidth="1"/>
    <col min="8710" max="8710" width="12.7109375" style="23" customWidth="1"/>
    <col min="8711" max="8712" width="10.7109375" style="23" customWidth="1"/>
    <col min="8713" max="8719" width="11.42578125" style="23"/>
    <col min="8720" max="8720" width="13.28515625" style="23" customWidth="1"/>
    <col min="8721" max="8962" width="11.42578125" style="23"/>
    <col min="8963" max="8963" width="36.7109375" style="23" customWidth="1"/>
    <col min="8964" max="8964" width="12.7109375" style="23" customWidth="1"/>
    <col min="8965" max="8965" width="10.7109375" style="23" customWidth="1"/>
    <col min="8966" max="8966" width="12.7109375" style="23" customWidth="1"/>
    <col min="8967" max="8968" width="10.7109375" style="23" customWidth="1"/>
    <col min="8969" max="8975" width="11.42578125" style="23"/>
    <col min="8976" max="8976" width="13.28515625" style="23" customWidth="1"/>
    <col min="8977" max="9218" width="11.42578125" style="23"/>
    <col min="9219" max="9219" width="36.7109375" style="23" customWidth="1"/>
    <col min="9220" max="9220" width="12.7109375" style="23" customWidth="1"/>
    <col min="9221" max="9221" width="10.7109375" style="23" customWidth="1"/>
    <col min="9222" max="9222" width="12.7109375" style="23" customWidth="1"/>
    <col min="9223" max="9224" width="10.7109375" style="23" customWidth="1"/>
    <col min="9225" max="9231" width="11.42578125" style="23"/>
    <col min="9232" max="9232" width="13.28515625" style="23" customWidth="1"/>
    <col min="9233" max="9474" width="11.42578125" style="23"/>
    <col min="9475" max="9475" width="36.7109375" style="23" customWidth="1"/>
    <col min="9476" max="9476" width="12.7109375" style="23" customWidth="1"/>
    <col min="9477" max="9477" width="10.7109375" style="23" customWidth="1"/>
    <col min="9478" max="9478" width="12.7109375" style="23" customWidth="1"/>
    <col min="9479" max="9480" width="10.7109375" style="23" customWidth="1"/>
    <col min="9481" max="9487" width="11.42578125" style="23"/>
    <col min="9488" max="9488" width="13.28515625" style="23" customWidth="1"/>
    <col min="9489" max="9730" width="11.42578125" style="23"/>
    <col min="9731" max="9731" width="36.7109375" style="23" customWidth="1"/>
    <col min="9732" max="9732" width="12.7109375" style="23" customWidth="1"/>
    <col min="9733" max="9733" width="10.7109375" style="23" customWidth="1"/>
    <col min="9734" max="9734" width="12.7109375" style="23" customWidth="1"/>
    <col min="9735" max="9736" width="10.7109375" style="23" customWidth="1"/>
    <col min="9737" max="9743" width="11.42578125" style="23"/>
    <col min="9744" max="9744" width="13.28515625" style="23" customWidth="1"/>
    <col min="9745" max="9986" width="11.42578125" style="23"/>
    <col min="9987" max="9987" width="36.7109375" style="23" customWidth="1"/>
    <col min="9988" max="9988" width="12.7109375" style="23" customWidth="1"/>
    <col min="9989" max="9989" width="10.7109375" style="23" customWidth="1"/>
    <col min="9990" max="9990" width="12.7109375" style="23" customWidth="1"/>
    <col min="9991" max="9992" width="10.7109375" style="23" customWidth="1"/>
    <col min="9993" max="9999" width="11.42578125" style="23"/>
    <col min="10000" max="10000" width="13.28515625" style="23" customWidth="1"/>
    <col min="10001" max="10242" width="11.42578125" style="23"/>
    <col min="10243" max="10243" width="36.7109375" style="23" customWidth="1"/>
    <col min="10244" max="10244" width="12.7109375" style="23" customWidth="1"/>
    <col min="10245" max="10245" width="10.7109375" style="23" customWidth="1"/>
    <col min="10246" max="10246" width="12.7109375" style="23" customWidth="1"/>
    <col min="10247" max="10248" width="10.7109375" style="23" customWidth="1"/>
    <col min="10249" max="10255" width="11.42578125" style="23"/>
    <col min="10256" max="10256" width="13.28515625" style="23" customWidth="1"/>
    <col min="10257" max="10498" width="11.42578125" style="23"/>
    <col min="10499" max="10499" width="36.7109375" style="23" customWidth="1"/>
    <col min="10500" max="10500" width="12.7109375" style="23" customWidth="1"/>
    <col min="10501" max="10501" width="10.7109375" style="23" customWidth="1"/>
    <col min="10502" max="10502" width="12.7109375" style="23" customWidth="1"/>
    <col min="10503" max="10504" width="10.7109375" style="23" customWidth="1"/>
    <col min="10505" max="10511" width="11.42578125" style="23"/>
    <col min="10512" max="10512" width="13.28515625" style="23" customWidth="1"/>
    <col min="10513" max="10754" width="11.42578125" style="23"/>
    <col min="10755" max="10755" width="36.7109375" style="23" customWidth="1"/>
    <col min="10756" max="10756" width="12.7109375" style="23" customWidth="1"/>
    <col min="10757" max="10757" width="10.7109375" style="23" customWidth="1"/>
    <col min="10758" max="10758" width="12.7109375" style="23" customWidth="1"/>
    <col min="10759" max="10760" width="10.7109375" style="23" customWidth="1"/>
    <col min="10761" max="10767" width="11.42578125" style="23"/>
    <col min="10768" max="10768" width="13.28515625" style="23" customWidth="1"/>
    <col min="10769" max="11010" width="11.42578125" style="23"/>
    <col min="11011" max="11011" width="36.7109375" style="23" customWidth="1"/>
    <col min="11012" max="11012" width="12.7109375" style="23" customWidth="1"/>
    <col min="11013" max="11013" width="10.7109375" style="23" customWidth="1"/>
    <col min="11014" max="11014" width="12.7109375" style="23" customWidth="1"/>
    <col min="11015" max="11016" width="10.7109375" style="23" customWidth="1"/>
    <col min="11017" max="11023" width="11.42578125" style="23"/>
    <col min="11024" max="11024" width="13.28515625" style="23" customWidth="1"/>
    <col min="11025" max="11266" width="11.42578125" style="23"/>
    <col min="11267" max="11267" width="36.7109375" style="23" customWidth="1"/>
    <col min="11268" max="11268" width="12.7109375" style="23" customWidth="1"/>
    <col min="11269" max="11269" width="10.7109375" style="23" customWidth="1"/>
    <col min="11270" max="11270" width="12.7109375" style="23" customWidth="1"/>
    <col min="11271" max="11272" width="10.7109375" style="23" customWidth="1"/>
    <col min="11273" max="11279" width="11.42578125" style="23"/>
    <col min="11280" max="11280" width="13.28515625" style="23" customWidth="1"/>
    <col min="11281" max="11522" width="11.42578125" style="23"/>
    <col min="11523" max="11523" width="36.7109375" style="23" customWidth="1"/>
    <col min="11524" max="11524" width="12.7109375" style="23" customWidth="1"/>
    <col min="11525" max="11525" width="10.7109375" style="23" customWidth="1"/>
    <col min="11526" max="11526" width="12.7109375" style="23" customWidth="1"/>
    <col min="11527" max="11528" width="10.7109375" style="23" customWidth="1"/>
    <col min="11529" max="11535" width="11.42578125" style="23"/>
    <col min="11536" max="11536" width="13.28515625" style="23" customWidth="1"/>
    <col min="11537" max="11778" width="11.42578125" style="23"/>
    <col min="11779" max="11779" width="36.7109375" style="23" customWidth="1"/>
    <col min="11780" max="11780" width="12.7109375" style="23" customWidth="1"/>
    <col min="11781" max="11781" width="10.7109375" style="23" customWidth="1"/>
    <col min="11782" max="11782" width="12.7109375" style="23" customWidth="1"/>
    <col min="11783" max="11784" width="10.7109375" style="23" customWidth="1"/>
    <col min="11785" max="11791" width="11.42578125" style="23"/>
    <col min="11792" max="11792" width="13.28515625" style="23" customWidth="1"/>
    <col min="11793" max="12034" width="11.42578125" style="23"/>
    <col min="12035" max="12035" width="36.7109375" style="23" customWidth="1"/>
    <col min="12036" max="12036" width="12.7109375" style="23" customWidth="1"/>
    <col min="12037" max="12037" width="10.7109375" style="23" customWidth="1"/>
    <col min="12038" max="12038" width="12.7109375" style="23" customWidth="1"/>
    <col min="12039" max="12040" width="10.7109375" style="23" customWidth="1"/>
    <col min="12041" max="12047" width="11.42578125" style="23"/>
    <col min="12048" max="12048" width="13.28515625" style="23" customWidth="1"/>
    <col min="12049" max="12290" width="11.42578125" style="23"/>
    <col min="12291" max="12291" width="36.7109375" style="23" customWidth="1"/>
    <col min="12292" max="12292" width="12.7109375" style="23" customWidth="1"/>
    <col min="12293" max="12293" width="10.7109375" style="23" customWidth="1"/>
    <col min="12294" max="12294" width="12.7109375" style="23" customWidth="1"/>
    <col min="12295" max="12296" width="10.7109375" style="23" customWidth="1"/>
    <col min="12297" max="12303" width="11.42578125" style="23"/>
    <col min="12304" max="12304" width="13.28515625" style="23" customWidth="1"/>
    <col min="12305" max="12546" width="11.42578125" style="23"/>
    <col min="12547" max="12547" width="36.7109375" style="23" customWidth="1"/>
    <col min="12548" max="12548" width="12.7109375" style="23" customWidth="1"/>
    <col min="12549" max="12549" width="10.7109375" style="23" customWidth="1"/>
    <col min="12550" max="12550" width="12.7109375" style="23" customWidth="1"/>
    <col min="12551" max="12552" width="10.7109375" style="23" customWidth="1"/>
    <col min="12553" max="12559" width="11.42578125" style="23"/>
    <col min="12560" max="12560" width="13.28515625" style="23" customWidth="1"/>
    <col min="12561" max="12802" width="11.42578125" style="23"/>
    <col min="12803" max="12803" width="36.7109375" style="23" customWidth="1"/>
    <col min="12804" max="12804" width="12.7109375" style="23" customWidth="1"/>
    <col min="12805" max="12805" width="10.7109375" style="23" customWidth="1"/>
    <col min="12806" max="12806" width="12.7109375" style="23" customWidth="1"/>
    <col min="12807" max="12808" width="10.7109375" style="23" customWidth="1"/>
    <col min="12809" max="12815" width="11.42578125" style="23"/>
    <col min="12816" max="12816" width="13.28515625" style="23" customWidth="1"/>
    <col min="12817" max="13058" width="11.42578125" style="23"/>
    <col min="13059" max="13059" width="36.7109375" style="23" customWidth="1"/>
    <col min="13060" max="13060" width="12.7109375" style="23" customWidth="1"/>
    <col min="13061" max="13061" width="10.7109375" style="23" customWidth="1"/>
    <col min="13062" max="13062" width="12.7109375" style="23" customWidth="1"/>
    <col min="13063" max="13064" width="10.7109375" style="23" customWidth="1"/>
    <col min="13065" max="13071" width="11.42578125" style="23"/>
    <col min="13072" max="13072" width="13.28515625" style="23" customWidth="1"/>
    <col min="13073" max="13314" width="11.42578125" style="23"/>
    <col min="13315" max="13315" width="36.7109375" style="23" customWidth="1"/>
    <col min="13316" max="13316" width="12.7109375" style="23" customWidth="1"/>
    <col min="13317" max="13317" width="10.7109375" style="23" customWidth="1"/>
    <col min="13318" max="13318" width="12.7109375" style="23" customWidth="1"/>
    <col min="13319" max="13320" width="10.7109375" style="23" customWidth="1"/>
    <col min="13321" max="13327" width="11.42578125" style="23"/>
    <col min="13328" max="13328" width="13.28515625" style="23" customWidth="1"/>
    <col min="13329" max="13570" width="11.42578125" style="23"/>
    <col min="13571" max="13571" width="36.7109375" style="23" customWidth="1"/>
    <col min="13572" max="13572" width="12.7109375" style="23" customWidth="1"/>
    <col min="13573" max="13573" width="10.7109375" style="23" customWidth="1"/>
    <col min="13574" max="13574" width="12.7109375" style="23" customWidth="1"/>
    <col min="13575" max="13576" width="10.7109375" style="23" customWidth="1"/>
    <col min="13577" max="13583" width="11.42578125" style="23"/>
    <col min="13584" max="13584" width="13.28515625" style="23" customWidth="1"/>
    <col min="13585" max="13826" width="11.42578125" style="23"/>
    <col min="13827" max="13827" width="36.7109375" style="23" customWidth="1"/>
    <col min="13828" max="13828" width="12.7109375" style="23" customWidth="1"/>
    <col min="13829" max="13829" width="10.7109375" style="23" customWidth="1"/>
    <col min="13830" max="13830" width="12.7109375" style="23" customWidth="1"/>
    <col min="13831" max="13832" width="10.7109375" style="23" customWidth="1"/>
    <col min="13833" max="13839" width="11.42578125" style="23"/>
    <col min="13840" max="13840" width="13.28515625" style="23" customWidth="1"/>
    <col min="13841" max="14082" width="11.42578125" style="23"/>
    <col min="14083" max="14083" width="36.7109375" style="23" customWidth="1"/>
    <col min="14084" max="14084" width="12.7109375" style="23" customWidth="1"/>
    <col min="14085" max="14085" width="10.7109375" style="23" customWidth="1"/>
    <col min="14086" max="14086" width="12.7109375" style="23" customWidth="1"/>
    <col min="14087" max="14088" width="10.7109375" style="23" customWidth="1"/>
    <col min="14089" max="14095" width="11.42578125" style="23"/>
    <col min="14096" max="14096" width="13.28515625" style="23" customWidth="1"/>
    <col min="14097" max="14338" width="11.42578125" style="23"/>
    <col min="14339" max="14339" width="36.7109375" style="23" customWidth="1"/>
    <col min="14340" max="14340" width="12.7109375" style="23" customWidth="1"/>
    <col min="14341" max="14341" width="10.7109375" style="23" customWidth="1"/>
    <col min="14342" max="14342" width="12.7109375" style="23" customWidth="1"/>
    <col min="14343" max="14344" width="10.7109375" style="23" customWidth="1"/>
    <col min="14345" max="14351" width="11.42578125" style="23"/>
    <col min="14352" max="14352" width="13.28515625" style="23" customWidth="1"/>
    <col min="14353" max="14594" width="11.42578125" style="23"/>
    <col min="14595" max="14595" width="36.7109375" style="23" customWidth="1"/>
    <col min="14596" max="14596" width="12.7109375" style="23" customWidth="1"/>
    <col min="14597" max="14597" width="10.7109375" style="23" customWidth="1"/>
    <col min="14598" max="14598" width="12.7109375" style="23" customWidth="1"/>
    <col min="14599" max="14600" width="10.7109375" style="23" customWidth="1"/>
    <col min="14601" max="14607" width="11.42578125" style="23"/>
    <col min="14608" max="14608" width="13.28515625" style="23" customWidth="1"/>
    <col min="14609" max="14850" width="11.42578125" style="23"/>
    <col min="14851" max="14851" width="36.7109375" style="23" customWidth="1"/>
    <col min="14852" max="14852" width="12.7109375" style="23" customWidth="1"/>
    <col min="14853" max="14853" width="10.7109375" style="23" customWidth="1"/>
    <col min="14854" max="14854" width="12.7109375" style="23" customWidth="1"/>
    <col min="14855" max="14856" width="10.7109375" style="23" customWidth="1"/>
    <col min="14857" max="14863" width="11.42578125" style="23"/>
    <col min="14864" max="14864" width="13.28515625" style="23" customWidth="1"/>
    <col min="14865" max="15106" width="11.42578125" style="23"/>
    <col min="15107" max="15107" width="36.7109375" style="23" customWidth="1"/>
    <col min="15108" max="15108" width="12.7109375" style="23" customWidth="1"/>
    <col min="15109" max="15109" width="10.7109375" style="23" customWidth="1"/>
    <col min="15110" max="15110" width="12.7109375" style="23" customWidth="1"/>
    <col min="15111" max="15112" width="10.7109375" style="23" customWidth="1"/>
    <col min="15113" max="15119" width="11.42578125" style="23"/>
    <col min="15120" max="15120" width="13.28515625" style="23" customWidth="1"/>
    <col min="15121" max="15362" width="11.42578125" style="23"/>
    <col min="15363" max="15363" width="36.7109375" style="23" customWidth="1"/>
    <col min="15364" max="15364" width="12.7109375" style="23" customWidth="1"/>
    <col min="15365" max="15365" width="10.7109375" style="23" customWidth="1"/>
    <col min="15366" max="15366" width="12.7109375" style="23" customWidth="1"/>
    <col min="15367" max="15368" width="10.7109375" style="23" customWidth="1"/>
    <col min="15369" max="15375" width="11.42578125" style="23"/>
    <col min="15376" max="15376" width="13.28515625" style="23" customWidth="1"/>
    <col min="15377" max="15618" width="11.42578125" style="23"/>
    <col min="15619" max="15619" width="36.7109375" style="23" customWidth="1"/>
    <col min="15620" max="15620" width="12.7109375" style="23" customWidth="1"/>
    <col min="15621" max="15621" width="10.7109375" style="23" customWidth="1"/>
    <col min="15622" max="15622" width="12.7109375" style="23" customWidth="1"/>
    <col min="15623" max="15624" width="10.7109375" style="23" customWidth="1"/>
    <col min="15625" max="15631" width="11.42578125" style="23"/>
    <col min="15632" max="15632" width="13.28515625" style="23" customWidth="1"/>
    <col min="15633" max="15874" width="11.42578125" style="23"/>
    <col min="15875" max="15875" width="36.7109375" style="23" customWidth="1"/>
    <col min="15876" max="15876" width="12.7109375" style="23" customWidth="1"/>
    <col min="15877" max="15877" width="10.7109375" style="23" customWidth="1"/>
    <col min="15878" max="15878" width="12.7109375" style="23" customWidth="1"/>
    <col min="15879" max="15880" width="10.7109375" style="23" customWidth="1"/>
    <col min="15881" max="15887" width="11.42578125" style="23"/>
    <col min="15888" max="15888" width="13.28515625" style="23" customWidth="1"/>
    <col min="15889" max="16130" width="11.42578125" style="23"/>
    <col min="16131" max="16131" width="36.7109375" style="23" customWidth="1"/>
    <col min="16132" max="16132" width="12.7109375" style="23" customWidth="1"/>
    <col min="16133" max="16133" width="10.7109375" style="23" customWidth="1"/>
    <col min="16134" max="16134" width="12.7109375" style="23" customWidth="1"/>
    <col min="16135" max="16136" width="10.7109375" style="23" customWidth="1"/>
    <col min="16137" max="16143" width="11.42578125" style="23"/>
    <col min="16144" max="16144" width="13.28515625" style="23" customWidth="1"/>
    <col min="16145" max="16384" width="11.42578125" style="23"/>
  </cols>
  <sheetData>
    <row r="3" spans="2:12" ht="24" customHeight="1">
      <c r="C3" s="27" t="s">
        <v>86</v>
      </c>
      <c r="D3" s="28"/>
      <c r="E3" s="28"/>
      <c r="F3" s="28"/>
      <c r="G3" s="28"/>
      <c r="H3" s="29"/>
    </row>
    <row r="4" spans="2:12" ht="22.5">
      <c r="C4" s="30" t="s">
        <v>87</v>
      </c>
      <c r="D4" s="31" t="str">
        <f>actualizaciones!A3</f>
        <v>acumulado julio 2009</v>
      </c>
      <c r="E4" s="32" t="s">
        <v>27</v>
      </c>
      <c r="F4" s="31" t="str">
        <f>actualizaciones!A2</f>
        <v xml:space="preserve">acumulado julio 2010 </v>
      </c>
      <c r="G4" s="32" t="s">
        <v>27</v>
      </c>
      <c r="H4" s="32" t="s">
        <v>28</v>
      </c>
    </row>
    <row r="5" spans="2:12" ht="15" customHeight="1">
      <c r="C5" s="98" t="s">
        <v>88</v>
      </c>
      <c r="D5" s="99"/>
      <c r="E5" s="99"/>
      <c r="F5" s="99"/>
      <c r="G5" s="99"/>
      <c r="H5" s="100"/>
    </row>
    <row r="6" spans="2:12" ht="15" customHeight="1">
      <c r="C6" s="101" t="s">
        <v>29</v>
      </c>
      <c r="D6" s="34">
        <f>GETPIVOTDATA("TOTAL",'[1]Evolución mensual zonas y categ'!$A$111,"AÑO",2009)</f>
        <v>2728596</v>
      </c>
      <c r="E6" s="35">
        <f>D6/D6</f>
        <v>1</v>
      </c>
      <c r="F6" s="34">
        <f>GETPIVOTDATA("TOTAL",'[1]Evolución mensual zonas y categ'!$A$111,"AÑO",2010)</f>
        <v>2766193</v>
      </c>
      <c r="G6" s="35">
        <f>F6/F6</f>
        <v>1</v>
      </c>
      <c r="H6" s="102">
        <f>(F6-D6)/D6</f>
        <v>1.3778881153530974E-2</v>
      </c>
    </row>
    <row r="7" spans="2:12">
      <c r="C7" s="103" t="s">
        <v>30</v>
      </c>
      <c r="D7" s="104">
        <f>GETPIVOTDATA("Hotelero",'[1]Evolución mensual zonas y categ'!$A$111,"AÑO",2009)</f>
        <v>1605820</v>
      </c>
      <c r="E7" s="105">
        <f>D7/D6</f>
        <v>0.58851511913086441</v>
      </c>
      <c r="F7" s="104">
        <f>GETPIVOTDATA("Hotelero",'[1]Evolución mensual zonas y categ'!$A$111,"AÑO",2010)</f>
        <v>1677828</v>
      </c>
      <c r="G7" s="105">
        <f>F7/F6</f>
        <v>0.60654769931093022</v>
      </c>
      <c r="H7" s="106">
        <f>(F7-D7)/D7</f>
        <v>4.48418876337323E-2</v>
      </c>
    </row>
    <row r="8" spans="2:12">
      <c r="C8" s="103" t="s">
        <v>31</v>
      </c>
      <c r="D8" s="104">
        <f>GETPIVOTDATA("Extrahotelero",'[1]Evolución mensual zonas y categ'!$A$111,"AÑO",2009)</f>
        <v>1122776</v>
      </c>
      <c r="E8" s="105">
        <f>D8/D6</f>
        <v>0.41148488086913565</v>
      </c>
      <c r="F8" s="104">
        <f>GETPIVOTDATA("Extrahotelero",'[1]Evolución mensual zonas y categ'!$A$111,"AÑO",2010)</f>
        <v>1088365</v>
      </c>
      <c r="G8" s="105">
        <f>F8/F6</f>
        <v>0.39345230068906978</v>
      </c>
      <c r="H8" s="106">
        <f>(F8-D8)/D8</f>
        <v>-3.0648143529965016E-2</v>
      </c>
    </row>
    <row r="9" spans="2:12" ht="15" customHeight="1">
      <c r="C9" s="98" t="s">
        <v>89</v>
      </c>
      <c r="D9" s="107"/>
      <c r="E9" s="107"/>
      <c r="F9" s="107"/>
      <c r="G9" s="107"/>
      <c r="H9" s="108"/>
    </row>
    <row r="10" spans="2:12">
      <c r="C10" s="109" t="s">
        <v>29</v>
      </c>
      <c r="D10" s="38">
        <f>GETPIVOTDATA("dato",'[1]Evolución mensual zonas y categ'!$A$70,"categoría","TOTAL","año",2009)</f>
        <v>95588</v>
      </c>
      <c r="E10" s="110">
        <f>D10/D10</f>
        <v>1</v>
      </c>
      <c r="F10" s="38">
        <f>GETPIVOTDATA("dato",'[1]Evolución mensual zonas y categ'!$A$70,"categoría","TOTAL","año",2010)</f>
        <v>92816</v>
      </c>
      <c r="G10" s="110">
        <f>F10/F10</f>
        <v>1</v>
      </c>
      <c r="H10" s="111">
        <f>(F10-D10)/D10</f>
        <v>-2.8999455998660918E-2</v>
      </c>
    </row>
    <row r="11" spans="2:12">
      <c r="C11" s="109" t="s">
        <v>30</v>
      </c>
      <c r="D11" s="38">
        <f>GETPIVOTDATA("dato",'[1]Evolución mensual zonas y categ'!$A$70,"categoría","HOTELEROS","año",2009)</f>
        <v>95588</v>
      </c>
      <c r="E11" s="39">
        <f>D11/D10</f>
        <v>1</v>
      </c>
      <c r="F11" s="38">
        <f>GETPIVOTDATA("dato",'[1]Evolución mensual zonas y categ'!$A$70,"categoría","HOTELEROS","año",2010)</f>
        <v>92816</v>
      </c>
      <c r="G11" s="39">
        <f>F11/F10</f>
        <v>1</v>
      </c>
      <c r="H11" s="111">
        <f>(F11-D11)/D11</f>
        <v>-2.8999455998660918E-2</v>
      </c>
    </row>
    <row r="12" spans="2:12">
      <c r="C12" s="109" t="s">
        <v>31</v>
      </c>
      <c r="D12" s="112">
        <f>GETPIVOTDATA("dato",'[1]Evolución mensual zonas y categ'!$A$70,"categoría","EXTRAHOTELEROS","año",2009)</f>
        <v>0</v>
      </c>
      <c r="E12" s="41">
        <f>D12/D10</f>
        <v>0</v>
      </c>
      <c r="F12" s="112">
        <f>GETPIVOTDATA("dato",'[1]Evolución mensual zonas y categ'!$A$70,"categoría","EXTRAHOTELEROS","año",2010)</f>
        <v>0</v>
      </c>
      <c r="G12" s="41">
        <f>F12/F10</f>
        <v>0</v>
      </c>
      <c r="H12" s="111" t="e">
        <f>(F12-D12)/D12</f>
        <v>#DIV/0!</v>
      </c>
    </row>
    <row r="13" spans="2:12">
      <c r="C13" s="113" t="s">
        <v>90</v>
      </c>
      <c r="D13" s="114"/>
      <c r="E13" s="114"/>
      <c r="F13" s="114"/>
      <c r="G13" s="114"/>
      <c r="H13" s="115"/>
    </row>
    <row r="14" spans="2:12" ht="15" customHeight="1" thickBot="1"/>
    <row r="15" spans="2:12" ht="30" customHeight="1" thickBot="1">
      <c r="H15" s="60" t="s">
        <v>50</v>
      </c>
    </row>
    <row r="16" spans="2:12" ht="24.95" customHeight="1">
      <c r="B16" s="46"/>
      <c r="C16" s="116"/>
      <c r="D16" s="46"/>
      <c r="E16" s="46"/>
      <c r="F16" s="46"/>
      <c r="G16" s="46"/>
      <c r="H16" s="46"/>
      <c r="I16" s="46"/>
      <c r="J16" s="46"/>
      <c r="K16" s="46"/>
      <c r="L16" s="46"/>
    </row>
  </sheetData>
  <mergeCells count="2">
    <mergeCell ref="C3:H3"/>
    <mergeCell ref="C13:H13"/>
  </mergeCells>
  <hyperlinks>
    <hyperlink ref="H15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8" min="2" max="4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4.5703125" style="23" customWidth="1"/>
    <col min="2" max="8" width="11.42578125" style="23"/>
    <col min="9" max="9" width="14" style="23" customWidth="1"/>
    <col min="10" max="42" width="11.42578125" style="23"/>
    <col min="43" max="43" width="36.7109375" style="23" customWidth="1"/>
    <col min="44" max="44" width="12.7109375" style="23" customWidth="1"/>
    <col min="45" max="45" width="10.7109375" style="23" customWidth="1"/>
    <col min="46" max="46" width="12.7109375" style="23" customWidth="1"/>
    <col min="47" max="48" width="10.7109375" style="23" customWidth="1"/>
    <col min="49" max="55" width="11.42578125" style="23"/>
    <col min="56" max="56" width="13.28515625" style="23" customWidth="1"/>
    <col min="57" max="298" width="11.42578125" style="23"/>
    <col min="299" max="299" width="36.7109375" style="23" customWidth="1"/>
    <col min="300" max="300" width="12.7109375" style="23" customWidth="1"/>
    <col min="301" max="301" width="10.7109375" style="23" customWidth="1"/>
    <col min="302" max="302" width="12.7109375" style="23" customWidth="1"/>
    <col min="303" max="304" width="10.7109375" style="23" customWidth="1"/>
    <col min="305" max="311" width="11.42578125" style="23"/>
    <col min="312" max="312" width="13.28515625" style="23" customWidth="1"/>
    <col min="313" max="554" width="11.42578125" style="23"/>
    <col min="555" max="555" width="36.7109375" style="23" customWidth="1"/>
    <col min="556" max="556" width="12.7109375" style="23" customWidth="1"/>
    <col min="557" max="557" width="10.7109375" style="23" customWidth="1"/>
    <col min="558" max="558" width="12.7109375" style="23" customWidth="1"/>
    <col min="559" max="560" width="10.7109375" style="23" customWidth="1"/>
    <col min="561" max="567" width="11.42578125" style="23"/>
    <col min="568" max="568" width="13.28515625" style="23" customWidth="1"/>
    <col min="569" max="810" width="11.42578125" style="23"/>
    <col min="811" max="811" width="36.7109375" style="23" customWidth="1"/>
    <col min="812" max="812" width="12.7109375" style="23" customWidth="1"/>
    <col min="813" max="813" width="10.7109375" style="23" customWidth="1"/>
    <col min="814" max="814" width="12.7109375" style="23" customWidth="1"/>
    <col min="815" max="816" width="10.7109375" style="23" customWidth="1"/>
    <col min="817" max="823" width="11.42578125" style="23"/>
    <col min="824" max="824" width="13.28515625" style="23" customWidth="1"/>
    <col min="825" max="1066" width="11.42578125" style="23"/>
    <col min="1067" max="1067" width="36.7109375" style="23" customWidth="1"/>
    <col min="1068" max="1068" width="12.7109375" style="23" customWidth="1"/>
    <col min="1069" max="1069" width="10.7109375" style="23" customWidth="1"/>
    <col min="1070" max="1070" width="12.7109375" style="23" customWidth="1"/>
    <col min="1071" max="1072" width="10.7109375" style="23" customWidth="1"/>
    <col min="1073" max="1079" width="11.42578125" style="23"/>
    <col min="1080" max="1080" width="13.28515625" style="23" customWidth="1"/>
    <col min="1081" max="1322" width="11.42578125" style="23"/>
    <col min="1323" max="1323" width="36.7109375" style="23" customWidth="1"/>
    <col min="1324" max="1324" width="12.7109375" style="23" customWidth="1"/>
    <col min="1325" max="1325" width="10.7109375" style="23" customWidth="1"/>
    <col min="1326" max="1326" width="12.7109375" style="23" customWidth="1"/>
    <col min="1327" max="1328" width="10.7109375" style="23" customWidth="1"/>
    <col min="1329" max="1335" width="11.42578125" style="23"/>
    <col min="1336" max="1336" width="13.28515625" style="23" customWidth="1"/>
    <col min="1337" max="1578" width="11.42578125" style="23"/>
    <col min="1579" max="1579" width="36.7109375" style="23" customWidth="1"/>
    <col min="1580" max="1580" width="12.7109375" style="23" customWidth="1"/>
    <col min="1581" max="1581" width="10.7109375" style="23" customWidth="1"/>
    <col min="1582" max="1582" width="12.7109375" style="23" customWidth="1"/>
    <col min="1583" max="1584" width="10.7109375" style="23" customWidth="1"/>
    <col min="1585" max="1591" width="11.42578125" style="23"/>
    <col min="1592" max="1592" width="13.28515625" style="23" customWidth="1"/>
    <col min="1593" max="1834" width="11.42578125" style="23"/>
    <col min="1835" max="1835" width="36.7109375" style="23" customWidth="1"/>
    <col min="1836" max="1836" width="12.7109375" style="23" customWidth="1"/>
    <col min="1837" max="1837" width="10.7109375" style="23" customWidth="1"/>
    <col min="1838" max="1838" width="12.7109375" style="23" customWidth="1"/>
    <col min="1839" max="1840" width="10.7109375" style="23" customWidth="1"/>
    <col min="1841" max="1847" width="11.42578125" style="23"/>
    <col min="1848" max="1848" width="13.28515625" style="23" customWidth="1"/>
    <col min="1849" max="2090" width="11.42578125" style="23"/>
    <col min="2091" max="2091" width="36.7109375" style="23" customWidth="1"/>
    <col min="2092" max="2092" width="12.7109375" style="23" customWidth="1"/>
    <col min="2093" max="2093" width="10.7109375" style="23" customWidth="1"/>
    <col min="2094" max="2094" width="12.7109375" style="23" customWidth="1"/>
    <col min="2095" max="2096" width="10.7109375" style="23" customWidth="1"/>
    <col min="2097" max="2103" width="11.42578125" style="23"/>
    <col min="2104" max="2104" width="13.28515625" style="23" customWidth="1"/>
    <col min="2105" max="2346" width="11.42578125" style="23"/>
    <col min="2347" max="2347" width="36.7109375" style="23" customWidth="1"/>
    <col min="2348" max="2348" width="12.7109375" style="23" customWidth="1"/>
    <col min="2349" max="2349" width="10.7109375" style="23" customWidth="1"/>
    <col min="2350" max="2350" width="12.7109375" style="23" customWidth="1"/>
    <col min="2351" max="2352" width="10.7109375" style="23" customWidth="1"/>
    <col min="2353" max="2359" width="11.42578125" style="23"/>
    <col min="2360" max="2360" width="13.28515625" style="23" customWidth="1"/>
    <col min="2361" max="2602" width="11.42578125" style="23"/>
    <col min="2603" max="2603" width="36.7109375" style="23" customWidth="1"/>
    <col min="2604" max="2604" width="12.7109375" style="23" customWidth="1"/>
    <col min="2605" max="2605" width="10.7109375" style="23" customWidth="1"/>
    <col min="2606" max="2606" width="12.7109375" style="23" customWidth="1"/>
    <col min="2607" max="2608" width="10.7109375" style="23" customWidth="1"/>
    <col min="2609" max="2615" width="11.42578125" style="23"/>
    <col min="2616" max="2616" width="13.28515625" style="23" customWidth="1"/>
    <col min="2617" max="2858" width="11.42578125" style="23"/>
    <col min="2859" max="2859" width="36.7109375" style="23" customWidth="1"/>
    <col min="2860" max="2860" width="12.7109375" style="23" customWidth="1"/>
    <col min="2861" max="2861" width="10.7109375" style="23" customWidth="1"/>
    <col min="2862" max="2862" width="12.7109375" style="23" customWidth="1"/>
    <col min="2863" max="2864" width="10.7109375" style="23" customWidth="1"/>
    <col min="2865" max="2871" width="11.42578125" style="23"/>
    <col min="2872" max="2872" width="13.28515625" style="23" customWidth="1"/>
    <col min="2873" max="3114" width="11.42578125" style="23"/>
    <col min="3115" max="3115" width="36.7109375" style="23" customWidth="1"/>
    <col min="3116" max="3116" width="12.7109375" style="23" customWidth="1"/>
    <col min="3117" max="3117" width="10.7109375" style="23" customWidth="1"/>
    <col min="3118" max="3118" width="12.7109375" style="23" customWidth="1"/>
    <col min="3119" max="3120" width="10.7109375" style="23" customWidth="1"/>
    <col min="3121" max="3127" width="11.42578125" style="23"/>
    <col min="3128" max="3128" width="13.28515625" style="23" customWidth="1"/>
    <col min="3129" max="3370" width="11.42578125" style="23"/>
    <col min="3371" max="3371" width="36.7109375" style="23" customWidth="1"/>
    <col min="3372" max="3372" width="12.7109375" style="23" customWidth="1"/>
    <col min="3373" max="3373" width="10.7109375" style="23" customWidth="1"/>
    <col min="3374" max="3374" width="12.7109375" style="23" customWidth="1"/>
    <col min="3375" max="3376" width="10.7109375" style="23" customWidth="1"/>
    <col min="3377" max="3383" width="11.42578125" style="23"/>
    <col min="3384" max="3384" width="13.28515625" style="23" customWidth="1"/>
    <col min="3385" max="3626" width="11.42578125" style="23"/>
    <col min="3627" max="3627" width="36.7109375" style="23" customWidth="1"/>
    <col min="3628" max="3628" width="12.7109375" style="23" customWidth="1"/>
    <col min="3629" max="3629" width="10.7109375" style="23" customWidth="1"/>
    <col min="3630" max="3630" width="12.7109375" style="23" customWidth="1"/>
    <col min="3631" max="3632" width="10.7109375" style="23" customWidth="1"/>
    <col min="3633" max="3639" width="11.42578125" style="23"/>
    <col min="3640" max="3640" width="13.28515625" style="23" customWidth="1"/>
    <col min="3641" max="3882" width="11.42578125" style="23"/>
    <col min="3883" max="3883" width="36.7109375" style="23" customWidth="1"/>
    <col min="3884" max="3884" width="12.7109375" style="23" customWidth="1"/>
    <col min="3885" max="3885" width="10.7109375" style="23" customWidth="1"/>
    <col min="3886" max="3886" width="12.7109375" style="23" customWidth="1"/>
    <col min="3887" max="3888" width="10.7109375" style="23" customWidth="1"/>
    <col min="3889" max="3895" width="11.42578125" style="23"/>
    <col min="3896" max="3896" width="13.28515625" style="23" customWidth="1"/>
    <col min="3897" max="4138" width="11.42578125" style="23"/>
    <col min="4139" max="4139" width="36.7109375" style="23" customWidth="1"/>
    <col min="4140" max="4140" width="12.7109375" style="23" customWidth="1"/>
    <col min="4141" max="4141" width="10.7109375" style="23" customWidth="1"/>
    <col min="4142" max="4142" width="12.7109375" style="23" customWidth="1"/>
    <col min="4143" max="4144" width="10.7109375" style="23" customWidth="1"/>
    <col min="4145" max="4151" width="11.42578125" style="23"/>
    <col min="4152" max="4152" width="13.28515625" style="23" customWidth="1"/>
    <col min="4153" max="4394" width="11.42578125" style="23"/>
    <col min="4395" max="4395" width="36.7109375" style="23" customWidth="1"/>
    <col min="4396" max="4396" width="12.7109375" style="23" customWidth="1"/>
    <col min="4397" max="4397" width="10.7109375" style="23" customWidth="1"/>
    <col min="4398" max="4398" width="12.7109375" style="23" customWidth="1"/>
    <col min="4399" max="4400" width="10.7109375" style="23" customWidth="1"/>
    <col min="4401" max="4407" width="11.42578125" style="23"/>
    <col min="4408" max="4408" width="13.28515625" style="23" customWidth="1"/>
    <col min="4409" max="4650" width="11.42578125" style="23"/>
    <col min="4651" max="4651" width="36.7109375" style="23" customWidth="1"/>
    <col min="4652" max="4652" width="12.7109375" style="23" customWidth="1"/>
    <col min="4653" max="4653" width="10.7109375" style="23" customWidth="1"/>
    <col min="4654" max="4654" width="12.7109375" style="23" customWidth="1"/>
    <col min="4655" max="4656" width="10.7109375" style="23" customWidth="1"/>
    <col min="4657" max="4663" width="11.42578125" style="23"/>
    <col min="4664" max="4664" width="13.28515625" style="23" customWidth="1"/>
    <col min="4665" max="4906" width="11.42578125" style="23"/>
    <col min="4907" max="4907" width="36.7109375" style="23" customWidth="1"/>
    <col min="4908" max="4908" width="12.7109375" style="23" customWidth="1"/>
    <col min="4909" max="4909" width="10.7109375" style="23" customWidth="1"/>
    <col min="4910" max="4910" width="12.7109375" style="23" customWidth="1"/>
    <col min="4911" max="4912" width="10.7109375" style="23" customWidth="1"/>
    <col min="4913" max="4919" width="11.42578125" style="23"/>
    <col min="4920" max="4920" width="13.28515625" style="23" customWidth="1"/>
    <col min="4921" max="5162" width="11.42578125" style="23"/>
    <col min="5163" max="5163" width="36.7109375" style="23" customWidth="1"/>
    <col min="5164" max="5164" width="12.7109375" style="23" customWidth="1"/>
    <col min="5165" max="5165" width="10.7109375" style="23" customWidth="1"/>
    <col min="5166" max="5166" width="12.7109375" style="23" customWidth="1"/>
    <col min="5167" max="5168" width="10.7109375" style="23" customWidth="1"/>
    <col min="5169" max="5175" width="11.42578125" style="23"/>
    <col min="5176" max="5176" width="13.28515625" style="23" customWidth="1"/>
    <col min="5177" max="5418" width="11.42578125" style="23"/>
    <col min="5419" max="5419" width="36.7109375" style="23" customWidth="1"/>
    <col min="5420" max="5420" width="12.7109375" style="23" customWidth="1"/>
    <col min="5421" max="5421" width="10.7109375" style="23" customWidth="1"/>
    <col min="5422" max="5422" width="12.7109375" style="23" customWidth="1"/>
    <col min="5423" max="5424" width="10.7109375" style="23" customWidth="1"/>
    <col min="5425" max="5431" width="11.42578125" style="23"/>
    <col min="5432" max="5432" width="13.28515625" style="23" customWidth="1"/>
    <col min="5433" max="5674" width="11.42578125" style="23"/>
    <col min="5675" max="5675" width="36.7109375" style="23" customWidth="1"/>
    <col min="5676" max="5676" width="12.7109375" style="23" customWidth="1"/>
    <col min="5677" max="5677" width="10.7109375" style="23" customWidth="1"/>
    <col min="5678" max="5678" width="12.7109375" style="23" customWidth="1"/>
    <col min="5679" max="5680" width="10.7109375" style="23" customWidth="1"/>
    <col min="5681" max="5687" width="11.42578125" style="23"/>
    <col min="5688" max="5688" width="13.28515625" style="23" customWidth="1"/>
    <col min="5689" max="5930" width="11.42578125" style="23"/>
    <col min="5931" max="5931" width="36.7109375" style="23" customWidth="1"/>
    <col min="5932" max="5932" width="12.7109375" style="23" customWidth="1"/>
    <col min="5933" max="5933" width="10.7109375" style="23" customWidth="1"/>
    <col min="5934" max="5934" width="12.7109375" style="23" customWidth="1"/>
    <col min="5935" max="5936" width="10.7109375" style="23" customWidth="1"/>
    <col min="5937" max="5943" width="11.42578125" style="23"/>
    <col min="5944" max="5944" width="13.28515625" style="23" customWidth="1"/>
    <col min="5945" max="6186" width="11.42578125" style="23"/>
    <col min="6187" max="6187" width="36.7109375" style="23" customWidth="1"/>
    <col min="6188" max="6188" width="12.7109375" style="23" customWidth="1"/>
    <col min="6189" max="6189" width="10.7109375" style="23" customWidth="1"/>
    <col min="6190" max="6190" width="12.7109375" style="23" customWidth="1"/>
    <col min="6191" max="6192" width="10.7109375" style="23" customWidth="1"/>
    <col min="6193" max="6199" width="11.42578125" style="23"/>
    <col min="6200" max="6200" width="13.28515625" style="23" customWidth="1"/>
    <col min="6201" max="6442" width="11.42578125" style="23"/>
    <col min="6443" max="6443" width="36.7109375" style="23" customWidth="1"/>
    <col min="6444" max="6444" width="12.7109375" style="23" customWidth="1"/>
    <col min="6445" max="6445" width="10.7109375" style="23" customWidth="1"/>
    <col min="6446" max="6446" width="12.7109375" style="23" customWidth="1"/>
    <col min="6447" max="6448" width="10.7109375" style="23" customWidth="1"/>
    <col min="6449" max="6455" width="11.42578125" style="23"/>
    <col min="6456" max="6456" width="13.28515625" style="23" customWidth="1"/>
    <col min="6457" max="6698" width="11.42578125" style="23"/>
    <col min="6699" max="6699" width="36.7109375" style="23" customWidth="1"/>
    <col min="6700" max="6700" width="12.7109375" style="23" customWidth="1"/>
    <col min="6701" max="6701" width="10.7109375" style="23" customWidth="1"/>
    <col min="6702" max="6702" width="12.7109375" style="23" customWidth="1"/>
    <col min="6703" max="6704" width="10.7109375" style="23" customWidth="1"/>
    <col min="6705" max="6711" width="11.42578125" style="23"/>
    <col min="6712" max="6712" width="13.28515625" style="23" customWidth="1"/>
    <col min="6713" max="6954" width="11.42578125" style="23"/>
    <col min="6955" max="6955" width="36.7109375" style="23" customWidth="1"/>
    <col min="6956" max="6956" width="12.7109375" style="23" customWidth="1"/>
    <col min="6957" max="6957" width="10.7109375" style="23" customWidth="1"/>
    <col min="6958" max="6958" width="12.7109375" style="23" customWidth="1"/>
    <col min="6959" max="6960" width="10.7109375" style="23" customWidth="1"/>
    <col min="6961" max="6967" width="11.42578125" style="23"/>
    <col min="6968" max="6968" width="13.28515625" style="23" customWidth="1"/>
    <col min="6969" max="7210" width="11.42578125" style="23"/>
    <col min="7211" max="7211" width="36.7109375" style="23" customWidth="1"/>
    <col min="7212" max="7212" width="12.7109375" style="23" customWidth="1"/>
    <col min="7213" max="7213" width="10.7109375" style="23" customWidth="1"/>
    <col min="7214" max="7214" width="12.7109375" style="23" customWidth="1"/>
    <col min="7215" max="7216" width="10.7109375" style="23" customWidth="1"/>
    <col min="7217" max="7223" width="11.42578125" style="23"/>
    <col min="7224" max="7224" width="13.28515625" style="23" customWidth="1"/>
    <col min="7225" max="7466" width="11.42578125" style="23"/>
    <col min="7467" max="7467" width="36.7109375" style="23" customWidth="1"/>
    <col min="7468" max="7468" width="12.7109375" style="23" customWidth="1"/>
    <col min="7469" max="7469" width="10.7109375" style="23" customWidth="1"/>
    <col min="7470" max="7470" width="12.7109375" style="23" customWidth="1"/>
    <col min="7471" max="7472" width="10.7109375" style="23" customWidth="1"/>
    <col min="7473" max="7479" width="11.42578125" style="23"/>
    <col min="7480" max="7480" width="13.28515625" style="23" customWidth="1"/>
    <col min="7481" max="7722" width="11.42578125" style="23"/>
    <col min="7723" max="7723" width="36.7109375" style="23" customWidth="1"/>
    <col min="7724" max="7724" width="12.7109375" style="23" customWidth="1"/>
    <col min="7725" max="7725" width="10.7109375" style="23" customWidth="1"/>
    <col min="7726" max="7726" width="12.7109375" style="23" customWidth="1"/>
    <col min="7727" max="7728" width="10.7109375" style="23" customWidth="1"/>
    <col min="7729" max="7735" width="11.42578125" style="23"/>
    <col min="7736" max="7736" width="13.28515625" style="23" customWidth="1"/>
    <col min="7737" max="7978" width="11.42578125" style="23"/>
    <col min="7979" max="7979" width="36.7109375" style="23" customWidth="1"/>
    <col min="7980" max="7980" width="12.7109375" style="23" customWidth="1"/>
    <col min="7981" max="7981" width="10.7109375" style="23" customWidth="1"/>
    <col min="7982" max="7982" width="12.7109375" style="23" customWidth="1"/>
    <col min="7983" max="7984" width="10.7109375" style="23" customWidth="1"/>
    <col min="7985" max="7991" width="11.42578125" style="23"/>
    <col min="7992" max="7992" width="13.28515625" style="23" customWidth="1"/>
    <col min="7993" max="8234" width="11.42578125" style="23"/>
    <col min="8235" max="8235" width="36.7109375" style="23" customWidth="1"/>
    <col min="8236" max="8236" width="12.7109375" style="23" customWidth="1"/>
    <col min="8237" max="8237" width="10.7109375" style="23" customWidth="1"/>
    <col min="8238" max="8238" width="12.7109375" style="23" customWidth="1"/>
    <col min="8239" max="8240" width="10.7109375" style="23" customWidth="1"/>
    <col min="8241" max="8247" width="11.42578125" style="23"/>
    <col min="8248" max="8248" width="13.28515625" style="23" customWidth="1"/>
    <col min="8249" max="8490" width="11.42578125" style="23"/>
    <col min="8491" max="8491" width="36.7109375" style="23" customWidth="1"/>
    <col min="8492" max="8492" width="12.7109375" style="23" customWidth="1"/>
    <col min="8493" max="8493" width="10.7109375" style="23" customWidth="1"/>
    <col min="8494" max="8494" width="12.7109375" style="23" customWidth="1"/>
    <col min="8495" max="8496" width="10.7109375" style="23" customWidth="1"/>
    <col min="8497" max="8503" width="11.42578125" style="23"/>
    <col min="8504" max="8504" width="13.28515625" style="23" customWidth="1"/>
    <col min="8505" max="8746" width="11.42578125" style="23"/>
    <col min="8747" max="8747" width="36.7109375" style="23" customWidth="1"/>
    <col min="8748" max="8748" width="12.7109375" style="23" customWidth="1"/>
    <col min="8749" max="8749" width="10.7109375" style="23" customWidth="1"/>
    <col min="8750" max="8750" width="12.7109375" style="23" customWidth="1"/>
    <col min="8751" max="8752" width="10.7109375" style="23" customWidth="1"/>
    <col min="8753" max="8759" width="11.42578125" style="23"/>
    <col min="8760" max="8760" width="13.28515625" style="23" customWidth="1"/>
    <col min="8761" max="9002" width="11.42578125" style="23"/>
    <col min="9003" max="9003" width="36.7109375" style="23" customWidth="1"/>
    <col min="9004" max="9004" width="12.7109375" style="23" customWidth="1"/>
    <col min="9005" max="9005" width="10.7109375" style="23" customWidth="1"/>
    <col min="9006" max="9006" width="12.7109375" style="23" customWidth="1"/>
    <col min="9007" max="9008" width="10.7109375" style="23" customWidth="1"/>
    <col min="9009" max="9015" width="11.42578125" style="23"/>
    <col min="9016" max="9016" width="13.28515625" style="23" customWidth="1"/>
    <col min="9017" max="9258" width="11.42578125" style="23"/>
    <col min="9259" max="9259" width="36.7109375" style="23" customWidth="1"/>
    <col min="9260" max="9260" width="12.7109375" style="23" customWidth="1"/>
    <col min="9261" max="9261" width="10.7109375" style="23" customWidth="1"/>
    <col min="9262" max="9262" width="12.7109375" style="23" customWidth="1"/>
    <col min="9263" max="9264" width="10.7109375" style="23" customWidth="1"/>
    <col min="9265" max="9271" width="11.42578125" style="23"/>
    <col min="9272" max="9272" width="13.28515625" style="23" customWidth="1"/>
    <col min="9273" max="9514" width="11.42578125" style="23"/>
    <col min="9515" max="9515" width="36.7109375" style="23" customWidth="1"/>
    <col min="9516" max="9516" width="12.7109375" style="23" customWidth="1"/>
    <col min="9517" max="9517" width="10.7109375" style="23" customWidth="1"/>
    <col min="9518" max="9518" width="12.7109375" style="23" customWidth="1"/>
    <col min="9519" max="9520" width="10.7109375" style="23" customWidth="1"/>
    <col min="9521" max="9527" width="11.42578125" style="23"/>
    <col min="9528" max="9528" width="13.28515625" style="23" customWidth="1"/>
    <col min="9529" max="9770" width="11.42578125" style="23"/>
    <col min="9771" max="9771" width="36.7109375" style="23" customWidth="1"/>
    <col min="9772" max="9772" width="12.7109375" style="23" customWidth="1"/>
    <col min="9773" max="9773" width="10.7109375" style="23" customWidth="1"/>
    <col min="9774" max="9774" width="12.7109375" style="23" customWidth="1"/>
    <col min="9775" max="9776" width="10.7109375" style="23" customWidth="1"/>
    <col min="9777" max="9783" width="11.42578125" style="23"/>
    <col min="9784" max="9784" width="13.28515625" style="23" customWidth="1"/>
    <col min="9785" max="10026" width="11.42578125" style="23"/>
    <col min="10027" max="10027" width="36.7109375" style="23" customWidth="1"/>
    <col min="10028" max="10028" width="12.7109375" style="23" customWidth="1"/>
    <col min="10029" max="10029" width="10.7109375" style="23" customWidth="1"/>
    <col min="10030" max="10030" width="12.7109375" style="23" customWidth="1"/>
    <col min="10031" max="10032" width="10.7109375" style="23" customWidth="1"/>
    <col min="10033" max="10039" width="11.42578125" style="23"/>
    <col min="10040" max="10040" width="13.28515625" style="23" customWidth="1"/>
    <col min="10041" max="10282" width="11.42578125" style="23"/>
    <col min="10283" max="10283" width="36.7109375" style="23" customWidth="1"/>
    <col min="10284" max="10284" width="12.7109375" style="23" customWidth="1"/>
    <col min="10285" max="10285" width="10.7109375" style="23" customWidth="1"/>
    <col min="10286" max="10286" width="12.7109375" style="23" customWidth="1"/>
    <col min="10287" max="10288" width="10.7109375" style="23" customWidth="1"/>
    <col min="10289" max="10295" width="11.42578125" style="23"/>
    <col min="10296" max="10296" width="13.28515625" style="23" customWidth="1"/>
    <col min="10297" max="10538" width="11.42578125" style="23"/>
    <col min="10539" max="10539" width="36.7109375" style="23" customWidth="1"/>
    <col min="10540" max="10540" width="12.7109375" style="23" customWidth="1"/>
    <col min="10541" max="10541" width="10.7109375" style="23" customWidth="1"/>
    <col min="10542" max="10542" width="12.7109375" style="23" customWidth="1"/>
    <col min="10543" max="10544" width="10.7109375" style="23" customWidth="1"/>
    <col min="10545" max="10551" width="11.42578125" style="23"/>
    <col min="10552" max="10552" width="13.28515625" style="23" customWidth="1"/>
    <col min="10553" max="10794" width="11.42578125" style="23"/>
    <col min="10795" max="10795" width="36.7109375" style="23" customWidth="1"/>
    <col min="10796" max="10796" width="12.7109375" style="23" customWidth="1"/>
    <col min="10797" max="10797" width="10.7109375" style="23" customWidth="1"/>
    <col min="10798" max="10798" width="12.7109375" style="23" customWidth="1"/>
    <col min="10799" max="10800" width="10.7109375" style="23" customWidth="1"/>
    <col min="10801" max="10807" width="11.42578125" style="23"/>
    <col min="10808" max="10808" width="13.28515625" style="23" customWidth="1"/>
    <col min="10809" max="11050" width="11.42578125" style="23"/>
    <col min="11051" max="11051" width="36.7109375" style="23" customWidth="1"/>
    <col min="11052" max="11052" width="12.7109375" style="23" customWidth="1"/>
    <col min="11053" max="11053" width="10.7109375" style="23" customWidth="1"/>
    <col min="11054" max="11054" width="12.7109375" style="23" customWidth="1"/>
    <col min="11055" max="11056" width="10.7109375" style="23" customWidth="1"/>
    <col min="11057" max="11063" width="11.42578125" style="23"/>
    <col min="11064" max="11064" width="13.28515625" style="23" customWidth="1"/>
    <col min="11065" max="11306" width="11.42578125" style="23"/>
    <col min="11307" max="11307" width="36.7109375" style="23" customWidth="1"/>
    <col min="11308" max="11308" width="12.7109375" style="23" customWidth="1"/>
    <col min="11309" max="11309" width="10.7109375" style="23" customWidth="1"/>
    <col min="11310" max="11310" width="12.7109375" style="23" customWidth="1"/>
    <col min="11311" max="11312" width="10.7109375" style="23" customWidth="1"/>
    <col min="11313" max="11319" width="11.42578125" style="23"/>
    <col min="11320" max="11320" width="13.28515625" style="23" customWidth="1"/>
    <col min="11321" max="11562" width="11.42578125" style="23"/>
    <col min="11563" max="11563" width="36.7109375" style="23" customWidth="1"/>
    <col min="11564" max="11564" width="12.7109375" style="23" customWidth="1"/>
    <col min="11565" max="11565" width="10.7109375" style="23" customWidth="1"/>
    <col min="11566" max="11566" width="12.7109375" style="23" customWidth="1"/>
    <col min="11567" max="11568" width="10.7109375" style="23" customWidth="1"/>
    <col min="11569" max="11575" width="11.42578125" style="23"/>
    <col min="11576" max="11576" width="13.28515625" style="23" customWidth="1"/>
    <col min="11577" max="11818" width="11.42578125" style="23"/>
    <col min="11819" max="11819" width="36.7109375" style="23" customWidth="1"/>
    <col min="11820" max="11820" width="12.7109375" style="23" customWidth="1"/>
    <col min="11821" max="11821" width="10.7109375" style="23" customWidth="1"/>
    <col min="11822" max="11822" width="12.7109375" style="23" customWidth="1"/>
    <col min="11823" max="11824" width="10.7109375" style="23" customWidth="1"/>
    <col min="11825" max="11831" width="11.42578125" style="23"/>
    <col min="11832" max="11832" width="13.28515625" style="23" customWidth="1"/>
    <col min="11833" max="12074" width="11.42578125" style="23"/>
    <col min="12075" max="12075" width="36.7109375" style="23" customWidth="1"/>
    <col min="12076" max="12076" width="12.7109375" style="23" customWidth="1"/>
    <col min="12077" max="12077" width="10.7109375" style="23" customWidth="1"/>
    <col min="12078" max="12078" width="12.7109375" style="23" customWidth="1"/>
    <col min="12079" max="12080" width="10.7109375" style="23" customWidth="1"/>
    <col min="12081" max="12087" width="11.42578125" style="23"/>
    <col min="12088" max="12088" width="13.28515625" style="23" customWidth="1"/>
    <col min="12089" max="12330" width="11.42578125" style="23"/>
    <col min="12331" max="12331" width="36.7109375" style="23" customWidth="1"/>
    <col min="12332" max="12332" width="12.7109375" style="23" customWidth="1"/>
    <col min="12333" max="12333" width="10.7109375" style="23" customWidth="1"/>
    <col min="12334" max="12334" width="12.7109375" style="23" customWidth="1"/>
    <col min="12335" max="12336" width="10.7109375" style="23" customWidth="1"/>
    <col min="12337" max="12343" width="11.42578125" style="23"/>
    <col min="12344" max="12344" width="13.28515625" style="23" customWidth="1"/>
    <col min="12345" max="12586" width="11.42578125" style="23"/>
    <col min="12587" max="12587" width="36.7109375" style="23" customWidth="1"/>
    <col min="12588" max="12588" width="12.7109375" style="23" customWidth="1"/>
    <col min="12589" max="12589" width="10.7109375" style="23" customWidth="1"/>
    <col min="12590" max="12590" width="12.7109375" style="23" customWidth="1"/>
    <col min="12591" max="12592" width="10.7109375" style="23" customWidth="1"/>
    <col min="12593" max="12599" width="11.42578125" style="23"/>
    <col min="12600" max="12600" width="13.28515625" style="23" customWidth="1"/>
    <col min="12601" max="12842" width="11.42578125" style="23"/>
    <col min="12843" max="12843" width="36.7109375" style="23" customWidth="1"/>
    <col min="12844" max="12844" width="12.7109375" style="23" customWidth="1"/>
    <col min="12845" max="12845" width="10.7109375" style="23" customWidth="1"/>
    <col min="12846" max="12846" width="12.7109375" style="23" customWidth="1"/>
    <col min="12847" max="12848" width="10.7109375" style="23" customWidth="1"/>
    <col min="12849" max="12855" width="11.42578125" style="23"/>
    <col min="12856" max="12856" width="13.28515625" style="23" customWidth="1"/>
    <col min="12857" max="13098" width="11.42578125" style="23"/>
    <col min="13099" max="13099" width="36.7109375" style="23" customWidth="1"/>
    <col min="13100" max="13100" width="12.7109375" style="23" customWidth="1"/>
    <col min="13101" max="13101" width="10.7109375" style="23" customWidth="1"/>
    <col min="13102" max="13102" width="12.7109375" style="23" customWidth="1"/>
    <col min="13103" max="13104" width="10.7109375" style="23" customWidth="1"/>
    <col min="13105" max="13111" width="11.42578125" style="23"/>
    <col min="13112" max="13112" width="13.28515625" style="23" customWidth="1"/>
    <col min="13113" max="13354" width="11.42578125" style="23"/>
    <col min="13355" max="13355" width="36.7109375" style="23" customWidth="1"/>
    <col min="13356" max="13356" width="12.7109375" style="23" customWidth="1"/>
    <col min="13357" max="13357" width="10.7109375" style="23" customWidth="1"/>
    <col min="13358" max="13358" width="12.7109375" style="23" customWidth="1"/>
    <col min="13359" max="13360" width="10.7109375" style="23" customWidth="1"/>
    <col min="13361" max="13367" width="11.42578125" style="23"/>
    <col min="13368" max="13368" width="13.28515625" style="23" customWidth="1"/>
    <col min="13369" max="13610" width="11.42578125" style="23"/>
    <col min="13611" max="13611" width="36.7109375" style="23" customWidth="1"/>
    <col min="13612" max="13612" width="12.7109375" style="23" customWidth="1"/>
    <col min="13613" max="13613" width="10.7109375" style="23" customWidth="1"/>
    <col min="13614" max="13614" width="12.7109375" style="23" customWidth="1"/>
    <col min="13615" max="13616" width="10.7109375" style="23" customWidth="1"/>
    <col min="13617" max="13623" width="11.42578125" style="23"/>
    <col min="13624" max="13624" width="13.28515625" style="23" customWidth="1"/>
    <col min="13625" max="13866" width="11.42578125" style="23"/>
    <col min="13867" max="13867" width="36.7109375" style="23" customWidth="1"/>
    <col min="13868" max="13868" width="12.7109375" style="23" customWidth="1"/>
    <col min="13869" max="13869" width="10.7109375" style="23" customWidth="1"/>
    <col min="13870" max="13870" width="12.7109375" style="23" customWidth="1"/>
    <col min="13871" max="13872" width="10.7109375" style="23" customWidth="1"/>
    <col min="13873" max="13879" width="11.42578125" style="23"/>
    <col min="13880" max="13880" width="13.28515625" style="23" customWidth="1"/>
    <col min="13881" max="14122" width="11.42578125" style="23"/>
    <col min="14123" max="14123" width="36.7109375" style="23" customWidth="1"/>
    <col min="14124" max="14124" width="12.7109375" style="23" customWidth="1"/>
    <col min="14125" max="14125" width="10.7109375" style="23" customWidth="1"/>
    <col min="14126" max="14126" width="12.7109375" style="23" customWidth="1"/>
    <col min="14127" max="14128" width="10.7109375" style="23" customWidth="1"/>
    <col min="14129" max="14135" width="11.42578125" style="23"/>
    <col min="14136" max="14136" width="13.28515625" style="23" customWidth="1"/>
    <col min="14137" max="14378" width="11.42578125" style="23"/>
    <col min="14379" max="14379" width="36.7109375" style="23" customWidth="1"/>
    <col min="14380" max="14380" width="12.7109375" style="23" customWidth="1"/>
    <col min="14381" max="14381" width="10.7109375" style="23" customWidth="1"/>
    <col min="14382" max="14382" width="12.7109375" style="23" customWidth="1"/>
    <col min="14383" max="14384" width="10.7109375" style="23" customWidth="1"/>
    <col min="14385" max="14391" width="11.42578125" style="23"/>
    <col min="14392" max="14392" width="13.28515625" style="23" customWidth="1"/>
    <col min="14393" max="14634" width="11.42578125" style="23"/>
    <col min="14635" max="14635" width="36.7109375" style="23" customWidth="1"/>
    <col min="14636" max="14636" width="12.7109375" style="23" customWidth="1"/>
    <col min="14637" max="14637" width="10.7109375" style="23" customWidth="1"/>
    <col min="14638" max="14638" width="12.7109375" style="23" customWidth="1"/>
    <col min="14639" max="14640" width="10.7109375" style="23" customWidth="1"/>
    <col min="14641" max="14647" width="11.42578125" style="23"/>
    <col min="14648" max="14648" width="13.28515625" style="23" customWidth="1"/>
    <col min="14649" max="14890" width="11.42578125" style="23"/>
    <col min="14891" max="14891" width="36.7109375" style="23" customWidth="1"/>
    <col min="14892" max="14892" width="12.7109375" style="23" customWidth="1"/>
    <col min="14893" max="14893" width="10.7109375" style="23" customWidth="1"/>
    <col min="14894" max="14894" width="12.7109375" style="23" customWidth="1"/>
    <col min="14895" max="14896" width="10.7109375" style="23" customWidth="1"/>
    <col min="14897" max="14903" width="11.42578125" style="23"/>
    <col min="14904" max="14904" width="13.28515625" style="23" customWidth="1"/>
    <col min="14905" max="15146" width="11.42578125" style="23"/>
    <col min="15147" max="15147" width="36.7109375" style="23" customWidth="1"/>
    <col min="15148" max="15148" width="12.7109375" style="23" customWidth="1"/>
    <col min="15149" max="15149" width="10.7109375" style="23" customWidth="1"/>
    <col min="15150" max="15150" width="12.7109375" style="23" customWidth="1"/>
    <col min="15151" max="15152" width="10.7109375" style="23" customWidth="1"/>
    <col min="15153" max="15159" width="11.42578125" style="23"/>
    <col min="15160" max="15160" width="13.28515625" style="23" customWidth="1"/>
    <col min="15161" max="15402" width="11.42578125" style="23"/>
    <col min="15403" max="15403" width="36.7109375" style="23" customWidth="1"/>
    <col min="15404" max="15404" width="12.7109375" style="23" customWidth="1"/>
    <col min="15405" max="15405" width="10.7109375" style="23" customWidth="1"/>
    <col min="15406" max="15406" width="12.7109375" style="23" customWidth="1"/>
    <col min="15407" max="15408" width="10.7109375" style="23" customWidth="1"/>
    <col min="15409" max="15415" width="11.42578125" style="23"/>
    <col min="15416" max="15416" width="13.28515625" style="23" customWidth="1"/>
    <col min="15417" max="15658" width="11.42578125" style="23"/>
    <col min="15659" max="15659" width="36.7109375" style="23" customWidth="1"/>
    <col min="15660" max="15660" width="12.7109375" style="23" customWidth="1"/>
    <col min="15661" max="15661" width="10.7109375" style="23" customWidth="1"/>
    <col min="15662" max="15662" width="12.7109375" style="23" customWidth="1"/>
    <col min="15663" max="15664" width="10.7109375" style="23" customWidth="1"/>
    <col min="15665" max="15671" width="11.42578125" style="23"/>
    <col min="15672" max="15672" width="13.28515625" style="23" customWidth="1"/>
    <col min="15673" max="15914" width="11.42578125" style="23"/>
    <col min="15915" max="15915" width="36.7109375" style="23" customWidth="1"/>
    <col min="15916" max="15916" width="12.7109375" style="23" customWidth="1"/>
    <col min="15917" max="15917" width="10.7109375" style="23" customWidth="1"/>
    <col min="15918" max="15918" width="12.7109375" style="23" customWidth="1"/>
    <col min="15919" max="15920" width="10.7109375" style="23" customWidth="1"/>
    <col min="15921" max="15927" width="11.42578125" style="23"/>
    <col min="15928" max="15928" width="13.28515625" style="23" customWidth="1"/>
    <col min="15929" max="16170" width="11.42578125" style="23"/>
    <col min="16171" max="16171" width="36.7109375" style="23" customWidth="1"/>
    <col min="16172" max="16172" width="12.7109375" style="23" customWidth="1"/>
    <col min="16173" max="16173" width="10.7109375" style="23" customWidth="1"/>
    <col min="16174" max="16174" width="12.7109375" style="23" customWidth="1"/>
    <col min="16175" max="16176" width="10.7109375" style="23" customWidth="1"/>
    <col min="16177" max="16183" width="11.42578125" style="23"/>
    <col min="16184" max="16184" width="13.28515625" style="23" customWidth="1"/>
    <col min="16185" max="16384" width="11.42578125" style="23"/>
  </cols>
  <sheetData>
    <row r="2" spans="41:41" ht="22.5" customHeight="1"/>
    <row r="3" spans="41:41" ht="24.75" customHeight="1"/>
    <row r="4" spans="41:41">
      <c r="AO4" s="117"/>
    </row>
    <row r="6" spans="41:41">
      <c r="AO6" s="117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60" t="s">
        <v>52</v>
      </c>
    </row>
    <row r="27" spans="2:12" ht="36.75" customHeight="1"/>
    <row r="28" spans="2:12"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</row>
    <row r="30" spans="2:12">
      <c r="B30" s="118"/>
      <c r="C30" s="118"/>
      <c r="D30" s="11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C2:I72"/>
  <sheetViews>
    <sheetView showGridLines="0" showRowColHeaders="0" topLeftCell="B1" zoomScaleNormal="100" workbookViewId="0">
      <selection activeCell="I13" sqref="I13"/>
    </sheetView>
  </sheetViews>
  <sheetFormatPr baseColWidth="10" defaultRowHeight="15" outlineLevelRow="1"/>
  <cols>
    <col min="1" max="1" width="14.7109375" style="120" customWidth="1"/>
    <col min="2" max="3" width="11.42578125" style="120"/>
    <col min="4" max="9" width="13.85546875" style="120" customWidth="1"/>
    <col min="10" max="16384" width="11.42578125" style="120"/>
  </cols>
  <sheetData>
    <row r="2" spans="3:9" ht="44.25" customHeight="1"/>
    <row r="3" spans="3:9" ht="27" customHeight="1">
      <c r="C3" s="121" t="s">
        <v>91</v>
      </c>
      <c r="D3" s="121"/>
      <c r="E3" s="121"/>
      <c r="F3" s="121"/>
      <c r="G3" s="121"/>
      <c r="H3" s="121"/>
      <c r="I3" s="121"/>
    </row>
    <row r="4" spans="3:9" s="125" customFormat="1" ht="24.75" customHeight="1">
      <c r="C4" s="122"/>
      <c r="D4" s="123" t="s">
        <v>89</v>
      </c>
      <c r="E4" s="124"/>
      <c r="F4" s="124"/>
      <c r="G4" s="123" t="s">
        <v>92</v>
      </c>
      <c r="H4" s="124"/>
      <c r="I4" s="124"/>
    </row>
    <row r="5" spans="3:9" s="125" customFormat="1" ht="30">
      <c r="C5" s="126"/>
      <c r="D5" s="127" t="s">
        <v>93</v>
      </c>
      <c r="E5" s="127" t="s">
        <v>94</v>
      </c>
      <c r="F5" s="127" t="s">
        <v>70</v>
      </c>
      <c r="G5" s="127" t="s">
        <v>95</v>
      </c>
      <c r="H5" s="127" t="s">
        <v>94</v>
      </c>
      <c r="I5" s="127" t="s">
        <v>37</v>
      </c>
    </row>
    <row r="6" spans="3:9" hidden="1">
      <c r="C6" s="51" t="s">
        <v>38</v>
      </c>
      <c r="D6" s="128" t="e">
        <f>GETPIVOTDATA("dato",'[1]Turistas zona y tipología'!$I$4,"categoría","Hoteleros","mes",12,"año",2010)</f>
        <v>#REF!</v>
      </c>
      <c r="E6" s="128" t="e">
        <f>GETPIVOTDATA("dato",'[1]Turistas zona y tipología'!$I$4,"categoría","EXTRAHOTELEROS","mes",12,"año",2010)</f>
        <v>#REF!</v>
      </c>
      <c r="F6" s="128" t="e">
        <f>GETPIVOTDATA("dato",'[1]Turistas zona y tipología'!$I$4,"categoría","TOTAL","mes",12,"año",2010)</f>
        <v>#REF!</v>
      </c>
      <c r="G6" s="128" t="e">
        <f>GETPIVOTDATA("Total Hotel",'[1]Turistas zona y tipología'!$A$4,"MES",12,"AÑO",2010)</f>
        <v>#REF!</v>
      </c>
      <c r="H6" s="128" t="e">
        <f>GETPIVOTDATA("  Total Extrahoteleros",'[1]Turistas zona y tipología'!$A$4,"MES",12,"AÑO",2010)</f>
        <v>#REF!</v>
      </c>
      <c r="I6" s="128" t="e">
        <f>GETPIVOTDATA(" TOTAL GENERAL",'[1]Turistas zona y tipología'!$A$4,"MES",12,"AÑO",2010)</f>
        <v>#REF!</v>
      </c>
    </row>
    <row r="7" spans="3:9" hidden="1">
      <c r="C7" s="51" t="s">
        <v>39</v>
      </c>
      <c r="D7" s="128" t="e">
        <f>GETPIVOTDATA("dato",'[1]Turistas zona y tipología'!$I$4,"categoría","Hoteleros","mes",11,"año",2010)</f>
        <v>#REF!</v>
      </c>
      <c r="E7" s="128" t="e">
        <f>GETPIVOTDATA("dato",'[1]Turistas zona y tipología'!$I$4,"categoría","EXTRAHOTELEROS","mes",11,"año",2010)</f>
        <v>#REF!</v>
      </c>
      <c r="F7" s="128" t="e">
        <f>GETPIVOTDATA("dato",'[1]Turistas zona y tipología'!$I$4,"categoría","TOTAL","mes",11,"año",2010)</f>
        <v>#REF!</v>
      </c>
      <c r="G7" s="128" t="e">
        <f>GETPIVOTDATA("Total Hotel",'[1]Turistas zona y tipología'!$A$4,"MES",11,"AÑO",2010)</f>
        <v>#REF!</v>
      </c>
      <c r="H7" s="128" t="e">
        <f>GETPIVOTDATA("  Total Extrahoteleros",'[1]Turistas zona y tipología'!$A$4,"MES",11,"AÑO",2010)</f>
        <v>#REF!</v>
      </c>
      <c r="I7" s="128" t="e">
        <f>GETPIVOTDATA(" TOTAL GENERAL",'[1]Turistas zona y tipología'!$A$4,"MES",11,"AÑO",2010)</f>
        <v>#REF!</v>
      </c>
    </row>
    <row r="8" spans="3:9" hidden="1">
      <c r="C8" s="51" t="s">
        <v>40</v>
      </c>
      <c r="D8" s="128" t="e">
        <f>GETPIVOTDATA("dato",'[1]Turistas zona y tipología'!$I$4,"categoría","Hoteleros","mes",10,"año",2010)</f>
        <v>#REF!</v>
      </c>
      <c r="E8" s="128" t="e">
        <f>GETPIVOTDATA("dato",'[1]Turistas zona y tipología'!$I$4,"categoría","EXTRAHOTELEROS","mes",10,"año",2010)</f>
        <v>#REF!</v>
      </c>
      <c r="F8" s="128" t="e">
        <f>GETPIVOTDATA("dato",'[1]Turistas zona y tipología'!$I$4,"categoría","TOTAL","mes",10,"año",2010)</f>
        <v>#REF!</v>
      </c>
      <c r="G8" s="128" t="e">
        <f>GETPIVOTDATA("Total Hotel",'[1]Turistas zona y tipología'!$A$4,"MES",10,"AÑO",2010)</f>
        <v>#REF!</v>
      </c>
      <c r="H8" s="128" t="e">
        <f>GETPIVOTDATA("  Total Extrahoteleros",'[1]Turistas zona y tipología'!$A$4,"MES",10,"AÑO",2010)</f>
        <v>#REF!</v>
      </c>
      <c r="I8" s="128" t="e">
        <f>GETPIVOTDATA(" TOTAL GENERAL",'[1]Turistas zona y tipología'!$A$4,"MES",10,"AÑO",2010)</f>
        <v>#REF!</v>
      </c>
    </row>
    <row r="9" spans="3:9" hidden="1">
      <c r="C9" s="51" t="s">
        <v>41</v>
      </c>
      <c r="D9" s="128" t="e">
        <f>GETPIVOTDATA("dato",'[1]Turistas zona y tipología'!$I$4,"categoría","Hoteleros","mes",9,"año",2010)</f>
        <v>#REF!</v>
      </c>
      <c r="E9" s="128" t="e">
        <f>GETPIVOTDATA("dato",'[1]Turistas zona y tipología'!$I$4,"categoría","EXTRAHOTELEROS","mes",9,"año",2010)</f>
        <v>#REF!</v>
      </c>
      <c r="F9" s="128" t="e">
        <f>GETPIVOTDATA("dato",'[1]Turistas zona y tipología'!$I$4,"categoría","TOTAL","mes",9,"año",2010)</f>
        <v>#REF!</v>
      </c>
      <c r="G9" s="128" t="e">
        <f>GETPIVOTDATA("Total Hotel",'[1]Turistas zona y tipología'!$A$4,"MES",9,"AÑO",2010)</f>
        <v>#REF!</v>
      </c>
      <c r="H9" s="128" t="e">
        <f>GETPIVOTDATA("  Total Extrahoteleros",'[1]Turistas zona y tipología'!$A$4,"MES",9,"AÑO",2010)</f>
        <v>#REF!</v>
      </c>
      <c r="I9" s="128" t="e">
        <f>GETPIVOTDATA(" TOTAL GENERAL",'[1]Turistas zona y tipología'!$A$4,"MES",9,"AÑO",2010)</f>
        <v>#REF!</v>
      </c>
    </row>
    <row r="10" spans="3:9" hidden="1">
      <c r="C10" s="51" t="s">
        <v>42</v>
      </c>
      <c r="D10" s="128" t="e">
        <f>GETPIVOTDATA("dato",'[1]Turistas zona y tipología'!$I$4,"categoría","Hoteleros","mes",8,"año",2010)</f>
        <v>#REF!</v>
      </c>
      <c r="E10" s="128" t="e">
        <f>GETPIVOTDATA("dato",'[1]Turistas zona y tipología'!$I$4,"categoría","EXTRAHOTELEROS","mes",8,"año",2010)</f>
        <v>#REF!</v>
      </c>
      <c r="F10" s="128" t="e">
        <f>GETPIVOTDATA("dato",'[1]Turistas zona y tipología'!$I$4,"categoría","TOTAL","mes",8,"año",2010)</f>
        <v>#REF!</v>
      </c>
      <c r="G10" s="128" t="e">
        <f>GETPIVOTDATA("Total Hotel",'[1]Turistas zona y tipología'!$A$4,"MES",8,"AÑO",2010)</f>
        <v>#REF!</v>
      </c>
      <c r="H10" s="128" t="e">
        <f>GETPIVOTDATA("  Total Extrahoteleros",'[1]Turistas zona y tipología'!$A$4,"MES",8,"AÑO",2010)</f>
        <v>#REF!</v>
      </c>
      <c r="I10" s="128" t="e">
        <f>GETPIVOTDATA(" TOTAL GENERAL",'[1]Turistas zona y tipología'!$A$4,"MES",8,"AÑO",2010)</f>
        <v>#REF!</v>
      </c>
    </row>
    <row r="11" spans="3:9">
      <c r="C11" s="51" t="s">
        <v>43</v>
      </c>
      <c r="D11" s="128">
        <f>GETPIVOTDATA("dato",'[1]Turistas zona y tipología'!$I$4,"categoría","Hoteleros","mes",7,"año",2010)</f>
        <v>10611</v>
      </c>
      <c r="E11" s="128">
        <f>GETPIVOTDATA("dato",'[1]Turistas zona y tipología'!$I$4,"categoría","EXTRAHOTELEROS","mes",7,"año",2010)</f>
        <v>0</v>
      </c>
      <c r="F11" s="128">
        <f>GETPIVOTDATA("dato",'[1]Turistas zona y tipología'!$I$4,"categoría","TOTAL","mes",7,"año",2010)</f>
        <v>10611</v>
      </c>
      <c r="G11" s="128">
        <f>GETPIVOTDATA("Total Hotel",'[1]Turistas zona y tipología'!$A$4,"MES",7,"AÑO",2010)</f>
        <v>265054</v>
      </c>
      <c r="H11" s="128">
        <f>GETPIVOTDATA("  Total Extrahoteleros",'[1]Turistas zona y tipología'!$A$4,"MES",7,"AÑO",2010)</f>
        <v>186205</v>
      </c>
      <c r="I11" s="128">
        <f>GETPIVOTDATA(" TOTAL GENERAL",'[1]Turistas zona y tipología'!$A$4,"MES",7,"AÑO",2010)</f>
        <v>451259</v>
      </c>
    </row>
    <row r="12" spans="3:9">
      <c r="C12" s="51" t="s">
        <v>44</v>
      </c>
      <c r="D12" s="128">
        <f>GETPIVOTDATA("dato",'[1]Turistas zona y tipología'!$I$4,"categoría","Hoteleros","mes",6,"año",2010)</f>
        <v>12682</v>
      </c>
      <c r="E12" s="128">
        <f>GETPIVOTDATA("dato",'[1]Turistas zona y tipología'!$I$4,"categoría","EXTRAHOTELEROS","mes",6,"año",2010)</f>
        <v>0</v>
      </c>
      <c r="F12" s="128">
        <f>GETPIVOTDATA("dato",'[1]Turistas zona y tipología'!$I$4,"categoría","TOTAL","mes",6,"año",2010)</f>
        <v>12682</v>
      </c>
      <c r="G12" s="128">
        <f>GETPIVOTDATA("Total Hotel",'[1]Turistas zona y tipología'!$A$4,"MES",6,"AÑO",2010)</f>
        <v>230853</v>
      </c>
      <c r="H12" s="128">
        <f>GETPIVOTDATA("  Total Extrahoteleros",'[1]Turistas zona y tipología'!$A$4,"MES",6,"AÑO",2010)</f>
        <v>144090</v>
      </c>
      <c r="I12" s="128">
        <f>GETPIVOTDATA(" TOTAL GENERAL",'[1]Turistas zona y tipología'!$A$4,"MES",6,"AÑO",2010)</f>
        <v>374943</v>
      </c>
    </row>
    <row r="13" spans="3:9">
      <c r="C13" s="51" t="s">
        <v>45</v>
      </c>
      <c r="D13" s="128">
        <f>GETPIVOTDATA("dato",'[1]Turistas zona y tipología'!$I$4,"categoría","Hoteleros","mes",5,"año",2010)</f>
        <v>12407</v>
      </c>
      <c r="E13" s="128">
        <f>GETPIVOTDATA("dato",'[1]Turistas zona y tipología'!$I$4,"categoría","EXTRAHOTELEROS","mes",5,"año",2010)</f>
        <v>0</v>
      </c>
      <c r="F13" s="128">
        <f>GETPIVOTDATA("dato",'[1]Turistas zona y tipología'!$I$4,"categoría","TOTAL","mes",5,"año",2010)</f>
        <v>12407</v>
      </c>
      <c r="G13" s="128">
        <f>GETPIVOTDATA("Total Hotel",'[1]Turistas zona y tipología'!$A$4,"MES",5,"AÑO",2010)</f>
        <v>233329</v>
      </c>
      <c r="H13" s="128">
        <f>GETPIVOTDATA("  Total Extrahoteleros",'[1]Turistas zona y tipología'!$A$4,"MES",5,"AÑO",2010)</f>
        <v>127968</v>
      </c>
      <c r="I13" s="128">
        <f>GETPIVOTDATA(" TOTAL GENERAL",'[1]Turistas zona y tipología'!$A$4,"MES",5,"AÑO",2010)</f>
        <v>361297</v>
      </c>
    </row>
    <row r="14" spans="3:9">
      <c r="C14" s="51" t="s">
        <v>46</v>
      </c>
      <c r="D14" s="128">
        <f>GETPIVOTDATA("dato",'[1]Turistas zona y tipología'!$I$4,"categoría","Hoteleros","mes",4,"año",2010)</f>
        <v>12595</v>
      </c>
      <c r="E14" s="128">
        <f>GETPIVOTDATA("dato",'[1]Turistas zona y tipología'!$I$4,"categoría","EXTRAHOTELEROS","mes",4,"año",2010)</f>
        <v>0</v>
      </c>
      <c r="F14" s="128">
        <f>GETPIVOTDATA("dato",'[1]Turistas zona y tipología'!$I$4,"categoría","TOTAL","mes",4,"año",2010)</f>
        <v>12595</v>
      </c>
      <c r="G14" s="128">
        <f>GETPIVOTDATA("Total Hotel",'[1]Turistas zona y tipología'!$A$4,"MES",4,"AÑO",2010)</f>
        <v>258952</v>
      </c>
      <c r="H14" s="128">
        <f>GETPIVOTDATA("  Total Extrahoteleros",'[1]Turistas zona y tipología'!$A$4,"MES",4,"AÑO",2010)</f>
        <v>163597</v>
      </c>
      <c r="I14" s="128">
        <f>GETPIVOTDATA(" TOTAL GENERAL",'[1]Turistas zona y tipología'!$A$4,"MES",4,"AÑO",2010)</f>
        <v>422549</v>
      </c>
    </row>
    <row r="15" spans="3:9">
      <c r="C15" s="51" t="s">
        <v>47</v>
      </c>
      <c r="D15" s="128">
        <f>GETPIVOTDATA("dato",'[1]Turistas zona y tipología'!$I$4,"categoría","Hoteleros","mes",3,"año",2010)</f>
        <v>14574</v>
      </c>
      <c r="E15" s="128">
        <f>GETPIVOTDATA("dato",'[1]Turistas zona y tipología'!$I$4,"categoría","EXTRAHOTELEROS","mes",3,"año",2010)</f>
        <v>0</v>
      </c>
      <c r="F15" s="128">
        <f>GETPIVOTDATA("dato",'[1]Turistas zona y tipología'!$I$4,"categoría","TOTAL","mes",3,"año",2010)</f>
        <v>14574</v>
      </c>
      <c r="G15" s="128">
        <f>GETPIVOTDATA("Total Hotel",'[1]Turistas zona y tipología'!$A$4,"MES",3,"AÑO",2010)</f>
        <v>239927</v>
      </c>
      <c r="H15" s="128">
        <f>GETPIVOTDATA("  Total Extrahoteleros",'[1]Turistas zona y tipología'!$A$4,"MES",3,"AÑO",2010)</f>
        <v>164434</v>
      </c>
      <c r="I15" s="128">
        <f>GETPIVOTDATA(" TOTAL GENERAL",'[1]Turistas zona y tipología'!$A$4,"MES",3,"AÑO",2010)</f>
        <v>404361</v>
      </c>
    </row>
    <row r="16" spans="3:9">
      <c r="C16" s="51" t="s">
        <v>48</v>
      </c>
      <c r="D16" s="128">
        <f>GETPIVOTDATA("dato",'[1]Turistas zona y tipología'!$I$4,"categoría","Hoteleros","mes",2,"año",2010)</f>
        <v>16759</v>
      </c>
      <c r="E16" s="128">
        <f>GETPIVOTDATA("dato",'[1]Turistas zona y tipología'!$I$4,"categoría","EXTRAHOTELEROS","mes",2,"año",2010)</f>
        <v>0</v>
      </c>
      <c r="F16" s="128">
        <f>GETPIVOTDATA("dato",'[1]Turistas zona y tipología'!$I$4,"categoría","TOTAL","mes",2,"año",2010)</f>
        <v>16759</v>
      </c>
      <c r="G16" s="128">
        <f>GETPIVOTDATA("Total Hotel",'[1]Turistas zona y tipología'!$A$4,"MES",2,"AÑO",2010)</f>
        <v>223216</v>
      </c>
      <c r="H16" s="128">
        <f>GETPIVOTDATA("  Total Extrahoteleros",'[1]Turistas zona y tipología'!$A$4,"MES",2,"AÑO",2010)</f>
        <v>146331</v>
      </c>
      <c r="I16" s="128">
        <f>GETPIVOTDATA(" TOTAL GENERAL",'[1]Turistas zona y tipología'!$A$4,"MES",2,"AÑO",2010)</f>
        <v>369547</v>
      </c>
    </row>
    <row r="17" spans="3:9">
      <c r="C17" s="51" t="s">
        <v>49</v>
      </c>
      <c r="D17" s="128">
        <f>GETPIVOTDATA("dato",'[1]Turistas zona y tipología'!$I$4,"categoría","Hoteleros","mes",1,"año",2010)</f>
        <v>13188</v>
      </c>
      <c r="E17" s="128">
        <f>GETPIVOTDATA("dato",'[1]Turistas zona y tipología'!$I$4,"categoría","EXTRAHOTELEROS","mes",1,"año",2010)</f>
        <v>0</v>
      </c>
      <c r="F17" s="128">
        <f>GETPIVOTDATA("dato",'[1]Turistas zona y tipología'!$I$4,"categoría","TOTAL","mes",1,"año",2010)</f>
        <v>13188</v>
      </c>
      <c r="G17" s="128">
        <f>GETPIVOTDATA("Total Hotel",'[1]Turistas zona y tipología'!$A$4,"MES",1,"AÑO",2010)</f>
        <v>226497</v>
      </c>
      <c r="H17" s="128">
        <f>GETPIVOTDATA("  Total Extrahoteleros",'[1]Turistas zona y tipología'!$A$4,"MES",1,"AÑO",2010)</f>
        <v>155740</v>
      </c>
      <c r="I17" s="128">
        <f>GETPIVOTDATA(" TOTAL GENERAL",'[1]Turistas zona y tipología'!$A$4,"MES",1,"AÑO",2010)</f>
        <v>382237</v>
      </c>
    </row>
    <row r="18" spans="3:9" ht="30">
      <c r="C18" s="129" t="str">
        <f>actualizaciones!A2</f>
        <v xml:space="preserve">acumulado julio 2010 </v>
      </c>
      <c r="D18" s="130">
        <f>GETPIVOTDATA("dato",'[1]Turistas zona y tipología'!$I$4,"categoría","Hoteleros","año",2010)</f>
        <v>92816</v>
      </c>
      <c r="E18" s="130">
        <f>GETPIVOTDATA("dato",'[1]Turistas zona y tipología'!$I$4,"categoría","EXTRAHOTELEROS","año",2010)</f>
        <v>0</v>
      </c>
      <c r="F18" s="130">
        <f>GETPIVOTDATA("dato",'[1]Turistas zona y tipología'!$I$4,"categoría","TOTAL","año",2010)</f>
        <v>92816</v>
      </c>
      <c r="G18" s="130">
        <f>GETPIVOTDATA("Total Hotel",'[1]Turistas zona y tipología'!$A$4,"AÑO",2010)</f>
        <v>1677828</v>
      </c>
      <c r="H18" s="130">
        <f>GETPIVOTDATA("  Total Extrahoteleros",'[1]Turistas zona y tipología'!$A$4,"AÑO",2010)</f>
        <v>1088365</v>
      </c>
      <c r="I18" s="130">
        <f>GETPIVOTDATA(" TOTAL GENERAL",'[1]Turistas zona y tipología'!$A$4,"AÑO",2010)</f>
        <v>2766193</v>
      </c>
    </row>
    <row r="19" spans="3:9" hidden="1" outlineLevel="1">
      <c r="C19" s="51" t="s">
        <v>38</v>
      </c>
      <c r="D19" s="128">
        <f>GETPIVOTDATA("dato",'[1]Turistas zona y tipología'!$I$4,"categoría","Hoteleros","mes",12,"año",2009)</f>
        <v>13086</v>
      </c>
      <c r="E19" s="128">
        <f>GETPIVOTDATA("dato",'[1]Turistas zona y tipología'!$I$4,"categoría","EXTRAHOTELEROS","mes",12,"año",2009)</f>
        <v>0</v>
      </c>
      <c r="F19" s="128">
        <f>GETPIVOTDATA("dato",'[1]Turistas zona y tipología'!$I$4,"categoría","TOTAL","mes",12,"año",2009)</f>
        <v>13086</v>
      </c>
      <c r="G19" s="128">
        <f>GETPIVOTDATA("Total Hotel",'[1]Turistas zona y tipología'!$A$4,"MES",12,"AÑO",2009)</f>
        <v>226348</v>
      </c>
      <c r="H19" s="128">
        <f>GETPIVOTDATA("  Total Extrahoteleros",'[1]Turistas zona y tipología'!$A$4,"MES",12,"AÑO",2009)</f>
        <v>154169</v>
      </c>
      <c r="I19" s="128">
        <f>GETPIVOTDATA(" TOTAL GENERAL",'[1]Turistas zona y tipología'!$A$4,"MES",12,"AÑO",2009)</f>
        <v>380517</v>
      </c>
    </row>
    <row r="20" spans="3:9" hidden="1" outlineLevel="1">
      <c r="C20" s="51" t="s">
        <v>39</v>
      </c>
      <c r="D20" s="128">
        <f>GETPIVOTDATA("dato",'[1]Turistas zona y tipología'!$I$4,"categoría","Hoteleros","mes",11,"año",2009)</f>
        <v>13990</v>
      </c>
      <c r="E20" s="128">
        <f>GETPIVOTDATA("dato",'[1]Turistas zona y tipología'!$I$4,"categoría","EXTRAHOTELEROS","mes",11,"año",2009)</f>
        <v>0</v>
      </c>
      <c r="F20" s="128">
        <f>GETPIVOTDATA("dato",'[1]Turistas zona y tipología'!$I$4,"categoría","TOTAL","mes",11,"año",2009)</f>
        <v>13990</v>
      </c>
      <c r="G20" s="128">
        <f>GETPIVOTDATA("Total Hotel",'[1]Turistas zona y tipología'!$A$4,"MES",11,"AÑO",2009)</f>
        <v>225248</v>
      </c>
      <c r="H20" s="128">
        <f>GETPIVOTDATA("  Total Extrahoteleros",'[1]Turistas zona y tipología'!$A$4,"MES",11,"AÑO",2009)</f>
        <v>146554</v>
      </c>
      <c r="I20" s="128">
        <f>GETPIVOTDATA(" TOTAL GENERAL",'[1]Turistas zona y tipología'!$A$4,"MES",11,"AÑO",2009)</f>
        <v>371802</v>
      </c>
    </row>
    <row r="21" spans="3:9" hidden="1" outlineLevel="1">
      <c r="C21" s="51" t="s">
        <v>40</v>
      </c>
      <c r="D21" s="128">
        <f>GETPIVOTDATA("dato",'[1]Turistas zona y tipología'!$I$4,"categoría","Hoteleros","mes",10,"año",2009)</f>
        <v>12809</v>
      </c>
      <c r="E21" s="128">
        <f>GETPIVOTDATA("dato",'[1]Turistas zona y tipología'!$I$4,"categoría","EXTRAHOTELEROS","mes",10,"año",2009)</f>
        <v>0</v>
      </c>
      <c r="F21" s="128">
        <f>GETPIVOTDATA("dato",'[1]Turistas zona y tipología'!$I$4,"categoría","TOTAL","mes",10,"año",2009)</f>
        <v>12809</v>
      </c>
      <c r="G21" s="128">
        <f>GETPIVOTDATA("Total Hotel",'[1]Turistas zona y tipología'!$A$4,"MES",10,"AÑO",2009)</f>
        <v>240086</v>
      </c>
      <c r="H21" s="128">
        <f>GETPIVOTDATA("  Total Extrahoteleros",'[1]Turistas zona y tipología'!$A$4,"MES",10,"AÑO",2009)</f>
        <v>164785</v>
      </c>
      <c r="I21" s="128">
        <f>GETPIVOTDATA(" TOTAL GENERAL",'[1]Turistas zona y tipología'!$A$4,"MES",10,"AÑO",2009)</f>
        <v>404871</v>
      </c>
    </row>
    <row r="22" spans="3:9" hidden="1" outlineLevel="1">
      <c r="C22" s="51" t="s">
        <v>41</v>
      </c>
      <c r="D22" s="128">
        <f>GETPIVOTDATA("dato",'[1]Turistas zona y tipología'!$I$4,"categoría","Hoteleros","mes",9,"año",2009)</f>
        <v>11123</v>
      </c>
      <c r="E22" s="128">
        <f>GETPIVOTDATA("dato",'[1]Turistas zona y tipología'!$I$4,"categoría","EXTRAHOTELEROS","mes",9,"año",2009)</f>
        <v>0</v>
      </c>
      <c r="F22" s="128">
        <f>GETPIVOTDATA("dato",'[1]Turistas zona y tipología'!$I$4,"categoría","TOTAL","mes",9,"año",2009)</f>
        <v>11123</v>
      </c>
      <c r="G22" s="128">
        <f>GETPIVOTDATA("Total Hotel",'[1]Turistas zona y tipología'!$A$4,"MES",9,"AÑO",2009)</f>
        <v>213848</v>
      </c>
      <c r="H22" s="128">
        <f>GETPIVOTDATA("  Total Extrahoteleros",'[1]Turistas zona y tipología'!$A$4,"MES",9,"AÑO",2009)</f>
        <v>140366</v>
      </c>
      <c r="I22" s="128">
        <f>GETPIVOTDATA(" TOTAL GENERAL",'[1]Turistas zona y tipología'!$A$4,"MES",9,"AÑO",2009)</f>
        <v>354214</v>
      </c>
    </row>
    <row r="23" spans="3:9" hidden="1" outlineLevel="1">
      <c r="C23" s="51" t="s">
        <v>42</v>
      </c>
      <c r="D23" s="128">
        <f>GETPIVOTDATA("dato",'[1]Turistas zona y tipología'!$I$4,"categoría","Hoteleros","mes",8,"año",2009)</f>
        <v>7777</v>
      </c>
      <c r="E23" s="128">
        <f>GETPIVOTDATA("dato",'[1]Turistas zona y tipología'!$I$4,"categoría","EXTRAHOTELEROS","mes",8,"año",2009)</f>
        <v>0</v>
      </c>
      <c r="F23" s="128">
        <f>GETPIVOTDATA("dato",'[1]Turistas zona y tipología'!$I$4,"categoría","TOTAL","mes",8,"año",2009)</f>
        <v>7777</v>
      </c>
      <c r="G23" s="128">
        <f>GETPIVOTDATA("Total Hotel",'[1]Turistas zona y tipología'!$A$4,"MES",8,"AÑO",2009)</f>
        <v>270226</v>
      </c>
      <c r="H23" s="128">
        <f>GETPIVOTDATA("  Total Extrahoteleros",'[1]Turistas zona y tipología'!$A$4,"MES",8,"AÑO",2009)</f>
        <v>197556</v>
      </c>
      <c r="I23" s="128">
        <f>GETPIVOTDATA(" TOTAL GENERAL",'[1]Turistas zona y tipología'!$A$4,"MES",8,"AÑO",2009)</f>
        <v>467782</v>
      </c>
    </row>
    <row r="24" spans="3:9" hidden="1" outlineLevel="1">
      <c r="C24" s="51" t="s">
        <v>43</v>
      </c>
      <c r="D24" s="128">
        <f>GETPIVOTDATA("dato",'[1]Turistas zona y tipología'!$I$4,"categoría","Hoteleros","mes",7,"año",2009)</f>
        <v>11890</v>
      </c>
      <c r="E24" s="128">
        <f>GETPIVOTDATA("dato",'[1]Turistas zona y tipología'!$I$4,"categoría","EXTRAHOTELEROS","mes",7,"año",2009)</f>
        <v>0</v>
      </c>
      <c r="F24" s="128">
        <f>GETPIVOTDATA("dato",'[1]Turistas zona y tipología'!$I$4,"categoría","TOTAL","mes",7,"año",2009)</f>
        <v>11890</v>
      </c>
      <c r="G24" s="128">
        <f>GETPIVOTDATA("Total Hotel",'[1]Turistas zona y tipología'!$A$4,"MES",7,"AÑO",2009)</f>
        <v>255405</v>
      </c>
      <c r="H24" s="128">
        <f>GETPIVOTDATA("  Total Extrahoteleros",'[1]Turistas zona y tipología'!$A$4,"MES",7,"AÑO",2009)</f>
        <v>178790</v>
      </c>
      <c r="I24" s="128">
        <f>GETPIVOTDATA(" TOTAL GENERAL",'[1]Turistas zona y tipología'!$A$4,"MES",7,"AÑO",2009)</f>
        <v>434195</v>
      </c>
    </row>
    <row r="25" spans="3:9" hidden="1" outlineLevel="1">
      <c r="C25" s="51" t="s">
        <v>44</v>
      </c>
      <c r="D25" s="128">
        <f>GETPIVOTDATA("dato",'[1]Turistas zona y tipología'!$I$4,"categoría","Hoteleros","mes",6,"año",2009)</f>
        <v>12750</v>
      </c>
      <c r="E25" s="128">
        <f>GETPIVOTDATA("dato",'[1]Turistas zona y tipología'!$I$4,"categoría","EXTRAHOTELEROS","mes",6,"año",2009)</f>
        <v>0</v>
      </c>
      <c r="F25" s="128">
        <f>GETPIVOTDATA("dato",'[1]Turistas zona y tipología'!$I$4,"categoría","TOTAL","mes",6,"año",2009)</f>
        <v>12750</v>
      </c>
      <c r="G25" s="128">
        <f>GETPIVOTDATA("Total Hotel",'[1]Turistas zona y tipología'!$A$4,"MES",6,"AÑO",2009)</f>
        <v>213715</v>
      </c>
      <c r="H25" s="128">
        <f>GETPIVOTDATA("  Total Extrahoteleros",'[1]Turistas zona y tipología'!$A$4,"MES",6,"AÑO",2009)</f>
        <v>136143</v>
      </c>
      <c r="I25" s="128">
        <f>GETPIVOTDATA(" TOTAL GENERAL",'[1]Turistas zona y tipología'!$A$4,"MES",6,"AÑO",2009)</f>
        <v>349858</v>
      </c>
    </row>
    <row r="26" spans="3:9" hidden="1" outlineLevel="1">
      <c r="C26" s="51" t="s">
        <v>45</v>
      </c>
      <c r="D26" s="128">
        <f>GETPIVOTDATA("dato",'[1]Turistas zona y tipología'!$I$4,"categoría","Hoteleros","mes",5,"año",2009)</f>
        <v>13474</v>
      </c>
      <c r="E26" s="128">
        <f>GETPIVOTDATA("dato",'[1]Turistas zona y tipología'!$I$4,"categoría","EXTRAHOTELEROS","mes",5,"año",2009)</f>
        <v>0</v>
      </c>
      <c r="F26" s="128">
        <f>GETPIVOTDATA("dato",'[1]Turistas zona y tipología'!$I$4,"categoría","TOTAL","mes",5,"año",2009)</f>
        <v>13474</v>
      </c>
      <c r="G26" s="128">
        <f>GETPIVOTDATA("Total Hotel",'[1]Turistas zona y tipología'!$A$4,"MES",5,"AÑO",2009)</f>
        <v>217112</v>
      </c>
      <c r="H26" s="128">
        <f>GETPIVOTDATA("  Total Extrahoteleros",'[1]Turistas zona y tipología'!$A$4,"MES",5,"AÑO",2009)</f>
        <v>133181</v>
      </c>
      <c r="I26" s="128">
        <f>GETPIVOTDATA(" TOTAL GENERAL",'[1]Turistas zona y tipología'!$A$4,"MES",5,"AÑO",2009)</f>
        <v>350293</v>
      </c>
    </row>
    <row r="27" spans="3:9" hidden="1" outlineLevel="1">
      <c r="C27" s="51" t="s">
        <v>46</v>
      </c>
      <c r="D27" s="128">
        <f>GETPIVOTDATA("dato",'[1]Turistas zona y tipología'!$I$4,"categoría","Hoteleros","mes",4,"año",2009)</f>
        <v>13079</v>
      </c>
      <c r="E27" s="128">
        <f>GETPIVOTDATA("dato",'[1]Turistas zona y tipología'!$I$4,"categoría","EXTRAHOTELEROS","mes",4,"año",2009)</f>
        <v>0</v>
      </c>
      <c r="F27" s="128">
        <f>GETPIVOTDATA("dato",'[1]Turistas zona y tipología'!$I$4,"categoría","TOTAL","mes",4,"año",2009)</f>
        <v>13079</v>
      </c>
      <c r="G27" s="128">
        <f>GETPIVOTDATA("Total Hotel",'[1]Turistas zona y tipología'!$A$4,"MES",4,"AÑO",2009)</f>
        <v>253066</v>
      </c>
      <c r="H27" s="128">
        <f>GETPIVOTDATA("  Total Extrahoteleros",'[1]Turistas zona y tipología'!$A$4,"MES",4,"AÑO",2009)</f>
        <v>165364</v>
      </c>
      <c r="I27" s="128">
        <f>GETPIVOTDATA(" TOTAL GENERAL",'[1]Turistas zona y tipología'!$A$4,"MES",4,"AÑO",2009)</f>
        <v>418430</v>
      </c>
    </row>
    <row r="28" spans="3:9" hidden="1" outlineLevel="1">
      <c r="C28" s="51" t="s">
        <v>47</v>
      </c>
      <c r="D28" s="128">
        <f>GETPIVOTDATA("dato",'[1]Turistas zona y tipología'!$I$4,"categoría","Hoteleros","mes",3,"año",2009)</f>
        <v>15653</v>
      </c>
      <c r="E28" s="128">
        <f>GETPIVOTDATA("dato",'[1]Turistas zona y tipología'!$I$4,"categoría","EXTRAHOTELEROS","mes",3,"año",2009)</f>
        <v>0</v>
      </c>
      <c r="F28" s="128">
        <f>GETPIVOTDATA("dato",'[1]Turistas zona y tipología'!$I$4,"categoría","TOTAL","mes",3,"año",2009)</f>
        <v>15653</v>
      </c>
      <c r="G28" s="128">
        <f>GETPIVOTDATA("Total Hotel",'[1]Turistas zona y tipología'!$A$4,"MES",3,"AÑO",2009)</f>
        <v>230133</v>
      </c>
      <c r="H28" s="128">
        <f>GETPIVOTDATA("  Total Extrahoteleros",'[1]Turistas zona y tipología'!$A$4,"MES",3,"AÑO",2009)</f>
        <v>179375</v>
      </c>
      <c r="I28" s="128">
        <f>GETPIVOTDATA(" TOTAL GENERAL",'[1]Turistas zona y tipología'!$A$4,"MES",3,"AÑO",2009)</f>
        <v>409508</v>
      </c>
    </row>
    <row r="29" spans="3:9" hidden="1" outlineLevel="1">
      <c r="C29" s="51" t="s">
        <v>48</v>
      </c>
      <c r="D29" s="128">
        <f>GETPIVOTDATA("dato",'[1]Turistas zona y tipología'!$I$4,"categoría","Hoteleros","mes",2,"año",2009)</f>
        <v>15172</v>
      </c>
      <c r="E29" s="128">
        <f>GETPIVOTDATA("dato",'[1]Turistas zona y tipología'!$I$4,"categoría","EXTRAHOTELEROS","mes",2,"año",2009)</f>
        <v>0</v>
      </c>
      <c r="F29" s="128">
        <f>GETPIVOTDATA("dato",'[1]Turistas zona y tipología'!$I$4,"categoría","TOTAL","mes",2,"año",2009)</f>
        <v>15172</v>
      </c>
      <c r="G29" s="128">
        <f>GETPIVOTDATA("Total Hotel",'[1]Turistas zona y tipología'!$A$4,"MES",2,"AÑO",2009)</f>
        <v>223867</v>
      </c>
      <c r="H29" s="128">
        <f>GETPIVOTDATA("  Total Extrahoteleros",'[1]Turistas zona y tipología'!$A$4,"MES",2,"AÑO",2009)</f>
        <v>161715</v>
      </c>
      <c r="I29" s="128">
        <f>GETPIVOTDATA(" TOTAL GENERAL",'[1]Turistas zona y tipología'!$A$4,"MES",2,"AÑO",2009)</f>
        <v>385582</v>
      </c>
    </row>
    <row r="30" spans="3:9" hidden="1" outlineLevel="1">
      <c r="C30" s="51" t="s">
        <v>49</v>
      </c>
      <c r="D30" s="128">
        <f>GETPIVOTDATA("dato",'[1]Turistas zona y tipología'!$I$4,"categoría","Hoteleros","mes",1,"año",2009)</f>
        <v>13570</v>
      </c>
      <c r="E30" s="128">
        <f>GETPIVOTDATA("dato",'[1]Turistas zona y tipología'!$I$4,"categoría","EXTRAHOTELEROS","mes",1,"año",2009)</f>
        <v>0</v>
      </c>
      <c r="F30" s="128">
        <f>GETPIVOTDATA("dato",'[1]Turistas zona y tipología'!$I$4,"categoría","TOTAL","mes",1,"año",2009)</f>
        <v>13570</v>
      </c>
      <c r="G30" s="128">
        <f>GETPIVOTDATA("Total Hotel",'[1]Turistas zona y tipología'!$A$4,"MES",1,"AÑO",2009)</f>
        <v>212522</v>
      </c>
      <c r="H30" s="128">
        <f>GETPIVOTDATA("  Total Extrahoteleros",'[1]Turistas zona y tipología'!$A$4,"MES",1,"AÑO",2009)</f>
        <v>168208</v>
      </c>
      <c r="I30" s="128">
        <f>GETPIVOTDATA(" TOTAL GENERAL",'[1]Turistas zona y tipología'!$A$4,"MES",1,"AÑO",2009)</f>
        <v>380730</v>
      </c>
    </row>
    <row r="31" spans="3:9" collapsed="1">
      <c r="C31" s="131">
        <v>2009</v>
      </c>
      <c r="D31" s="132">
        <f>GETPIVOTDATA("dato",'[1]Turistas zona y tipología'!$I$4,"categoría","Hoteleros","año",2009)</f>
        <v>154373</v>
      </c>
      <c r="E31" s="132">
        <f>GETPIVOTDATA("dato",'[1]Turistas zona y tipología'!$I$4,"categoría","EXTRAHOTELEROS","año",2009)</f>
        <v>0</v>
      </c>
      <c r="F31" s="132">
        <f>GETPIVOTDATA("dato",'[1]Turistas zona y tipología'!$I$4,"categoría","TOTAL","año",2009)</f>
        <v>154373</v>
      </c>
      <c r="G31" s="132">
        <f>GETPIVOTDATA("Total Hotel",'[1]Turistas zona y tipología'!$A$4,"AÑO",2009)</f>
        <v>2781576</v>
      </c>
      <c r="H31" s="132">
        <f>GETPIVOTDATA("  Total Extrahoteleros",'[1]Turistas zona y tipología'!$A$4,"AÑO",2009)</f>
        <v>1926206</v>
      </c>
      <c r="I31" s="132">
        <f>GETPIVOTDATA(" TOTAL GENERAL",'[1]Turistas zona y tipología'!$A$4,"AÑO",2009)</f>
        <v>4707782</v>
      </c>
    </row>
    <row r="32" spans="3:9" hidden="1" outlineLevel="1">
      <c r="C32" s="51" t="s">
        <v>38</v>
      </c>
      <c r="D32" s="128">
        <f>GETPIVOTDATA("dato",'[1]Turistas zona y tipología'!$I$4,"categoría","Hoteleros","mes",12,"año",2008)</f>
        <v>16132</v>
      </c>
      <c r="E32" s="128">
        <f>GETPIVOTDATA("dato",'[1]Turistas zona y tipología'!$I$4,"categoría","EXTRAHOTELEROS","mes",12,"año",2008)</f>
        <v>0</v>
      </c>
      <c r="F32" s="128">
        <f>GETPIVOTDATA("dato",'[1]Turistas zona y tipología'!$I$4,"categoría","TOTAL","mes",12,"año",2008)</f>
        <v>16132</v>
      </c>
      <c r="G32" s="128">
        <f>GETPIVOTDATA("Total Hotel",'[1]Turistas zona y tipología'!$A$4,"MES",12,"AÑO",2008)</f>
        <v>234207</v>
      </c>
      <c r="H32" s="128">
        <f>GETPIVOTDATA("  Total Extrahoteleros",'[1]Turistas zona y tipología'!$A$4,"MES",12,"AÑO",2008)</f>
        <v>175996</v>
      </c>
      <c r="I32" s="128">
        <f>GETPIVOTDATA(" TOTAL GENERAL",'[1]Turistas zona y tipología'!$A$4,"MES",12,"AÑO",2008)</f>
        <v>410203</v>
      </c>
    </row>
    <row r="33" spans="3:9" hidden="1" outlineLevel="1">
      <c r="C33" s="51" t="s">
        <v>39</v>
      </c>
      <c r="D33" s="128">
        <f>GETPIVOTDATA("dato",'[1]Turistas zona y tipología'!$I$4,"categoría","Hoteleros","mes",11,"año",2008)</f>
        <v>17843</v>
      </c>
      <c r="E33" s="128">
        <f>GETPIVOTDATA("dato",'[1]Turistas zona y tipología'!$I$4,"categoría","EXTRAHOTELEROS","mes",11,"año",2008)</f>
        <v>0</v>
      </c>
      <c r="F33" s="128">
        <f>GETPIVOTDATA("dato",'[1]Turistas zona y tipología'!$I$4,"categoría","TOTAL","mes",11,"año",2008)</f>
        <v>17843</v>
      </c>
      <c r="G33" s="128">
        <f>GETPIVOTDATA("Total Hotel",'[1]Turistas zona y tipología'!$A$4,"MES",11,"AÑO",2008)</f>
        <v>246435</v>
      </c>
      <c r="H33" s="128">
        <f>GETPIVOTDATA("  Total Extrahoteleros",'[1]Turistas zona y tipología'!$A$4,"MES",11,"AÑO",2008)</f>
        <v>185305</v>
      </c>
      <c r="I33" s="128">
        <f>GETPIVOTDATA(" TOTAL GENERAL",'[1]Turistas zona y tipología'!$A$4,"MES",11,"AÑO",2008)</f>
        <v>431740</v>
      </c>
    </row>
    <row r="34" spans="3:9" hidden="1" outlineLevel="1">
      <c r="C34" s="51" t="s">
        <v>40</v>
      </c>
      <c r="D34" s="128">
        <f>GETPIVOTDATA("dato",'[1]Turistas zona y tipología'!$I$4,"categoría","Hoteleros","mes",10,"año",2008)</f>
        <v>18706</v>
      </c>
      <c r="E34" s="128">
        <f>GETPIVOTDATA("dato",'[1]Turistas zona y tipología'!$I$4,"categoría","EXTRAHOTELEROS","mes",10,"año",2008)</f>
        <v>0</v>
      </c>
      <c r="F34" s="128">
        <f>GETPIVOTDATA("dato",'[1]Turistas zona y tipología'!$I$4,"categoría","TOTAL","mes",10,"año",2008)</f>
        <v>18706</v>
      </c>
      <c r="G34" s="128">
        <f>GETPIVOTDATA("Total Hotel",'[1]Turistas zona y tipología'!$A$4,"MES",10,"AÑO",2008)</f>
        <v>257888</v>
      </c>
      <c r="H34" s="128">
        <f>GETPIVOTDATA("  Total Extrahoteleros",'[1]Turistas zona y tipología'!$A$4,"MES",10,"AÑO",2008)</f>
        <v>183969</v>
      </c>
      <c r="I34" s="128">
        <f>GETPIVOTDATA(" TOTAL GENERAL",'[1]Turistas zona y tipología'!$A$4,"MES",10,"AÑO",2008)</f>
        <v>441857</v>
      </c>
    </row>
    <row r="35" spans="3:9" hidden="1" outlineLevel="1">
      <c r="C35" s="51" t="s">
        <v>41</v>
      </c>
      <c r="D35" s="128">
        <f>GETPIVOTDATA("dato",'[1]Turistas zona y tipología'!$I$4,"categoría","Hoteleros","mes",9,"año",2008)</f>
        <v>15134</v>
      </c>
      <c r="E35" s="128">
        <f>GETPIVOTDATA("dato",'[1]Turistas zona y tipología'!$I$4,"categoría","EXTRAHOTELEROS","mes",9,"año",2008)</f>
        <v>0</v>
      </c>
      <c r="F35" s="128">
        <f>GETPIVOTDATA("dato",'[1]Turistas zona y tipología'!$I$4,"categoría","TOTAL","mes",9,"año",2008)</f>
        <v>15134</v>
      </c>
      <c r="G35" s="128">
        <f>GETPIVOTDATA("Total Hotel",'[1]Turistas zona y tipología'!$A$4,"MES",9,"AÑO",2008)</f>
        <v>240281</v>
      </c>
      <c r="H35" s="128">
        <f>GETPIVOTDATA("  Total Extrahoteleros",'[1]Turistas zona y tipología'!$A$4,"MES",9,"AÑO",2008)</f>
        <v>151078</v>
      </c>
      <c r="I35" s="128">
        <f>GETPIVOTDATA(" TOTAL GENERAL",'[1]Turistas zona y tipología'!$A$4,"MES",9,"AÑO",2008)</f>
        <v>391359</v>
      </c>
    </row>
    <row r="36" spans="3:9" ht="15" hidden="1" customHeight="1" outlineLevel="1">
      <c r="C36" s="51" t="s">
        <v>42</v>
      </c>
      <c r="D36" s="128">
        <f>GETPIVOTDATA("dato",'[1]Turistas zona y tipología'!$I$4,"categoría","Hoteleros","mes",8,"año",2008)</f>
        <v>12308</v>
      </c>
      <c r="E36" s="128">
        <f>GETPIVOTDATA("dato",'[1]Turistas zona y tipología'!$I$4,"categoría","EXTRAHOTELEROS","mes",8,"año",2008)</f>
        <v>0</v>
      </c>
      <c r="F36" s="128">
        <f>GETPIVOTDATA("dato",'[1]Turistas zona y tipología'!$I$4,"categoría","TOTAL","mes",8,"año",2008)</f>
        <v>12308</v>
      </c>
      <c r="G36" s="128">
        <f>GETPIVOTDATA("Total Hotel",'[1]Turistas zona y tipología'!$A$4,"MES",8,"AÑO",2008)</f>
        <v>303519</v>
      </c>
      <c r="H36" s="128">
        <f>GETPIVOTDATA("  Total Extrahoteleros",'[1]Turistas zona y tipología'!$A$4,"MES",8,"AÑO",2008)</f>
        <v>228246</v>
      </c>
      <c r="I36" s="128">
        <f>GETPIVOTDATA(" TOTAL GENERAL",'[1]Turistas zona y tipología'!$A$4,"MES",8,"AÑO",2008)</f>
        <v>531765</v>
      </c>
    </row>
    <row r="37" spans="3:9" ht="15" hidden="1" customHeight="1" outlineLevel="1">
      <c r="C37" s="51" t="s">
        <v>43</v>
      </c>
      <c r="D37" s="128">
        <f>GETPIVOTDATA("dato",'[1]Turistas zona y tipología'!$I$4,"categoría","Hoteleros","mes",7,"año",2008)</f>
        <v>16337</v>
      </c>
      <c r="E37" s="128">
        <f>GETPIVOTDATA("dato",'[1]Turistas zona y tipología'!$I$4,"categoría","EXTRAHOTELEROS","mes",7,"año",2008)</f>
        <v>0</v>
      </c>
      <c r="F37" s="128">
        <f>GETPIVOTDATA("dato",'[1]Turistas zona y tipología'!$I$4,"categoría","TOTAL","mes",7,"año",2008)</f>
        <v>16337</v>
      </c>
      <c r="G37" s="128">
        <f>GETPIVOTDATA("Total Hotel",'[1]Turistas zona y tipología'!$A$4,"MES",7,"AÑO",2008)</f>
        <v>276976</v>
      </c>
      <c r="H37" s="128">
        <f>GETPIVOTDATA("  Total Extrahoteleros",'[1]Turistas zona y tipología'!$A$4,"MES",7,"AÑO",2008)</f>
        <v>190549</v>
      </c>
      <c r="I37" s="128">
        <f>GETPIVOTDATA(" TOTAL GENERAL",'[1]Turistas zona y tipología'!$A$4,"MES",7,"AÑO",2008)</f>
        <v>467525</v>
      </c>
    </row>
    <row r="38" spans="3:9" ht="15" hidden="1" customHeight="1" outlineLevel="1">
      <c r="C38" s="51" t="s">
        <v>44</v>
      </c>
      <c r="D38" s="128">
        <f>GETPIVOTDATA("dato",'[1]Turistas zona y tipología'!$I$4,"categoría","Hoteleros","mes",6,"año",2008)</f>
        <v>15440</v>
      </c>
      <c r="E38" s="128">
        <f>GETPIVOTDATA("dato",'[1]Turistas zona y tipología'!$I$4,"categoría","EXTRAHOTELEROS","mes",6,"año",2008)</f>
        <v>0</v>
      </c>
      <c r="F38" s="128">
        <f>GETPIVOTDATA("dato",'[1]Turistas zona y tipología'!$I$4,"categoría","TOTAL","mes",6,"año",2008)</f>
        <v>15440</v>
      </c>
      <c r="G38" s="128">
        <f>GETPIVOTDATA("Total Hotel",'[1]Turistas zona y tipología'!$A$4,"MES",6,"AÑO",2008)</f>
        <v>245260</v>
      </c>
      <c r="H38" s="128">
        <f>GETPIVOTDATA("  Total Extrahoteleros",'[1]Turistas zona y tipología'!$A$4,"MES",6,"AÑO",2008)</f>
        <v>157171</v>
      </c>
      <c r="I38" s="128">
        <f>GETPIVOTDATA(" TOTAL GENERAL",'[1]Turistas zona y tipología'!$A$4,"MES",6,"AÑO",2008)</f>
        <v>402431</v>
      </c>
    </row>
    <row r="39" spans="3:9" hidden="1" outlineLevel="1">
      <c r="C39" s="51" t="s">
        <v>45</v>
      </c>
      <c r="D39" s="128">
        <f>GETPIVOTDATA("dato",'[1]Turistas zona y tipología'!$I$4,"categoría","Hoteleros","mes",5,"año",2008)</f>
        <v>17437</v>
      </c>
      <c r="E39" s="128">
        <f>GETPIVOTDATA("dato",'[1]Turistas zona y tipología'!$I$4,"categoría","EXTRAHOTELEROS","mes",5,"año",2008)</f>
        <v>0</v>
      </c>
      <c r="F39" s="128">
        <f>GETPIVOTDATA("dato",'[1]Turistas zona y tipología'!$I$4,"categoría","TOTAL","mes",5,"año",2008)</f>
        <v>17437</v>
      </c>
      <c r="G39" s="128">
        <f>GETPIVOTDATA("Total Hotel",'[1]Turistas zona y tipología'!$A$4,"MES",5,"AÑO",2008)</f>
        <v>258413</v>
      </c>
      <c r="H39" s="128">
        <f>GETPIVOTDATA("  Total Extrahoteleros",'[1]Turistas zona y tipología'!$A$4,"MES",5,"AÑO",2008)</f>
        <v>154772</v>
      </c>
      <c r="I39" s="128">
        <f>GETPIVOTDATA(" TOTAL GENERAL",'[1]Turistas zona y tipología'!$A$4,"MES",5,"AÑO",2008)</f>
        <v>413185</v>
      </c>
    </row>
    <row r="40" spans="3:9" hidden="1" outlineLevel="1">
      <c r="C40" s="51" t="s">
        <v>46</v>
      </c>
      <c r="D40" s="128">
        <f>GETPIVOTDATA("dato",'[1]Turistas zona y tipología'!$I$4,"categoría","Hoteleros","mes",4,"año",2008)</f>
        <v>17593</v>
      </c>
      <c r="E40" s="128">
        <f>GETPIVOTDATA("dato",'[1]Turistas zona y tipología'!$I$4,"categoría","EXTRAHOTELEROS","mes",4,"año",2008)</f>
        <v>0</v>
      </c>
      <c r="F40" s="128">
        <f>GETPIVOTDATA("dato",'[1]Turistas zona y tipología'!$I$4,"categoría","TOTAL","mes",4,"año",2008)</f>
        <v>17593</v>
      </c>
      <c r="G40" s="128">
        <f>GETPIVOTDATA("Total Hotel",'[1]Turistas zona y tipología'!$A$4,"MES",4,"AÑO",2008)</f>
        <v>261323</v>
      </c>
      <c r="H40" s="128">
        <f>GETPIVOTDATA("  Total Extrahoteleros",'[1]Turistas zona y tipología'!$A$4,"MES",4,"AÑO",2008)</f>
        <v>163191</v>
      </c>
      <c r="I40" s="128">
        <f>GETPIVOTDATA(" TOTAL GENERAL",'[1]Turistas zona y tipología'!$A$4,"MES",4,"AÑO",2008)</f>
        <v>424514</v>
      </c>
    </row>
    <row r="41" spans="3:9" hidden="1" outlineLevel="1">
      <c r="C41" s="51" t="s">
        <v>47</v>
      </c>
      <c r="D41" s="128">
        <f>GETPIVOTDATA("dato",'[1]Turistas zona y tipología'!$I$4,"categoría","Hoteleros","mes",3,"año",2008)</f>
        <v>16551</v>
      </c>
      <c r="E41" s="128">
        <f>GETPIVOTDATA("dato",'[1]Turistas zona y tipología'!$I$4,"categoría","EXTRAHOTELEROS","mes",3,"año",2008)</f>
        <v>0</v>
      </c>
      <c r="F41" s="128">
        <f>GETPIVOTDATA("dato",'[1]Turistas zona y tipología'!$I$4,"categoría","TOTAL","mes",3,"año",2008)</f>
        <v>16551</v>
      </c>
      <c r="G41" s="128">
        <f>GETPIVOTDATA("Total Hotel",'[1]Turistas zona y tipología'!$A$4,"MES",3,"AÑO",2008)</f>
        <v>294814</v>
      </c>
      <c r="H41" s="128">
        <f>GETPIVOTDATA("  Total Extrahoteleros",'[1]Turistas zona y tipología'!$A$4,"MES",3,"AÑO",2008)</f>
        <v>213269</v>
      </c>
      <c r="I41" s="128">
        <f>GETPIVOTDATA(" TOTAL GENERAL",'[1]Turistas zona y tipología'!$A$4,"MES",3,"AÑO",2008)</f>
        <v>508083</v>
      </c>
    </row>
    <row r="42" spans="3:9" hidden="1" outlineLevel="1">
      <c r="C42" s="51" t="s">
        <v>48</v>
      </c>
      <c r="D42" s="128">
        <f>GETPIVOTDATA("dato",'[1]Turistas zona y tipología'!$I$4,"categoría","Hoteleros","mes",2,"año",2008)</f>
        <v>19355</v>
      </c>
      <c r="E42" s="128">
        <f>GETPIVOTDATA("dato",'[1]Turistas zona y tipología'!$I$4,"categoría","EXTRAHOTELEROS","mes",2,"año",2008)</f>
        <v>0</v>
      </c>
      <c r="F42" s="128">
        <f>GETPIVOTDATA("dato",'[1]Turistas zona y tipología'!$I$4,"categoría","TOTAL","mes",2,"año",2008)</f>
        <v>19355</v>
      </c>
      <c r="G42" s="128">
        <f>GETPIVOTDATA("Total Hotel",'[1]Turistas zona y tipología'!$A$4,"MES",2,"AÑO",2008)</f>
        <v>260847</v>
      </c>
      <c r="H42" s="128">
        <f>GETPIVOTDATA("  Total Extrahoteleros",'[1]Turistas zona y tipología'!$A$4,"MES",2,"AÑO",2008)</f>
        <v>199071</v>
      </c>
      <c r="I42" s="128">
        <f>GETPIVOTDATA(" TOTAL GENERAL",'[1]Turistas zona y tipología'!$A$4,"MES",2,"AÑO",2008)</f>
        <v>459918</v>
      </c>
    </row>
    <row r="43" spans="3:9" hidden="1" outlineLevel="1">
      <c r="C43" s="51" t="s">
        <v>49</v>
      </c>
      <c r="D43" s="128">
        <f>GETPIVOTDATA("dato",'[1]Turistas zona y tipología'!$I$4,"categoría","Hoteleros","mes",1,"año",2008)</f>
        <v>16982</v>
      </c>
      <c r="E43" s="128">
        <f>GETPIVOTDATA("dato",'[1]Turistas zona y tipología'!$I$4,"categoría","EXTRAHOTELEROS","mes",1,"año",2008)</f>
        <v>0</v>
      </c>
      <c r="F43" s="128">
        <f>GETPIVOTDATA("dato",'[1]Turistas zona y tipología'!$I$4,"categoría","TOTAL","mes",1,"año",2008)</f>
        <v>16982</v>
      </c>
      <c r="G43" s="128">
        <f>GETPIVOTDATA("Total Hotel",'[1]Turistas zona y tipología'!$A$4,"MES",1,"AÑO",2008)</f>
        <v>238040</v>
      </c>
      <c r="H43" s="128">
        <f>GETPIVOTDATA("  Total Extrahoteleros",'[1]Turistas zona y tipología'!$A$4,"MES",1,"AÑO",2008)</f>
        <v>171707</v>
      </c>
      <c r="I43" s="128">
        <f>GETPIVOTDATA(" TOTAL GENERAL",'[1]Turistas zona y tipología'!$A$4,"MES",1,"AÑO",2008)</f>
        <v>409747</v>
      </c>
    </row>
    <row r="44" spans="3:9" collapsed="1">
      <c r="C44" s="133">
        <v>2008</v>
      </c>
      <c r="D44" s="134">
        <f>GETPIVOTDATA("dato",'[1]Turistas zona y tipología'!$I$4,"categoría","Hoteleros","año",2008)</f>
        <v>199818</v>
      </c>
      <c r="E44" s="134">
        <f>GETPIVOTDATA("dato",'[1]Turistas zona y tipología'!$I$4,"categoría","EXTRAHOTELEROS","año",2008)</f>
        <v>0</v>
      </c>
      <c r="F44" s="134">
        <f>GETPIVOTDATA("dato",'[1]Turistas zona y tipología'!$I$4,"categoría","TOTAL","año",2008)</f>
        <v>199818</v>
      </c>
      <c r="G44" s="134">
        <f>GETPIVOTDATA("Total Hotel",'[1]Turistas zona y tipología'!$A$4,"AÑO",2008)</f>
        <v>3118003</v>
      </c>
      <c r="H44" s="134">
        <f>GETPIVOTDATA("  Total Extrahoteleros",'[1]Turistas zona y tipología'!$A$4,"AÑO",2008)</f>
        <v>2174324</v>
      </c>
      <c r="I44" s="134">
        <f>GETPIVOTDATA(" TOTAL GENERAL",'[1]Turistas zona y tipología'!$A$4,"AÑO",2008)</f>
        <v>5292327</v>
      </c>
    </row>
    <row r="45" spans="3:9" hidden="1" outlineLevel="1">
      <c r="C45" s="51" t="s">
        <v>38</v>
      </c>
      <c r="D45" s="128">
        <f>GETPIVOTDATA("dato",'[1]Turistas zona y tipología'!$I$4,"categoría","Hoteleros","mes",12,"año",2007)</f>
        <v>16894</v>
      </c>
      <c r="E45" s="128">
        <f>GETPIVOTDATA("dato",'[1]Turistas zona y tipología'!$I$4,"categoría","EXTRAHOTELEROS","mes",12,"año",2007)</f>
        <v>0</v>
      </c>
      <c r="F45" s="128">
        <f>GETPIVOTDATA("dato",'[1]Turistas zona y tipología'!$I$4,"categoría","TOTAL","mes",12,"año",2007)</f>
        <v>16894</v>
      </c>
      <c r="G45" s="128">
        <f>GETPIVOTDATA("Total Hotel",'[1]Turistas zona y tipología'!$A$4,"MES",12,"AÑO",2007)</f>
        <v>249378</v>
      </c>
      <c r="H45" s="128">
        <f>GETPIVOTDATA("  Total Extrahoteleros",'[1]Turistas zona y tipología'!$A$4,"MES",12,"AÑO",2007)</f>
        <v>188958</v>
      </c>
      <c r="I45" s="128">
        <f>GETPIVOTDATA(" TOTAL GENERAL",'[1]Turistas zona y tipología'!$A$4,"MES",12,"AÑO",2007)</f>
        <v>438336</v>
      </c>
    </row>
    <row r="46" spans="3:9" hidden="1" outlineLevel="1">
      <c r="C46" s="51" t="s">
        <v>39</v>
      </c>
      <c r="D46" s="128">
        <f>GETPIVOTDATA("dato",'[1]Turistas zona y tipología'!$I$4,"categoría","Hoteleros","mes",11,"año",2007)</f>
        <v>18909</v>
      </c>
      <c r="E46" s="128">
        <f>GETPIVOTDATA("dato",'[1]Turistas zona y tipología'!$I$4,"categoría","EXTRAHOTELEROS","mes",11,"año",2007)</f>
        <v>0</v>
      </c>
      <c r="F46" s="128">
        <f>GETPIVOTDATA("dato",'[1]Turistas zona y tipología'!$I$4,"categoría","TOTAL","mes",11,"año",2007)</f>
        <v>18909</v>
      </c>
      <c r="G46" s="128">
        <f>GETPIVOTDATA("Total Hotel",'[1]Turistas zona y tipología'!$A$4,"MES",11,"AÑO",2007)</f>
        <v>263540</v>
      </c>
      <c r="H46" s="128">
        <f>GETPIVOTDATA("  Total Extrahoteleros",'[1]Turistas zona y tipología'!$A$4,"MES",11,"AÑO",2007)</f>
        <v>193990</v>
      </c>
      <c r="I46" s="128">
        <f>GETPIVOTDATA(" TOTAL GENERAL",'[1]Turistas zona y tipología'!$A$4,"MES",11,"AÑO",2007)</f>
        <v>457530</v>
      </c>
    </row>
    <row r="47" spans="3:9" hidden="1" outlineLevel="1">
      <c r="C47" s="51" t="s">
        <v>40</v>
      </c>
      <c r="D47" s="128">
        <f>GETPIVOTDATA("dato",'[1]Turistas zona y tipología'!$I$4,"categoría","Hoteleros","mes",10,"año",2007)</f>
        <v>17346</v>
      </c>
      <c r="E47" s="128">
        <f>GETPIVOTDATA("dato",'[1]Turistas zona y tipología'!$I$4,"categoría","EXTRAHOTELEROS","mes",10,"año",2007)</f>
        <v>0</v>
      </c>
      <c r="F47" s="128">
        <f>GETPIVOTDATA("dato",'[1]Turistas zona y tipología'!$I$4,"categoría","TOTAL","mes",10,"año",2007)</f>
        <v>17346</v>
      </c>
      <c r="G47" s="128">
        <f>GETPIVOTDATA("Total Hotel",'[1]Turistas zona y tipología'!$A$4,"MES",10,"AÑO",2007)</f>
        <v>275246</v>
      </c>
      <c r="H47" s="128">
        <f>GETPIVOTDATA("  Total Extrahoteleros",'[1]Turistas zona y tipología'!$A$4,"MES",10,"AÑO",2007)</f>
        <v>191898</v>
      </c>
      <c r="I47" s="128">
        <f>GETPIVOTDATA(" TOTAL GENERAL",'[1]Turistas zona y tipología'!$A$4,"MES",10,"AÑO",2007)</f>
        <v>467144</v>
      </c>
    </row>
    <row r="48" spans="3:9" hidden="1" outlineLevel="1">
      <c r="C48" s="51" t="s">
        <v>41</v>
      </c>
      <c r="D48" s="128">
        <f>GETPIVOTDATA("dato",'[1]Turistas zona y tipología'!$I$4,"categoría","Hoteleros","mes",9,"año",2007)</f>
        <v>14065</v>
      </c>
      <c r="E48" s="128">
        <f>GETPIVOTDATA("dato",'[1]Turistas zona y tipología'!$I$4,"categoría","EXTRAHOTELEROS","mes",9,"año",2007)</f>
        <v>0</v>
      </c>
      <c r="F48" s="128">
        <f>GETPIVOTDATA("dato",'[1]Turistas zona y tipología'!$I$4,"categoría","TOTAL","mes",9,"año",2007)</f>
        <v>14065</v>
      </c>
      <c r="G48" s="128">
        <f>GETPIVOTDATA("Total Hotel",'[1]Turistas zona y tipología'!$A$4,"MES",9,"AÑO",2007)</f>
        <v>253473</v>
      </c>
      <c r="H48" s="128">
        <f>GETPIVOTDATA("  Total Extrahoteleros",'[1]Turistas zona y tipología'!$A$4,"MES",9,"AÑO",2007)</f>
        <v>156216</v>
      </c>
      <c r="I48" s="128">
        <f>GETPIVOTDATA(" TOTAL GENERAL",'[1]Turistas zona y tipología'!$A$4,"MES",9,"AÑO",2007)</f>
        <v>409689</v>
      </c>
    </row>
    <row r="49" spans="3:9" hidden="1" outlineLevel="1">
      <c r="C49" s="51" t="s">
        <v>42</v>
      </c>
      <c r="D49" s="128">
        <f>GETPIVOTDATA("dato",'[1]Turistas zona y tipología'!$I$4,"categoría","Hoteleros","mes",8,"año",2007)</f>
        <v>9967</v>
      </c>
      <c r="E49" s="128">
        <f>GETPIVOTDATA("dato",'[1]Turistas zona y tipología'!$I$4,"categoría","EXTRAHOTELEROS","mes",8,"año",2007)</f>
        <v>0</v>
      </c>
      <c r="F49" s="128">
        <f>GETPIVOTDATA("dato",'[1]Turistas zona y tipología'!$I$4,"categoría","TOTAL","mes",8,"año",2007)</f>
        <v>9967</v>
      </c>
      <c r="G49" s="128">
        <f>GETPIVOTDATA("Total Hotel",'[1]Turistas zona y tipología'!$A$4,"MES",8,"AÑO",2007)</f>
        <v>298880</v>
      </c>
      <c r="H49" s="128">
        <f>GETPIVOTDATA("  Total Extrahoteleros",'[1]Turistas zona y tipología'!$A$4,"MES",8,"AÑO",2007)</f>
        <v>229712</v>
      </c>
      <c r="I49" s="128">
        <f>GETPIVOTDATA(" TOTAL GENERAL",'[1]Turistas zona y tipología'!$A$4,"MES",8,"AÑO",2007)</f>
        <v>528592</v>
      </c>
    </row>
    <row r="50" spans="3:9" hidden="1" outlineLevel="1">
      <c r="C50" s="51" t="s">
        <v>43</v>
      </c>
      <c r="D50" s="128">
        <f>GETPIVOTDATA("dato",'[1]Turistas zona y tipología'!$I$4,"categoría","Hoteleros","mes",7,"año",2007)</f>
        <v>14360</v>
      </c>
      <c r="E50" s="128">
        <f>GETPIVOTDATA("dato",'[1]Turistas zona y tipología'!$I$4,"categoría","EXTRAHOTELEROS","mes",7,"año",2007)</f>
        <v>0</v>
      </c>
      <c r="F50" s="128">
        <f>GETPIVOTDATA("dato",'[1]Turistas zona y tipología'!$I$4,"categoría","TOTAL","mes",7,"año",2007)</f>
        <v>14360</v>
      </c>
      <c r="G50" s="128">
        <f>GETPIVOTDATA("Total Hotel",'[1]Turistas zona y tipología'!$A$4,"MES",7,"AÑO",2007)</f>
        <v>275969</v>
      </c>
      <c r="H50" s="128">
        <f>GETPIVOTDATA("  Total Extrahoteleros",'[1]Turistas zona y tipología'!$A$4,"MES",7,"AÑO",2007)</f>
        <v>190210</v>
      </c>
      <c r="I50" s="128">
        <f>GETPIVOTDATA(" TOTAL GENERAL",'[1]Turistas zona y tipología'!$A$4,"MES",7,"AÑO",2007)</f>
        <v>466179</v>
      </c>
    </row>
    <row r="51" spans="3:9" hidden="1" outlineLevel="1">
      <c r="C51" s="51" t="s">
        <v>44</v>
      </c>
      <c r="D51" s="128">
        <f>GETPIVOTDATA("dato",'[1]Turistas zona y tipología'!$I$4,"categoría","Hoteleros","mes",6,"año",2007)</f>
        <v>13171</v>
      </c>
      <c r="E51" s="128">
        <f>GETPIVOTDATA("dato",'[1]Turistas zona y tipología'!$I$4,"categoría","EXTRAHOTELEROS","mes",6,"año",2007)</f>
        <v>0</v>
      </c>
      <c r="F51" s="128">
        <f>GETPIVOTDATA("dato",'[1]Turistas zona y tipología'!$I$4,"categoría","TOTAL","mes",6,"año",2007)</f>
        <v>13171</v>
      </c>
      <c r="G51" s="128">
        <f>GETPIVOTDATA("Total Hotel",'[1]Turistas zona y tipología'!$A$4,"MES",6,"AÑO",2007)</f>
        <v>246945</v>
      </c>
      <c r="H51" s="128">
        <f>GETPIVOTDATA("  Total Extrahoteleros",'[1]Turistas zona y tipología'!$A$4,"MES",6,"AÑO",2007)</f>
        <v>164538</v>
      </c>
      <c r="I51" s="128">
        <f>GETPIVOTDATA(" TOTAL GENERAL",'[1]Turistas zona y tipología'!$A$4,"MES",6,"AÑO",2007)</f>
        <v>411483</v>
      </c>
    </row>
    <row r="52" spans="3:9" hidden="1" outlineLevel="1">
      <c r="C52" s="51" t="s">
        <v>45</v>
      </c>
      <c r="D52" s="128">
        <f>GETPIVOTDATA("dato",'[1]Turistas zona y tipología'!$I$4,"categoría","Hoteleros","mes",5,"año",2007)</f>
        <v>14726</v>
      </c>
      <c r="E52" s="128">
        <f>GETPIVOTDATA("dato",'[1]Turistas zona y tipología'!$I$4,"categoría","EXTRAHOTELEROS","mes",5,"año",2007)</f>
        <v>0</v>
      </c>
      <c r="F52" s="128">
        <f>GETPIVOTDATA("dato",'[1]Turistas zona y tipología'!$I$4,"categoría","TOTAL","mes",5,"año",2007)</f>
        <v>14726</v>
      </c>
      <c r="G52" s="128">
        <f>GETPIVOTDATA("Total Hotel",'[1]Turistas zona y tipología'!$A$4,"MES",5,"AÑO",2007)</f>
        <v>210524</v>
      </c>
      <c r="H52" s="128">
        <f>GETPIVOTDATA("  Total Extrahoteleros",'[1]Turistas zona y tipología'!$A$4,"MES",5,"AÑO",2007)</f>
        <v>131029</v>
      </c>
      <c r="I52" s="128">
        <f>GETPIVOTDATA(" TOTAL GENERAL",'[1]Turistas zona y tipología'!$A$4,"MES",5,"AÑO",2007)</f>
        <v>341553</v>
      </c>
    </row>
    <row r="53" spans="3:9" hidden="1" outlineLevel="1">
      <c r="C53" s="51" t="s">
        <v>46</v>
      </c>
      <c r="D53" s="128">
        <f>GETPIVOTDATA("dato",'[1]Turistas zona y tipología'!$I$4,"categoría","Hoteleros","mes",4,"año",2007)</f>
        <v>15492</v>
      </c>
      <c r="E53" s="128">
        <f>GETPIVOTDATA("dato",'[1]Turistas zona y tipología'!$I$4,"categoría","EXTRAHOTELEROS","mes",4,"año",2007)</f>
        <v>0</v>
      </c>
      <c r="F53" s="128">
        <f>GETPIVOTDATA("dato",'[1]Turistas zona y tipología'!$I$4,"categoría","TOTAL","mes",4,"año",2007)</f>
        <v>15492</v>
      </c>
      <c r="G53" s="128">
        <f>GETPIVOTDATA("Total Hotel",'[1]Turistas zona y tipología'!$A$4,"MES",4,"AÑO",2007)</f>
        <v>265819</v>
      </c>
      <c r="H53" s="128">
        <f>GETPIVOTDATA("  Total Extrahoteleros",'[1]Turistas zona y tipología'!$A$4,"MES",4,"AÑO",2007)</f>
        <v>172418</v>
      </c>
      <c r="I53" s="128">
        <f>GETPIVOTDATA(" TOTAL GENERAL",'[1]Turistas zona y tipología'!$A$4,"MES",4,"AÑO",2007)</f>
        <v>438237</v>
      </c>
    </row>
    <row r="54" spans="3:9" hidden="1" outlineLevel="1">
      <c r="C54" s="51" t="s">
        <v>47</v>
      </c>
      <c r="D54" s="128">
        <f>GETPIVOTDATA("dato",'[1]Turistas zona y tipología'!$I$4,"categoría","Hoteleros","mes",3,"año",2007)</f>
        <v>19006</v>
      </c>
      <c r="E54" s="128">
        <f>GETPIVOTDATA("dato",'[1]Turistas zona y tipología'!$I$4,"categoría","EXTRAHOTELEROS","mes",3,"año",2007)</f>
        <v>0</v>
      </c>
      <c r="F54" s="128">
        <f>GETPIVOTDATA("dato",'[1]Turistas zona y tipología'!$I$4,"categoría","TOTAL","mes",3,"año",2007)</f>
        <v>19006</v>
      </c>
      <c r="G54" s="128">
        <f>GETPIVOTDATA("Total Hotel",'[1]Turistas zona y tipología'!$A$4,"MES",3,"AÑO",2007)</f>
        <v>278031</v>
      </c>
      <c r="H54" s="128">
        <f>GETPIVOTDATA("  Total Extrahoteleros",'[1]Turistas zona y tipología'!$A$4,"MES",3,"AÑO",2007)</f>
        <v>210998</v>
      </c>
      <c r="I54" s="128">
        <f>GETPIVOTDATA(" TOTAL GENERAL",'[1]Turistas zona y tipología'!$A$4,"MES",3,"AÑO",2007)</f>
        <v>489029</v>
      </c>
    </row>
    <row r="55" spans="3:9" hidden="1" outlineLevel="1">
      <c r="C55" s="51" t="s">
        <v>48</v>
      </c>
      <c r="D55" s="128">
        <f>GETPIVOTDATA("dato",'[1]Turistas zona y tipología'!$I$4,"categoría","Hoteleros","mes",2,"año",2007)</f>
        <v>15222</v>
      </c>
      <c r="E55" s="128">
        <f>GETPIVOTDATA("dato",'[1]Turistas zona y tipología'!$I$4,"categoría","EXTRAHOTELEROS","mes",2,"año",2007)</f>
        <v>0</v>
      </c>
      <c r="F55" s="128">
        <f>GETPIVOTDATA("dato",'[1]Turistas zona y tipología'!$I$4,"categoría","TOTAL","mes",2,"año",2007)</f>
        <v>15222</v>
      </c>
      <c r="G55" s="128">
        <f>GETPIVOTDATA("Total Hotel",'[1]Turistas zona y tipología'!$A$4,"MES",2,"AÑO",2007)</f>
        <v>242636</v>
      </c>
      <c r="H55" s="128">
        <f>GETPIVOTDATA("  Total Extrahoteleros",'[1]Turistas zona y tipología'!$A$4,"MES",2,"AÑO",2007)</f>
        <v>181250</v>
      </c>
      <c r="I55" s="128">
        <f>GETPIVOTDATA(" TOTAL GENERAL",'[1]Turistas zona y tipología'!$A$4,"MES",2,"AÑO",2007)</f>
        <v>423886</v>
      </c>
    </row>
    <row r="56" spans="3:9" hidden="1" outlineLevel="1">
      <c r="C56" s="51" t="s">
        <v>49</v>
      </c>
      <c r="D56" s="128">
        <f>GETPIVOTDATA("dato",'[1]Turistas zona y tipología'!$I$4,"categoría","Hoteleros","mes",1,"año",2007)</f>
        <v>14507</v>
      </c>
      <c r="E56" s="128">
        <f>GETPIVOTDATA("dato",'[1]Turistas zona y tipología'!$I$4,"categoría","EXTRAHOTELEROS","mes",1,"año",2007)</f>
        <v>0</v>
      </c>
      <c r="F56" s="128">
        <f>GETPIVOTDATA("dato",'[1]Turistas zona y tipología'!$I$4,"categoría","TOTAL","mes",1,"año",2007)</f>
        <v>14507</v>
      </c>
      <c r="G56" s="128">
        <f>GETPIVOTDATA("Total Hotel",'[1]Turistas zona y tipología'!$A$4,"MES",1,"AÑO",2007)</f>
        <v>236048</v>
      </c>
      <c r="H56" s="128">
        <f>GETPIVOTDATA("  Total Extrahoteleros",'[1]Turistas zona y tipología'!$A$4,"MES",1,"AÑO",2007)</f>
        <v>171078</v>
      </c>
      <c r="I56" s="128">
        <f>GETPIVOTDATA(" TOTAL GENERAL",'[1]Turistas zona y tipología'!$A$4,"MES",1,"AÑO",2007)</f>
        <v>407126</v>
      </c>
    </row>
    <row r="57" spans="3:9" collapsed="1">
      <c r="C57" s="133">
        <v>2007</v>
      </c>
      <c r="D57" s="134">
        <f>GETPIVOTDATA("dato",'[1]Turistas zona y tipología'!$I$4,"categoría","Hoteleros","año",2007)</f>
        <v>183665</v>
      </c>
      <c r="E57" s="134">
        <f>GETPIVOTDATA("dato",'[1]Turistas zona y tipología'!$I$4,"categoría","EXTRAHOTELEROS","año",2007)</f>
        <v>0</v>
      </c>
      <c r="F57" s="134">
        <f>GETPIVOTDATA("dato",'[1]Turistas zona y tipología'!$I$4,"categoría","TOTAL","año",2007)</f>
        <v>183665</v>
      </c>
      <c r="G57" s="134">
        <f>GETPIVOTDATA("Total Hotel",'[1]Turistas zona y tipología'!$A$4,"AÑO",2007)</f>
        <v>3096489</v>
      </c>
      <c r="H57" s="134">
        <f>GETPIVOTDATA("  Total Extrahoteleros",'[1]Turistas zona y tipología'!$A$4,"AÑO",2007)</f>
        <v>2182295</v>
      </c>
      <c r="I57" s="134">
        <f>GETPIVOTDATA(" TOTAL GENERAL",'[1]Turistas zona y tipología'!$A$4,"AÑO",2007)</f>
        <v>5278784</v>
      </c>
    </row>
    <row r="58" spans="3:9" hidden="1" outlineLevel="1">
      <c r="C58" s="51" t="s">
        <v>38</v>
      </c>
      <c r="D58" s="128">
        <f>GETPIVOTDATA("dato",'[1]Turistas zona y tipología'!$I$4,"categoría","Hoteleros","mes",12,"año",2006)</f>
        <v>16829</v>
      </c>
      <c r="E58" s="128">
        <f>GETPIVOTDATA("dato",'[1]Turistas zona y tipología'!$I$4,"categoría","EXTRAHOTELEROS","mes",12,"año",2006)</f>
        <v>0</v>
      </c>
      <c r="F58" s="128">
        <f>GETPIVOTDATA("dato",'[1]Turistas zona y tipología'!$I$4,"categoría","TOTAL","mes",12,"año",2006)</f>
        <v>16829</v>
      </c>
      <c r="G58" s="128">
        <f>GETPIVOTDATA("Total Hotel",'[1]Turistas zona y tipología'!$A$4,"MES",12,"AÑO",2006)</f>
        <v>257174</v>
      </c>
      <c r="H58" s="128">
        <f>GETPIVOTDATA("  Total Extrahoteleros",'[1]Turistas zona y tipología'!$A$4,"MES",12,"AÑO",2006)</f>
        <v>199259</v>
      </c>
      <c r="I58" s="128">
        <f>GETPIVOTDATA(" TOTAL GENERAL",'[1]Turistas zona y tipología'!$A$4,"MES",12,"AÑO",2006)</f>
        <v>456433</v>
      </c>
    </row>
    <row r="59" spans="3:9" hidden="1" outlineLevel="1">
      <c r="C59" s="51" t="s">
        <v>39</v>
      </c>
      <c r="D59" s="128">
        <f>GETPIVOTDATA("dato",'[1]Turistas zona y tipología'!$I$4,"categoría","Hoteleros","mes",11,"año",2006)</f>
        <v>18087</v>
      </c>
      <c r="E59" s="128">
        <f>GETPIVOTDATA("dato",'[1]Turistas zona y tipología'!$I$4,"categoría","EXTRAHOTELEROS","mes",11,"año",2006)</f>
        <v>0</v>
      </c>
      <c r="F59" s="128">
        <f>GETPIVOTDATA("dato",'[1]Turistas zona y tipología'!$I$4,"categoría","TOTAL","mes",11,"año",2006)</f>
        <v>18087</v>
      </c>
      <c r="G59" s="128">
        <f>GETPIVOTDATA("Total Hotel",'[1]Turistas zona y tipología'!$A$4,"MES",11,"AÑO",2006)</f>
        <v>257285</v>
      </c>
      <c r="H59" s="128">
        <f>GETPIVOTDATA("  Total Extrahoteleros",'[1]Turistas zona y tipología'!$A$4,"MES",11,"AÑO",2006)</f>
        <v>175252</v>
      </c>
      <c r="I59" s="128">
        <f>GETPIVOTDATA(" TOTAL GENERAL",'[1]Turistas zona y tipología'!$A$4,"MES",11,"AÑO",2006)</f>
        <v>432537</v>
      </c>
    </row>
    <row r="60" spans="3:9" hidden="1" outlineLevel="1">
      <c r="C60" s="51" t="s">
        <v>40</v>
      </c>
      <c r="D60" s="128">
        <f>GETPIVOTDATA("dato",'[1]Turistas zona y tipología'!$I$4,"categoría","Hoteleros","mes",10,"año",2006)</f>
        <v>15731</v>
      </c>
      <c r="E60" s="128">
        <f>GETPIVOTDATA("dato",'[1]Turistas zona y tipología'!$I$4,"categoría","EXTRAHOTELEROS","mes",10,"año",2006)</f>
        <v>0</v>
      </c>
      <c r="F60" s="128">
        <f>GETPIVOTDATA("dato",'[1]Turistas zona y tipología'!$I$4,"categoría","TOTAL","mes",10,"año",2006)</f>
        <v>15731</v>
      </c>
      <c r="G60" s="128">
        <f>GETPIVOTDATA("Total Hotel",'[1]Turistas zona y tipología'!$A$4,"MES",10,"AÑO",2006)</f>
        <v>283799</v>
      </c>
      <c r="H60" s="128">
        <f>GETPIVOTDATA("  Total Extrahoteleros",'[1]Turistas zona y tipología'!$A$4,"MES",10,"AÑO",2006)</f>
        <v>204016</v>
      </c>
      <c r="I60" s="128">
        <f>GETPIVOTDATA(" TOTAL GENERAL",'[1]Turistas zona y tipología'!$A$4,"MES",10,"AÑO",2006)</f>
        <v>487815</v>
      </c>
    </row>
    <row r="61" spans="3:9" hidden="1" outlineLevel="1">
      <c r="C61" s="51" t="s">
        <v>41</v>
      </c>
      <c r="D61" s="128">
        <f>GETPIVOTDATA("dato",'[1]Turistas zona y tipología'!$I$4,"categoría","Hoteleros","mes",9,"año",2006)</f>
        <v>14403</v>
      </c>
      <c r="E61" s="128">
        <f>GETPIVOTDATA("dato",'[1]Turistas zona y tipología'!$I$4,"categoría","EXTRAHOTELEROS","mes",9,"año",2006)</f>
        <v>0</v>
      </c>
      <c r="F61" s="128">
        <f>GETPIVOTDATA("dato",'[1]Turistas zona y tipología'!$I$4,"categoría","TOTAL","mes",9,"año",2006)</f>
        <v>14403</v>
      </c>
      <c r="G61" s="128">
        <f>GETPIVOTDATA("Total Hotel",'[1]Turistas zona y tipología'!$A$4,"MES",9,"AÑO",2006)</f>
        <v>271419</v>
      </c>
      <c r="H61" s="128">
        <f>GETPIVOTDATA("  Total Extrahoteleros",'[1]Turistas zona y tipología'!$A$4,"MES",9,"AÑO",2006)</f>
        <v>192507</v>
      </c>
      <c r="I61" s="128">
        <f>GETPIVOTDATA(" TOTAL GENERAL",'[1]Turistas zona y tipología'!$A$4,"MES",9,"AÑO",2006)</f>
        <v>463926</v>
      </c>
    </row>
    <row r="62" spans="3:9" hidden="1" outlineLevel="1">
      <c r="C62" s="51" t="s">
        <v>42</v>
      </c>
      <c r="D62" s="128">
        <f>GETPIVOTDATA("dato",'[1]Turistas zona y tipología'!$I$4,"categoría","Hoteleros","mes",8,"año",2006)</f>
        <v>11231</v>
      </c>
      <c r="E62" s="128">
        <f>GETPIVOTDATA("dato",'[1]Turistas zona y tipología'!$I$4,"categoría","EXTRAHOTELEROS","mes",8,"año",2006)</f>
        <v>0</v>
      </c>
      <c r="F62" s="128">
        <f>GETPIVOTDATA("dato",'[1]Turistas zona y tipología'!$I$4,"categoría","TOTAL","mes",8,"año",2006)</f>
        <v>11231</v>
      </c>
      <c r="G62" s="128">
        <f>GETPIVOTDATA("Total Hotel",'[1]Turistas zona y tipología'!$A$4,"MES",8,"AÑO",2006)</f>
        <v>301594</v>
      </c>
      <c r="H62" s="128">
        <f>GETPIVOTDATA("  Total Extrahoteleros",'[1]Turistas zona y tipología'!$A$4,"MES",8,"AÑO",2006)</f>
        <v>231405</v>
      </c>
      <c r="I62" s="128">
        <f>GETPIVOTDATA(" TOTAL GENERAL",'[1]Turistas zona y tipología'!$A$4,"MES",8,"AÑO",2006)</f>
        <v>532999</v>
      </c>
    </row>
    <row r="63" spans="3:9" hidden="1" outlineLevel="1">
      <c r="C63" s="51" t="s">
        <v>43</v>
      </c>
      <c r="D63" s="128">
        <f>GETPIVOTDATA("dato",'[1]Turistas zona y tipología'!$I$4,"categoría","Hoteleros","mes",7,"año",2006)</f>
        <v>14758</v>
      </c>
      <c r="E63" s="128">
        <f>GETPIVOTDATA("dato",'[1]Turistas zona y tipología'!$I$4,"categoría","EXTRAHOTELEROS","mes",7,"año",2006)</f>
        <v>0</v>
      </c>
      <c r="F63" s="128">
        <f>GETPIVOTDATA("dato",'[1]Turistas zona y tipología'!$I$4,"categoría","TOTAL","mes",7,"año",2006)</f>
        <v>14758</v>
      </c>
      <c r="G63" s="128">
        <f>GETPIVOTDATA("Total Hotel",'[1]Turistas zona y tipología'!$A$4,"MES",7,"AÑO",2006)</f>
        <v>279188</v>
      </c>
      <c r="H63" s="128">
        <f>GETPIVOTDATA("  Total Extrahoteleros",'[1]Turistas zona y tipología'!$A$4,"MES",7,"AÑO",2006)</f>
        <v>206958</v>
      </c>
      <c r="I63" s="128">
        <f>GETPIVOTDATA(" TOTAL GENERAL",'[1]Turistas zona y tipología'!$A$4,"MES",7,"AÑO",2006)</f>
        <v>486146</v>
      </c>
    </row>
    <row r="64" spans="3:9" hidden="1" outlineLevel="1">
      <c r="C64" s="51" t="s">
        <v>44</v>
      </c>
      <c r="D64" s="128">
        <f>GETPIVOTDATA("dato",'[1]Turistas zona y tipología'!$I$4,"categoría","Hoteleros","mes",6,"año",2006)</f>
        <v>15747</v>
      </c>
      <c r="E64" s="128">
        <f>GETPIVOTDATA("dato",'[1]Turistas zona y tipología'!$I$4,"categoría","EXTRAHOTELEROS","mes",6,"año",2006)</f>
        <v>0</v>
      </c>
      <c r="F64" s="128">
        <f>GETPIVOTDATA("dato",'[1]Turistas zona y tipología'!$I$4,"categoría","TOTAL","mes",6,"año",2006)</f>
        <v>15747</v>
      </c>
      <c r="G64" s="128">
        <f>GETPIVOTDATA("Total Hotel",'[1]Turistas zona y tipología'!$A$4,"MES",6,"AÑO",2006)</f>
        <v>247714</v>
      </c>
      <c r="H64" s="128">
        <f>GETPIVOTDATA("  Total Extrahoteleros",'[1]Turistas zona y tipología'!$A$4,"MES",6,"AÑO",2006)</f>
        <v>177405</v>
      </c>
      <c r="I64" s="128">
        <f>GETPIVOTDATA(" TOTAL GENERAL",'[1]Turistas zona y tipología'!$A$4,"MES",6,"AÑO",2006)</f>
        <v>425119</v>
      </c>
    </row>
    <row r="65" spans="3:9" hidden="1" outlineLevel="1">
      <c r="C65" s="51" t="s">
        <v>45</v>
      </c>
      <c r="D65" s="128">
        <f>GETPIVOTDATA("dato",'[1]Turistas zona y tipología'!$I$4,"categoría","Hoteleros","mes",5,"año",2006)</f>
        <v>14751</v>
      </c>
      <c r="E65" s="128">
        <f>GETPIVOTDATA("dato",'[1]Turistas zona y tipología'!$I$4,"categoría","EXTRAHOTELEROS","mes",5,"año",2006)</f>
        <v>0</v>
      </c>
      <c r="F65" s="128">
        <f>GETPIVOTDATA("dato",'[1]Turistas zona y tipología'!$I$4,"categoría","TOTAL","mes",5,"año",2006)</f>
        <v>14751</v>
      </c>
      <c r="G65" s="128">
        <f>GETPIVOTDATA("Total Hotel",'[1]Turistas zona y tipología'!$A$4,"MES",5,"AÑO",2006)</f>
        <v>231999</v>
      </c>
      <c r="H65" s="128">
        <f>GETPIVOTDATA("  Total Extrahoteleros",'[1]Turistas zona y tipología'!$A$4,"MES",5,"AÑO",2006)</f>
        <v>144399</v>
      </c>
      <c r="I65" s="128">
        <f>GETPIVOTDATA(" TOTAL GENERAL",'[1]Turistas zona y tipología'!$A$4,"MES",5,"AÑO",2006)</f>
        <v>376398</v>
      </c>
    </row>
    <row r="66" spans="3:9" hidden="1" outlineLevel="1">
      <c r="C66" s="51" t="s">
        <v>46</v>
      </c>
      <c r="D66" s="128">
        <f>GETPIVOTDATA("dato",'[1]Turistas zona y tipología'!$I$4,"categoría","Hoteleros","mes",4,"año",2006)</f>
        <v>13849</v>
      </c>
      <c r="E66" s="128">
        <f>GETPIVOTDATA("dato",'[1]Turistas zona y tipología'!$I$4,"categoría","EXTRAHOTELEROS","mes",4,"año",2006)</f>
        <v>0</v>
      </c>
      <c r="F66" s="128">
        <f>GETPIVOTDATA("dato",'[1]Turistas zona y tipología'!$I$4,"categoría","TOTAL","mes",4,"año",2006)</f>
        <v>13849</v>
      </c>
      <c r="G66" s="128">
        <f>GETPIVOTDATA("Total Hotel",'[1]Turistas zona y tipología'!$A$4,"MES",4,"AÑO",2006)</f>
        <v>280921</v>
      </c>
      <c r="H66" s="128">
        <f>GETPIVOTDATA("  Total Extrahoteleros",'[1]Turistas zona y tipología'!$A$4,"MES",4,"AÑO",2006)</f>
        <v>195664</v>
      </c>
      <c r="I66" s="128">
        <f>GETPIVOTDATA(" TOTAL GENERAL",'[1]Turistas zona y tipología'!$A$4,"MES",4,"AÑO",2006)</f>
        <v>476585</v>
      </c>
    </row>
    <row r="67" spans="3:9" hidden="1" outlineLevel="1">
      <c r="C67" s="51" t="s">
        <v>47</v>
      </c>
      <c r="D67" s="128">
        <f>GETPIVOTDATA("dato",'[1]Turistas zona y tipología'!$I$4,"categoría","Hoteleros","mes",3,"año",2006)</f>
        <v>17429</v>
      </c>
      <c r="E67" s="128">
        <f>GETPIVOTDATA("dato",'[1]Turistas zona y tipología'!$I$4,"categoría","EXTRAHOTELEROS","mes",3,"año",2006)</f>
        <v>0</v>
      </c>
      <c r="F67" s="128">
        <f>GETPIVOTDATA("dato",'[1]Turistas zona y tipología'!$I$4,"categoría","TOTAL","mes",3,"año",2006)</f>
        <v>17429</v>
      </c>
      <c r="G67" s="128">
        <f>GETPIVOTDATA("Total Hotel",'[1]Turistas zona y tipología'!$A$4,"MES",3,"AÑO",2006)</f>
        <v>263907</v>
      </c>
      <c r="H67" s="128">
        <f>GETPIVOTDATA("  Total Extrahoteleros",'[1]Turistas zona y tipología'!$A$4,"MES",3,"AÑO",2006)</f>
        <v>205829</v>
      </c>
      <c r="I67" s="128">
        <f>GETPIVOTDATA(" TOTAL GENERAL",'[1]Turistas zona y tipología'!$A$4,"MES",3,"AÑO",2006)</f>
        <v>469736</v>
      </c>
    </row>
    <row r="68" spans="3:9" hidden="1" outlineLevel="1">
      <c r="C68" s="51" t="s">
        <v>48</v>
      </c>
      <c r="D68" s="128">
        <f>GETPIVOTDATA("dato",'[1]Turistas zona y tipología'!$I$4,"categoría","Hoteleros","mes",2,"año",2006)</f>
        <v>15692</v>
      </c>
      <c r="E68" s="128">
        <f>GETPIVOTDATA("dato",'[1]Turistas zona y tipología'!$I$4,"categoría","EXTRAHOTELEROS","mes",2,"año",2006)</f>
        <v>0</v>
      </c>
      <c r="F68" s="128">
        <f>GETPIVOTDATA("dato",'[1]Turistas zona y tipología'!$I$4,"categoría","TOTAL","mes",2,"año",2006)</f>
        <v>15692</v>
      </c>
      <c r="G68" s="128">
        <f>GETPIVOTDATA("Total Hotel",'[1]Turistas zona y tipología'!$A$4,"MES",2,"AÑO",2006)</f>
        <v>236296</v>
      </c>
      <c r="H68" s="128">
        <f>GETPIVOTDATA("  Total Extrahoteleros",'[1]Turistas zona y tipología'!$A$4,"MES",2,"AÑO",2006)</f>
        <v>185317</v>
      </c>
      <c r="I68" s="128">
        <f>GETPIVOTDATA(" TOTAL GENERAL",'[1]Turistas zona y tipología'!$A$4,"MES",2,"AÑO",2006)</f>
        <v>421613</v>
      </c>
    </row>
    <row r="69" spans="3:9" hidden="1" outlineLevel="1">
      <c r="C69" s="51" t="s">
        <v>49</v>
      </c>
      <c r="D69" s="128">
        <f>GETPIVOTDATA("dato",'[1]Turistas zona y tipología'!$I$4,"categoría","Hoteleros","mes",1,"año",2006)</f>
        <v>14266</v>
      </c>
      <c r="E69" s="128">
        <f>GETPIVOTDATA("dato",'[1]Turistas zona y tipología'!$I$4,"categoría","EXTRAHOTELEROS","mes",1,"año",2006)</f>
        <v>0</v>
      </c>
      <c r="F69" s="128">
        <f>GETPIVOTDATA("dato",'[1]Turistas zona y tipología'!$I$4,"categoría","TOTAL","mes",1,"año",2006)</f>
        <v>14266</v>
      </c>
      <c r="G69" s="128">
        <f>GETPIVOTDATA("Total Hotel",'[1]Turistas zona y tipología'!$A$4,"MES",1,"AÑO",2006)</f>
        <v>233515</v>
      </c>
      <c r="H69" s="128">
        <f>GETPIVOTDATA("  Total Extrahoteleros",'[1]Turistas zona y tipología'!$A$4,"MES",1,"AÑO",2006)</f>
        <v>188191</v>
      </c>
      <c r="I69" s="128">
        <f>GETPIVOTDATA(" TOTAL GENERAL",'[1]Turistas zona y tipología'!$A$4,"MES",1,"AÑO",2006)</f>
        <v>421706</v>
      </c>
    </row>
    <row r="70" spans="3:9" collapsed="1">
      <c r="C70" s="133">
        <v>2006</v>
      </c>
      <c r="D70" s="134">
        <f>GETPIVOTDATA("dato",'[1]Turistas zona y tipología'!$I$4,"categoría","Hoteleros","año",2006)</f>
        <v>182773</v>
      </c>
      <c r="E70" s="134">
        <f>GETPIVOTDATA("dato",'[1]Turistas zona y tipología'!$I$4,"categoría","EXTRAHOTELEROS","año",2006)</f>
        <v>0</v>
      </c>
      <c r="F70" s="134">
        <f>GETPIVOTDATA("dato",'[1]Turistas zona y tipología'!$I$4,"categoría","TOTAL","año",2006)</f>
        <v>182773</v>
      </c>
      <c r="G70" s="134">
        <f>GETPIVOTDATA("Total Hotel",'[1]Turistas zona y tipología'!$A$4,"AÑO",2006)</f>
        <v>3144811</v>
      </c>
      <c r="H70" s="134">
        <f>GETPIVOTDATA("  Total Extrahoteleros",'[1]Turistas zona y tipología'!$A$4,"AÑO",2006)</f>
        <v>2306202</v>
      </c>
      <c r="I70" s="134">
        <f>GETPIVOTDATA(" TOTAL GENERAL",'[1]Turistas zona y tipología'!$A$4,"AÑO",2006)</f>
        <v>5451013</v>
      </c>
    </row>
    <row r="71" spans="3:9" hidden="1">
      <c r="C71" s="133">
        <v>1978</v>
      </c>
      <c r="D71" s="134" t="e">
        <f>GETPIVOTDATA("Hotel Norte",'[1]Turistas zona y tipología'!$A$4,"AÑO",1978)</f>
        <v>#REF!</v>
      </c>
      <c r="E71" s="134" t="e">
        <f>GETPIVOTDATA("Extrahotelera Norte",'[1]Turistas zona y tipología'!$A$4,"AÑO",1978)</f>
        <v>#REF!</v>
      </c>
      <c r="F71" s="134" t="e">
        <f>GETPIVOTDATA("Total Norte",'[1]Turistas zona y tipología'!$A$4,"AÑO",1978)</f>
        <v>#REF!</v>
      </c>
      <c r="G71" s="134" t="e">
        <f>GETPIVOTDATA("Total Hotel",'[1]Turistas zona y tipología'!$A$4,"AÑO",1978)</f>
        <v>#REF!</v>
      </c>
      <c r="H71" s="134" t="e">
        <f>GETPIVOTDATA("  Total Extrahoteleros",'[1]Turistas zona y tipología'!$A$4,"AÑO",1978)</f>
        <v>#REF!</v>
      </c>
      <c r="I71" s="134" t="e">
        <f>GETPIVOTDATA(" TOTAL GENERAL",'[1]Turistas zona y tipología'!$A$4,"AÑO",1978)</f>
        <v>#REF!</v>
      </c>
    </row>
    <row r="72" spans="3:9">
      <c r="C72" s="135" t="s">
        <v>78</v>
      </c>
      <c r="D72" s="136"/>
      <c r="E72" s="136"/>
      <c r="F72" s="136"/>
      <c r="G72" s="136"/>
      <c r="H72" s="136"/>
      <c r="I72" s="137"/>
    </row>
  </sheetData>
  <mergeCells count="5">
    <mergeCell ref="C3:I3"/>
    <mergeCell ref="C4:C5"/>
    <mergeCell ref="D4:F4"/>
    <mergeCell ref="G4:I4"/>
    <mergeCell ref="C72:I7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2:H58"/>
  <sheetViews>
    <sheetView showGridLines="0" showRowColHeaders="0" zoomScaleNormal="100" workbookViewId="0">
      <selection activeCell="I13" sqref="I13"/>
    </sheetView>
  </sheetViews>
  <sheetFormatPr baseColWidth="10" defaultRowHeight="15" outlineLevelRow="1"/>
  <cols>
    <col min="1" max="1" width="18" customWidth="1"/>
    <col min="3" max="8" width="13" customWidth="1"/>
  </cols>
  <sheetData>
    <row r="2" spans="2:8" ht="48.75" customHeight="1"/>
    <row r="3" spans="2:8" ht="31.5" customHeight="1">
      <c r="B3" s="121" t="s">
        <v>96</v>
      </c>
      <c r="C3" s="121"/>
      <c r="D3" s="121"/>
      <c r="E3" s="121"/>
      <c r="F3" s="121"/>
      <c r="G3" s="121"/>
      <c r="H3" s="121"/>
    </row>
    <row r="4" spans="2:8" s="138" customFormat="1" ht="26.25" customHeight="1">
      <c r="B4" s="122"/>
      <c r="C4" s="123" t="s">
        <v>89</v>
      </c>
      <c r="D4" s="124"/>
      <c r="E4" s="124"/>
      <c r="F4" s="123" t="s">
        <v>92</v>
      </c>
      <c r="G4" s="124"/>
      <c r="H4" s="124"/>
    </row>
    <row r="5" spans="2:8" s="138" customFormat="1" ht="30">
      <c r="B5" s="126"/>
      <c r="C5" s="127" t="s">
        <v>93</v>
      </c>
      <c r="D5" s="127" t="s">
        <v>94</v>
      </c>
      <c r="E5" s="127" t="s">
        <v>70</v>
      </c>
      <c r="F5" s="127" t="s">
        <v>95</v>
      </c>
      <c r="G5" s="127" t="s">
        <v>94</v>
      </c>
      <c r="H5" s="127" t="s">
        <v>37</v>
      </c>
    </row>
    <row r="6" spans="2:8" hidden="1">
      <c r="B6" s="51" t="s">
        <v>38</v>
      </c>
      <c r="C6" s="139" t="str">
        <f>IFERROR('Tablas turistas zona y tip.'!D6/'Tablas turistas zona y tip.'!D19-1,"-")</f>
        <v>-</v>
      </c>
      <c r="D6" s="139" t="str">
        <f>IFERROR('Tablas turistas zona y tip.'!E6/'Tablas turistas zona y tip.'!E19-1,"-")</f>
        <v>-</v>
      </c>
      <c r="E6" s="139" t="str">
        <f>IFERROR('Tablas turistas zona y tip.'!F6/'Tablas turistas zona y tip.'!F19-1,"-")</f>
        <v>-</v>
      </c>
      <c r="F6" s="139" t="str">
        <f>IFERROR('Tablas turistas zona y tip.'!G6/'Tablas turistas zona y tip.'!G19-1,"-")</f>
        <v>-</v>
      </c>
      <c r="G6" s="139" t="str">
        <f>IFERROR('Tablas turistas zona y tip.'!H6/'Tablas turistas zona y tip.'!H19-1,"-")</f>
        <v>-</v>
      </c>
      <c r="H6" s="139" t="str">
        <f>IFERROR('Tablas turistas zona y tip.'!I6/'Tablas turistas zona y tip.'!I19-1,"-")</f>
        <v>-</v>
      </c>
    </row>
    <row r="7" spans="2:8" hidden="1">
      <c r="B7" s="51" t="s">
        <v>39</v>
      </c>
      <c r="C7" s="139" t="str">
        <f>IFERROR('Tablas turistas zona y tip.'!D7/'Tablas turistas zona y tip.'!D20-1,"-")</f>
        <v>-</v>
      </c>
      <c r="D7" s="139" t="str">
        <f>IFERROR('Tablas turistas zona y tip.'!E7/'Tablas turistas zona y tip.'!E20-1,"-")</f>
        <v>-</v>
      </c>
      <c r="E7" s="139" t="str">
        <f>IFERROR('Tablas turistas zona y tip.'!F7/'Tablas turistas zona y tip.'!F20-1,"-")</f>
        <v>-</v>
      </c>
      <c r="F7" s="139" t="str">
        <f>IFERROR('Tablas turistas zona y tip.'!G7/'Tablas turistas zona y tip.'!G20-1,"-")</f>
        <v>-</v>
      </c>
      <c r="G7" s="139" t="str">
        <f>IFERROR('Tablas turistas zona y tip.'!H7/'Tablas turistas zona y tip.'!H20-1,"-")</f>
        <v>-</v>
      </c>
      <c r="H7" s="139" t="str">
        <f>IFERROR('Tablas turistas zona y tip.'!I7/'Tablas turistas zona y tip.'!I20-1,"-")</f>
        <v>-</v>
      </c>
    </row>
    <row r="8" spans="2:8" hidden="1">
      <c r="B8" s="51" t="s">
        <v>40</v>
      </c>
      <c r="C8" s="139" t="str">
        <f>IFERROR('Tablas turistas zona y tip.'!D8/'Tablas turistas zona y tip.'!D21-1,"-")</f>
        <v>-</v>
      </c>
      <c r="D8" s="139" t="str">
        <f>IFERROR('Tablas turistas zona y tip.'!E8/'Tablas turistas zona y tip.'!E21-1,"-")</f>
        <v>-</v>
      </c>
      <c r="E8" s="139" t="str">
        <f>IFERROR('Tablas turistas zona y tip.'!F8/'Tablas turistas zona y tip.'!F21-1,"-")</f>
        <v>-</v>
      </c>
      <c r="F8" s="139" t="str">
        <f>IFERROR('Tablas turistas zona y tip.'!G8/'Tablas turistas zona y tip.'!G21-1,"-")</f>
        <v>-</v>
      </c>
      <c r="G8" s="139" t="str">
        <f>IFERROR('Tablas turistas zona y tip.'!H8/'Tablas turistas zona y tip.'!H21-1,"-")</f>
        <v>-</v>
      </c>
      <c r="H8" s="139" t="str">
        <f>IFERROR('Tablas turistas zona y tip.'!I8/'Tablas turistas zona y tip.'!I21-1,"-")</f>
        <v>-</v>
      </c>
    </row>
    <row r="9" spans="2:8" hidden="1">
      <c r="B9" s="51" t="s">
        <v>41</v>
      </c>
      <c r="C9" s="139" t="str">
        <f>IFERROR('Tablas turistas zona y tip.'!D9/'Tablas turistas zona y tip.'!D22-1,"-")</f>
        <v>-</v>
      </c>
      <c r="D9" s="139" t="str">
        <f>IFERROR('Tablas turistas zona y tip.'!E9/'Tablas turistas zona y tip.'!E22-1,"-")</f>
        <v>-</v>
      </c>
      <c r="E9" s="139" t="str">
        <f>IFERROR('Tablas turistas zona y tip.'!F9/'Tablas turistas zona y tip.'!F22-1,"-")</f>
        <v>-</v>
      </c>
      <c r="F9" s="139" t="str">
        <f>IFERROR('Tablas turistas zona y tip.'!G9/'Tablas turistas zona y tip.'!G22-1,"-")</f>
        <v>-</v>
      </c>
      <c r="G9" s="139" t="str">
        <f>IFERROR('Tablas turistas zona y tip.'!H9/'Tablas turistas zona y tip.'!H22-1,"-")</f>
        <v>-</v>
      </c>
      <c r="H9" s="139" t="str">
        <f>IFERROR('Tablas turistas zona y tip.'!I9/'Tablas turistas zona y tip.'!I22-1,"-")</f>
        <v>-</v>
      </c>
    </row>
    <row r="10" spans="2:8" hidden="1">
      <c r="B10" s="51" t="s">
        <v>42</v>
      </c>
      <c r="C10" s="139" t="str">
        <f>IFERROR('Tablas turistas zona y tip.'!D10/'Tablas turistas zona y tip.'!D23-1,"-")</f>
        <v>-</v>
      </c>
      <c r="D10" s="139" t="str">
        <f>IFERROR('Tablas turistas zona y tip.'!E10/'Tablas turistas zona y tip.'!E23-1,"-")</f>
        <v>-</v>
      </c>
      <c r="E10" s="139" t="str">
        <f>IFERROR('Tablas turistas zona y tip.'!F10/'Tablas turistas zona y tip.'!F23-1,"-")</f>
        <v>-</v>
      </c>
      <c r="F10" s="139" t="str">
        <f>IFERROR('Tablas turistas zona y tip.'!G10/'Tablas turistas zona y tip.'!G23-1,"-")</f>
        <v>-</v>
      </c>
      <c r="G10" s="139" t="str">
        <f>IFERROR('Tablas turistas zona y tip.'!H10/'Tablas turistas zona y tip.'!H23-1,"-")</f>
        <v>-</v>
      </c>
      <c r="H10" s="139" t="str">
        <f>IFERROR('Tablas turistas zona y tip.'!I10/'Tablas turistas zona y tip.'!I23-1,"-")</f>
        <v>-</v>
      </c>
    </row>
    <row r="11" spans="2:8">
      <c r="B11" s="51" t="s">
        <v>43</v>
      </c>
      <c r="C11" s="139">
        <f>IFERROR('Tablas turistas zona y tip.'!D11/'Tablas turistas zona y tip.'!D24-1,"-")</f>
        <v>-0.10756938603868793</v>
      </c>
      <c r="D11" s="139" t="str">
        <f>IFERROR('Tablas turistas zona y tip.'!E11/'Tablas turistas zona y tip.'!E24-1,"-")</f>
        <v>-</v>
      </c>
      <c r="E11" s="139">
        <f>IFERROR('Tablas turistas zona y tip.'!F11/'Tablas turistas zona y tip.'!F24-1,"-")</f>
        <v>-0.10756938603868793</v>
      </c>
      <c r="F11" s="139">
        <f>IFERROR('Tablas turistas zona y tip.'!G11/'Tablas turistas zona y tip.'!G24-1,"-")</f>
        <v>3.7779213406158751E-2</v>
      </c>
      <c r="G11" s="139">
        <f>IFERROR('Tablas turistas zona y tip.'!H11/'Tablas turistas zona y tip.'!H24-1,"-")</f>
        <v>4.1473236758208021E-2</v>
      </c>
      <c r="H11" s="139">
        <f>IFERROR('Tablas turistas zona y tip.'!I11/'Tablas turistas zona y tip.'!I24-1,"-")</f>
        <v>3.9300314374877576E-2</v>
      </c>
    </row>
    <row r="12" spans="2:8">
      <c r="B12" s="51" t="s">
        <v>44</v>
      </c>
      <c r="C12" s="139">
        <f>IFERROR('Tablas turistas zona y tip.'!D12/'Tablas turistas zona y tip.'!D25-1,"-")</f>
        <v>-5.3333333333333011E-3</v>
      </c>
      <c r="D12" s="139" t="str">
        <f>IFERROR('Tablas turistas zona y tip.'!E12/'Tablas turistas zona y tip.'!E25-1,"-")</f>
        <v>-</v>
      </c>
      <c r="E12" s="139">
        <f>IFERROR('Tablas turistas zona y tip.'!F12/'Tablas turistas zona y tip.'!F25-1,"-")</f>
        <v>-5.3333333333333011E-3</v>
      </c>
      <c r="F12" s="139">
        <f>IFERROR('Tablas turistas zona y tip.'!G12/'Tablas turistas zona y tip.'!G25-1,"-")</f>
        <v>8.0190908452846044E-2</v>
      </c>
      <c r="G12" s="139">
        <f>IFERROR('Tablas turistas zona y tip.'!H12/'Tablas turistas zona y tip.'!H25-1,"-")</f>
        <v>5.8372446618628837E-2</v>
      </c>
      <c r="H12" s="139">
        <f>IFERROR('Tablas turistas zona y tip.'!I12/'Tablas turistas zona y tip.'!I25-1,"-")</f>
        <v>7.1700518496075505E-2</v>
      </c>
    </row>
    <row r="13" spans="2:8">
      <c r="B13" s="51" t="s">
        <v>45</v>
      </c>
      <c r="C13" s="139">
        <f>IFERROR('Tablas turistas zona y tip.'!D13/'Tablas turistas zona y tip.'!D26-1,"-")</f>
        <v>-7.918955024491614E-2</v>
      </c>
      <c r="D13" s="139" t="str">
        <f>IFERROR('Tablas turistas zona y tip.'!E13/'Tablas turistas zona y tip.'!E26-1,"-")</f>
        <v>-</v>
      </c>
      <c r="E13" s="139">
        <f>IFERROR('Tablas turistas zona y tip.'!F13/'Tablas turistas zona y tip.'!F26-1,"-")</f>
        <v>-7.918955024491614E-2</v>
      </c>
      <c r="F13" s="139">
        <f>IFERROR('Tablas turistas zona y tip.'!G13/'Tablas turistas zona y tip.'!G26-1,"-")</f>
        <v>7.4694167065846306E-2</v>
      </c>
      <c r="G13" s="139">
        <f>IFERROR('Tablas turistas zona y tip.'!H13/'Tablas turistas zona y tip.'!H26-1,"-")</f>
        <v>-3.9142219986334381E-2</v>
      </c>
      <c r="H13" s="139">
        <f>IFERROR('Tablas turistas zona y tip.'!I13/'Tablas turistas zona y tip.'!I26-1,"-")</f>
        <v>3.1413702243550334E-2</v>
      </c>
    </row>
    <row r="14" spans="2:8">
      <c r="B14" s="51" t="s">
        <v>46</v>
      </c>
      <c r="C14" s="139">
        <f>IFERROR('Tablas turistas zona y tip.'!D14/'Tablas turistas zona y tip.'!D27-1,"-")</f>
        <v>-3.7005887300252338E-2</v>
      </c>
      <c r="D14" s="139" t="str">
        <f>IFERROR('Tablas turistas zona y tip.'!E14/'Tablas turistas zona y tip.'!E27-1,"-")</f>
        <v>-</v>
      </c>
      <c r="E14" s="139">
        <f>IFERROR('Tablas turistas zona y tip.'!F14/'Tablas turistas zona y tip.'!F27-1,"-")</f>
        <v>-3.7005887300252338E-2</v>
      </c>
      <c r="F14" s="139">
        <f>IFERROR('Tablas turistas zona y tip.'!G14/'Tablas turistas zona y tip.'!G27-1,"-")</f>
        <v>2.3258754633178613E-2</v>
      </c>
      <c r="G14" s="139">
        <f>IFERROR('Tablas turistas zona y tip.'!H14/'Tablas turistas zona y tip.'!H27-1,"-")</f>
        <v>-1.0685518008756389E-2</v>
      </c>
      <c r="H14" s="139">
        <f>IFERROR('Tablas turistas zona y tip.'!I14/'Tablas turistas zona y tip.'!I27-1,"-")</f>
        <v>9.8439404440409106E-3</v>
      </c>
    </row>
    <row r="15" spans="2:8">
      <c r="B15" s="51" t="s">
        <v>47</v>
      </c>
      <c r="C15" s="139">
        <f>IFERROR('Tablas turistas zona y tip.'!D15/'Tablas turistas zona y tip.'!D28-1,"-")</f>
        <v>-6.8932473008369022E-2</v>
      </c>
      <c r="D15" s="139" t="str">
        <f>IFERROR('Tablas turistas zona y tip.'!E15/'Tablas turistas zona y tip.'!E28-1,"-")</f>
        <v>-</v>
      </c>
      <c r="E15" s="139">
        <f>IFERROR('Tablas turistas zona y tip.'!F15/'Tablas turistas zona y tip.'!F28-1,"-")</f>
        <v>-6.8932473008369022E-2</v>
      </c>
      <c r="F15" s="139">
        <f>IFERROR('Tablas turistas zona y tip.'!G15/'Tablas turistas zona y tip.'!G28-1,"-")</f>
        <v>4.2557999070103048E-2</v>
      </c>
      <c r="G15" s="139">
        <f>IFERROR('Tablas turistas zona y tip.'!H15/'Tablas turistas zona y tip.'!H28-1,"-")</f>
        <v>-8.3294773519163812E-2</v>
      </c>
      <c r="H15" s="139">
        <f>IFERROR('Tablas turistas zona y tip.'!I15/'Tablas turistas zona y tip.'!I28-1,"-")</f>
        <v>-1.2568741025816399E-2</v>
      </c>
    </row>
    <row r="16" spans="2:8">
      <c r="B16" s="51" t="s">
        <v>48</v>
      </c>
      <c r="C16" s="139">
        <f>IFERROR('Tablas turistas zona y tip.'!D16/'Tablas turistas zona y tip.'!D29-1,"-")</f>
        <v>0.10460058001581851</v>
      </c>
      <c r="D16" s="139" t="str">
        <f>IFERROR('Tablas turistas zona y tip.'!E16/'Tablas turistas zona y tip.'!E29-1,"-")</f>
        <v>-</v>
      </c>
      <c r="E16" s="139">
        <f>IFERROR('Tablas turistas zona y tip.'!F16/'Tablas turistas zona y tip.'!F29-1,"-")</f>
        <v>0.10460058001581851</v>
      </c>
      <c r="F16" s="139">
        <f>IFERROR('Tablas turistas zona y tip.'!G16/'Tablas turistas zona y tip.'!G29-1,"-")</f>
        <v>-2.9079766111128613E-3</v>
      </c>
      <c r="G16" s="139">
        <f>IFERROR('Tablas turistas zona y tip.'!H16/'Tablas turistas zona y tip.'!H29-1,"-")</f>
        <v>-9.5130321862535894E-2</v>
      </c>
      <c r="H16" s="139">
        <f>IFERROR('Tablas turistas zona y tip.'!I16/'Tablas turistas zona y tip.'!I29-1,"-")</f>
        <v>-4.1586484846284355E-2</v>
      </c>
    </row>
    <row r="17" spans="2:8">
      <c r="B17" s="51" t="s">
        <v>49</v>
      </c>
      <c r="C17" s="139">
        <f>IFERROR('Tablas turistas zona y tip.'!D17/'Tablas turistas zona y tip.'!D30-1,"-")</f>
        <v>-2.8150331613854052E-2</v>
      </c>
      <c r="D17" s="139" t="str">
        <f>IFERROR('Tablas turistas zona y tip.'!E17/'Tablas turistas zona y tip.'!E30-1,"-")</f>
        <v>-</v>
      </c>
      <c r="E17" s="139">
        <f>IFERROR('Tablas turistas zona y tip.'!F17/'Tablas turistas zona y tip.'!F30-1,"-")</f>
        <v>-2.8150331613854052E-2</v>
      </c>
      <c r="F17" s="139">
        <f>IFERROR('Tablas turistas zona y tip.'!G17/'Tablas turistas zona y tip.'!G30-1,"-")</f>
        <v>6.5757898005853521E-2</v>
      </c>
      <c r="G17" s="139">
        <f>IFERROR('Tablas turistas zona y tip.'!H17/'Tablas turistas zona y tip.'!H30-1,"-")</f>
        <v>-7.4122514981451504E-2</v>
      </c>
      <c r="H17" s="139">
        <f>IFERROR('Tablas turistas zona y tip.'!I17/'Tablas turistas zona y tip.'!I30-1,"-")</f>
        <v>3.9581855908386032E-3</v>
      </c>
    </row>
    <row r="18" spans="2:8" ht="30">
      <c r="B18" s="140" t="s">
        <v>55</v>
      </c>
      <c r="C18" s="141">
        <f>IFERROR(('Tablas turistas zona y tip.'!D15+'Tablas turistas zona y tip.'!D16+'Tablas turistas zona y tip.'!D17+'Tablas turistas zona y tip.'!D14+'Tablas turistas zona y tip.'!D13+'Tablas turistas zona y tip.'!D12+'Tablas turistas zona y tip.'!D11)/('Tablas turistas zona y tip.'!D28+'Tablas turistas zona y tip.'!D29+'Tablas turistas zona y tip.'!D30+'Tablas turistas zona y tip.'!D27+'Tablas turistas zona y tip.'!D26+'Tablas turistas zona y tip.'!D25+'Tablas turistas zona y tip.'!D24)-1,"-")</f>
        <v>-2.8999455998660939E-2</v>
      </c>
      <c r="D18" s="141" t="str">
        <f>IFERROR(('Tablas turistas zona y tip.'!E15+'Tablas turistas zona y tip.'!E16+'Tablas turistas zona y tip.'!E17+'Tablas turistas zona y tip.'!E14+'Tablas turistas zona y tip.'!E13+'Tablas turistas zona y tip.'!E12+'Tablas turistas zona y tip.'!E11)/('Tablas turistas zona y tip.'!E28+'Tablas turistas zona y tip.'!E29+'Tablas turistas zona y tip.'!E30+'Tablas turistas zona y tip.'!E27+'Tablas turistas zona y tip.'!E26+'Tablas turistas zona y tip.'!E25+'Tablas turistas zona y tip.'!E24)-1,"-")</f>
        <v>-</v>
      </c>
      <c r="E18" s="141">
        <f>IFERROR(('Tablas turistas zona y tip.'!F15+'Tablas turistas zona y tip.'!F16+'Tablas turistas zona y tip.'!F17+'Tablas turistas zona y tip.'!F14+'Tablas turistas zona y tip.'!F13+'Tablas turistas zona y tip.'!F12+'Tablas turistas zona y tip.'!F11)/('Tablas turistas zona y tip.'!F28+'Tablas turistas zona y tip.'!F29+'Tablas turistas zona y tip.'!F30+'Tablas turistas zona y tip.'!F27+'Tablas turistas zona y tip.'!F26+'Tablas turistas zona y tip.'!F25+'Tablas turistas zona y tip.'!F24)-1,"-")</f>
        <v>-2.8999455998660939E-2</v>
      </c>
      <c r="F18" s="141">
        <f>IFERROR(('Tablas turistas zona y tip.'!G15+'Tablas turistas zona y tip.'!G16+'Tablas turistas zona y tip.'!G17+'Tablas turistas zona y tip.'!G14+'Tablas turistas zona y tip.'!G13+'Tablas turistas zona y tip.'!G12)/('Tablas turistas zona y tip.'!G28+'Tablas turistas zona y tip.'!G29+'Tablas turistas zona y tip.'!G30+'Tablas turistas zona y tip.'!G27+'Tablas turistas zona y tip.'!G26+'Tablas turistas zona y tip.'!G25)-1,"-")</f>
        <v>4.6177656498187503E-2</v>
      </c>
      <c r="G18" s="141">
        <f>IFERROR(('Tablas turistas zona y tip.'!H15+'Tablas turistas zona y tip.'!H16+'Tablas turistas zona y tip.'!H17+'Tablas turistas zona y tip.'!H14+'Tablas turistas zona y tip.'!H13+'Tablas turistas zona y tip.'!H12)/('Tablas turistas zona y tip.'!H28+'Tablas turistas zona y tip.'!H29+'Tablas turistas zona y tip.'!H30+'Tablas turistas zona y tip.'!H27+'Tablas turistas zona y tip.'!H26+'Tablas turistas zona y tip.'!H25)-1,"-")</f>
        <v>-4.4307860497931117E-2</v>
      </c>
      <c r="H18" s="141">
        <f>IFERROR(('Tablas turistas zona y tip.'!I15+'Tablas turistas zona y tip.'!I16+'Tablas turistas zona y tip.'!I17+'Tablas turistas zona y tip.'!I14+'Tablas turistas zona y tip.'!I13+'Tablas turistas zona y tip.'!I12)/('Tablas turistas zona y tip.'!I28+'Tablas turistas zona y tip.'!I29+'Tablas turistas zona y tip.'!I30+'Tablas turistas zona y tip.'!I27+'Tablas turistas zona y tip.'!I26+'Tablas turistas zona y tip.'!I25)-1,"-")</f>
        <v>8.9491767132250377E-3</v>
      </c>
    </row>
    <row r="19" spans="2:8" hidden="1" outlineLevel="1">
      <c r="B19" s="51" t="s">
        <v>38</v>
      </c>
      <c r="C19" s="139">
        <f>IFERROR('Tablas turistas zona y tip.'!D19/'Tablas turistas zona y tip.'!D32-1,"-")</f>
        <v>-0.18881725762459711</v>
      </c>
      <c r="D19" s="139" t="str">
        <f>IFERROR('Tablas turistas zona y tip.'!E19/'Tablas turistas zona y tip.'!E32-1,"-")</f>
        <v>-</v>
      </c>
      <c r="E19" s="139">
        <f>IFERROR('Tablas turistas zona y tip.'!F19/'Tablas turistas zona y tip.'!F32-1,"-")</f>
        <v>-0.18881725762459711</v>
      </c>
      <c r="F19" s="139">
        <f>IFERROR('Tablas turistas zona y tip.'!G19/'Tablas turistas zona y tip.'!G32-1,"-")</f>
        <v>-3.3555786120824771E-2</v>
      </c>
      <c r="G19" s="139">
        <f>IFERROR('Tablas turistas zona y tip.'!H19/'Tablas turistas zona y tip.'!H32-1,"-")</f>
        <v>-0.12401986408782018</v>
      </c>
      <c r="H19" s="139">
        <f>IFERROR('Tablas turistas zona y tip.'!I19/'Tablas turistas zona y tip.'!I32-1,"-")</f>
        <v>-7.2369046545247118E-2</v>
      </c>
    </row>
    <row r="20" spans="2:8" hidden="1" outlineLevel="1">
      <c r="B20" s="51" t="s">
        <v>39</v>
      </c>
      <c r="C20" s="139">
        <f>IFERROR('Tablas turistas zona y tip.'!D20/'Tablas turistas zona y tip.'!D33-1,"-")</f>
        <v>-0.21593902370677576</v>
      </c>
      <c r="D20" s="139" t="str">
        <f>IFERROR('Tablas turistas zona y tip.'!E20/'Tablas turistas zona y tip.'!E33-1,"-")</f>
        <v>-</v>
      </c>
      <c r="E20" s="139">
        <f>IFERROR('Tablas turistas zona y tip.'!F20/'Tablas turistas zona y tip.'!F33-1,"-")</f>
        <v>-0.21593902370677576</v>
      </c>
      <c r="F20" s="139">
        <f>IFERROR('Tablas turistas zona y tip.'!G20/'Tablas turistas zona y tip.'!G33-1,"-")</f>
        <v>-8.5973989084342728E-2</v>
      </c>
      <c r="G20" s="139">
        <f>IFERROR('Tablas turistas zona y tip.'!H20/'Tablas turistas zona y tip.'!H33-1,"-")</f>
        <v>-0.2091200992957557</v>
      </c>
      <c r="H20" s="139">
        <f>IFERROR('Tablas turistas zona y tip.'!I20/'Tablas turistas zona y tip.'!I33-1,"-")</f>
        <v>-0.1388289248158614</v>
      </c>
    </row>
    <row r="21" spans="2:8" hidden="1" outlineLevel="1">
      <c r="B21" s="51" t="s">
        <v>40</v>
      </c>
      <c r="C21" s="139">
        <f>IFERROR('Tablas turistas zona y tip.'!D21/'Tablas turistas zona y tip.'!D34-1,"-")</f>
        <v>-0.31524644499091203</v>
      </c>
      <c r="D21" s="139" t="str">
        <f>IFERROR('Tablas turistas zona y tip.'!E21/'Tablas turistas zona y tip.'!E34-1,"-")</f>
        <v>-</v>
      </c>
      <c r="E21" s="139">
        <f>IFERROR('Tablas turistas zona y tip.'!F21/'Tablas turistas zona y tip.'!F34-1,"-")</f>
        <v>-0.31524644499091203</v>
      </c>
      <c r="F21" s="139">
        <f>IFERROR('Tablas turistas zona y tip.'!G21/'Tablas turistas zona y tip.'!G34-1,"-")</f>
        <v>-6.9029966497084039E-2</v>
      </c>
      <c r="G21" s="139">
        <f>IFERROR('Tablas turistas zona y tip.'!H21/'Tablas turistas zona y tip.'!H34-1,"-")</f>
        <v>-0.10427843821513405</v>
      </c>
      <c r="H21" s="139">
        <f>IFERROR('Tablas turistas zona y tip.'!I21/'Tablas turistas zona y tip.'!I34-1,"-")</f>
        <v>-8.3705814324543937E-2</v>
      </c>
    </row>
    <row r="22" spans="2:8" hidden="1" outlineLevel="1">
      <c r="B22" s="51" t="s">
        <v>41</v>
      </c>
      <c r="C22" s="139">
        <f>IFERROR('Tablas turistas zona y tip.'!D22/'Tablas turistas zona y tip.'!D35-1,"-")</f>
        <v>-0.2650323774283071</v>
      </c>
      <c r="D22" s="139" t="str">
        <f>IFERROR('Tablas turistas zona y tip.'!E22/'Tablas turistas zona y tip.'!E35-1,"-")</f>
        <v>-</v>
      </c>
      <c r="E22" s="139">
        <f>IFERROR('Tablas turistas zona y tip.'!F22/'Tablas turistas zona y tip.'!F35-1,"-")</f>
        <v>-0.2650323774283071</v>
      </c>
      <c r="F22" s="139">
        <f>IFERROR('Tablas turistas zona y tip.'!G22/'Tablas turistas zona y tip.'!G35-1,"-")</f>
        <v>-0.11000869814925029</v>
      </c>
      <c r="G22" s="139">
        <f>IFERROR('Tablas turistas zona y tip.'!H22/'Tablas turistas zona y tip.'!H35-1,"-")</f>
        <v>-7.0903771561709794E-2</v>
      </c>
      <c r="H22" s="139">
        <f>IFERROR('Tablas turistas zona y tip.'!I22/'Tablas turistas zona y tip.'!I35-1,"-")</f>
        <v>-9.4912854949036563E-2</v>
      </c>
    </row>
    <row r="23" spans="2:8" hidden="1" outlineLevel="1">
      <c r="B23" s="51" t="s">
        <v>42</v>
      </c>
      <c r="C23" s="139">
        <f>IFERROR('Tablas turistas zona y tip.'!D23/'Tablas turistas zona y tip.'!D36-1,"-")</f>
        <v>-0.36813454663633405</v>
      </c>
      <c r="D23" s="139" t="str">
        <f>IFERROR('Tablas turistas zona y tip.'!E23/'Tablas turistas zona y tip.'!E36-1,"-")</f>
        <v>-</v>
      </c>
      <c r="E23" s="139">
        <f>IFERROR('Tablas turistas zona y tip.'!F23/'Tablas turistas zona y tip.'!F36-1,"-")</f>
        <v>-0.36813454663633405</v>
      </c>
      <c r="F23" s="139">
        <f>IFERROR('Tablas turistas zona y tip.'!G23/'Tablas turistas zona y tip.'!G36-1,"-")</f>
        <v>-0.10969000293227116</v>
      </c>
      <c r="G23" s="139">
        <f>IFERROR('Tablas turistas zona y tip.'!H23/'Tablas turistas zona y tip.'!H36-1,"-")</f>
        <v>-0.13446018769222678</v>
      </c>
      <c r="H23" s="139">
        <f>IFERROR('Tablas turistas zona y tip.'!I23/'Tablas turistas zona y tip.'!I36-1,"-")</f>
        <v>-0.12032194672458696</v>
      </c>
    </row>
    <row r="24" spans="2:8" hidden="1" outlineLevel="1">
      <c r="B24" s="51" t="s">
        <v>43</v>
      </c>
      <c r="C24" s="139">
        <f>IFERROR('Tablas turistas zona y tip.'!D24/'Tablas turistas zona y tip.'!D37-1,"-")</f>
        <v>-0.27220419905735449</v>
      </c>
      <c r="D24" s="139" t="str">
        <f>IFERROR('Tablas turistas zona y tip.'!E24/'Tablas turistas zona y tip.'!E37-1,"-")</f>
        <v>-</v>
      </c>
      <c r="E24" s="139">
        <f>IFERROR('Tablas turistas zona y tip.'!F24/'Tablas turistas zona y tip.'!F37-1,"-")</f>
        <v>-0.27220419905735449</v>
      </c>
      <c r="F24" s="139">
        <f>IFERROR('Tablas turistas zona y tip.'!G24/'Tablas turistas zona y tip.'!G37-1,"-")</f>
        <v>-7.7880393969152584E-2</v>
      </c>
      <c r="G24" s="139">
        <f>IFERROR('Tablas turistas zona y tip.'!H24/'Tablas turistas zona y tip.'!H37-1,"-")</f>
        <v>-6.1711160908742624E-2</v>
      </c>
      <c r="H24" s="139">
        <f>IFERROR('Tablas turistas zona y tip.'!I24/'Tablas turistas zona y tip.'!I37-1,"-")</f>
        <v>-7.129030533126568E-2</v>
      </c>
    </row>
    <row r="25" spans="2:8" hidden="1" outlineLevel="1">
      <c r="B25" s="51" t="s">
        <v>44</v>
      </c>
      <c r="C25" s="139">
        <f>IFERROR('Tablas turistas zona y tip.'!D25/'Tablas turistas zona y tip.'!D38-1,"-")</f>
        <v>-0.17422279792746109</v>
      </c>
      <c r="D25" s="139" t="str">
        <f>IFERROR('Tablas turistas zona y tip.'!E25/'Tablas turistas zona y tip.'!E38-1,"-")</f>
        <v>-</v>
      </c>
      <c r="E25" s="139">
        <f>IFERROR('Tablas turistas zona y tip.'!F25/'Tablas turistas zona y tip.'!F38-1,"-")</f>
        <v>-0.17422279792746109</v>
      </c>
      <c r="F25" s="139">
        <f>IFERROR('Tablas turistas zona y tip.'!G25/'Tablas turistas zona y tip.'!G38-1,"-")</f>
        <v>-0.12861860882328957</v>
      </c>
      <c r="G25" s="139">
        <f>IFERROR('Tablas turistas zona y tip.'!H25/'Tablas turistas zona y tip.'!H38-1,"-")</f>
        <v>-0.13379058477708994</v>
      </c>
      <c r="H25" s="139">
        <f>IFERROR('Tablas turistas zona y tip.'!I25/'Tablas turistas zona y tip.'!I38-1,"-")</f>
        <v>-0.13063854424733679</v>
      </c>
    </row>
    <row r="26" spans="2:8" hidden="1" outlineLevel="1">
      <c r="B26" s="51" t="s">
        <v>45</v>
      </c>
      <c r="C26" s="139">
        <f>IFERROR('Tablas turistas zona y tip.'!D26/'Tablas turistas zona y tip.'!D39-1,"-")</f>
        <v>-0.22727533405975797</v>
      </c>
      <c r="D26" s="139" t="str">
        <f>IFERROR('Tablas turistas zona y tip.'!E26/'Tablas turistas zona y tip.'!E39-1,"-")</f>
        <v>-</v>
      </c>
      <c r="E26" s="139">
        <f>IFERROR('Tablas turistas zona y tip.'!F26/'Tablas turistas zona y tip.'!F39-1,"-")</f>
        <v>-0.22727533405975797</v>
      </c>
      <c r="F26" s="139">
        <f>IFERROR('Tablas turistas zona y tip.'!G26/'Tablas turistas zona y tip.'!G39-1,"-")</f>
        <v>-0.15982555057214609</v>
      </c>
      <c r="G26" s="139">
        <f>IFERROR('Tablas turistas zona y tip.'!H26/'Tablas turistas zona y tip.'!H39-1,"-")</f>
        <v>-0.13950197710180134</v>
      </c>
      <c r="H26" s="139">
        <f>IFERROR('Tablas turistas zona y tip.'!I26/'Tablas turistas zona y tip.'!I39-1,"-")</f>
        <v>-0.152212689231216</v>
      </c>
    </row>
    <row r="27" spans="2:8" hidden="1" outlineLevel="1">
      <c r="B27" s="51" t="s">
        <v>46</v>
      </c>
      <c r="C27" s="139">
        <f>IFERROR('Tablas turistas zona y tip.'!D27/'Tablas turistas zona y tip.'!D40-1,"-")</f>
        <v>-0.25657932132097994</v>
      </c>
      <c r="D27" s="139" t="str">
        <f>IFERROR('Tablas turistas zona y tip.'!E27/'Tablas turistas zona y tip.'!E40-1,"-")</f>
        <v>-</v>
      </c>
      <c r="E27" s="139">
        <f>IFERROR('Tablas turistas zona y tip.'!F27/'Tablas turistas zona y tip.'!F40-1,"-")</f>
        <v>-0.25657932132097994</v>
      </c>
      <c r="F27" s="139">
        <f>IFERROR('Tablas turistas zona y tip.'!G27/'Tablas turistas zona y tip.'!G40-1,"-")</f>
        <v>-3.1596912633024998E-2</v>
      </c>
      <c r="G27" s="139">
        <f>IFERROR('Tablas turistas zona y tip.'!H27/'Tablas turistas zona y tip.'!H40-1,"-")</f>
        <v>1.3315685301272806E-2</v>
      </c>
      <c r="H27" s="139">
        <f>IFERROR('Tablas turistas zona y tip.'!I27/'Tablas turistas zona y tip.'!I40-1,"-")</f>
        <v>-1.4331682818470082E-2</v>
      </c>
    </row>
    <row r="28" spans="2:8" hidden="1" outlineLevel="1">
      <c r="B28" s="51" t="s">
        <v>47</v>
      </c>
      <c r="C28" s="139">
        <f>IFERROR('Tablas turistas zona y tip.'!D28/'Tablas turistas zona y tip.'!D41-1,"-")</f>
        <v>-5.4256540390308694E-2</v>
      </c>
      <c r="D28" s="139" t="str">
        <f>IFERROR('Tablas turistas zona y tip.'!E28/'Tablas turistas zona y tip.'!E41-1,"-")</f>
        <v>-</v>
      </c>
      <c r="E28" s="139">
        <f>IFERROR('Tablas turistas zona y tip.'!F28/'Tablas turistas zona y tip.'!F41-1,"-")</f>
        <v>-5.4256540390308694E-2</v>
      </c>
      <c r="F28" s="139">
        <f>IFERROR('Tablas turistas zona y tip.'!G28/'Tablas turistas zona y tip.'!G41-1,"-")</f>
        <v>-0.2193959581295325</v>
      </c>
      <c r="G28" s="139">
        <f>IFERROR('Tablas turistas zona y tip.'!H28/'Tablas turistas zona y tip.'!H41-1,"-")</f>
        <v>-0.15892605113729608</v>
      </c>
      <c r="H28" s="139">
        <f>IFERROR('Tablas turistas zona y tip.'!I28/'Tablas turistas zona y tip.'!I41-1,"-")</f>
        <v>-0.19401357652194617</v>
      </c>
    </row>
    <row r="29" spans="2:8" hidden="1" outlineLevel="1">
      <c r="B29" s="51" t="s">
        <v>48</v>
      </c>
      <c r="C29" s="139">
        <f>IFERROR('Tablas turistas zona y tip.'!D29/'Tablas turistas zona y tip.'!D42-1,"-")</f>
        <v>-0.21611986566778607</v>
      </c>
      <c r="D29" s="139" t="str">
        <f>IFERROR('Tablas turistas zona y tip.'!E29/'Tablas turistas zona y tip.'!E42-1,"-")</f>
        <v>-</v>
      </c>
      <c r="E29" s="139">
        <f>IFERROR('Tablas turistas zona y tip.'!F29/'Tablas turistas zona y tip.'!F42-1,"-")</f>
        <v>-0.21611986566778607</v>
      </c>
      <c r="F29" s="139">
        <f>IFERROR('Tablas turistas zona y tip.'!G29/'Tablas turistas zona y tip.'!G42-1,"-")</f>
        <v>-0.14176892967908394</v>
      </c>
      <c r="G29" s="139">
        <f>IFERROR('Tablas turistas zona y tip.'!H29/'Tablas turistas zona y tip.'!H42-1,"-")</f>
        <v>-0.1876516418765164</v>
      </c>
      <c r="H29" s="139">
        <f>IFERROR('Tablas turistas zona y tip.'!I29/'Tablas turistas zona y tip.'!I42-1,"-")</f>
        <v>-0.16162881209259039</v>
      </c>
    </row>
    <row r="30" spans="2:8" hidden="1" outlineLevel="1">
      <c r="B30" s="51" t="s">
        <v>49</v>
      </c>
      <c r="C30" s="139">
        <f>IFERROR('Tablas turistas zona y tip.'!D30/'Tablas turistas zona y tip.'!D43-1,"-")</f>
        <v>-0.20091861971499236</v>
      </c>
      <c r="D30" s="139" t="str">
        <f>IFERROR('Tablas turistas zona y tip.'!E30/'Tablas turistas zona y tip.'!E43-1,"-")</f>
        <v>-</v>
      </c>
      <c r="E30" s="139">
        <f>IFERROR('Tablas turistas zona y tip.'!F30/'Tablas turistas zona y tip.'!F43-1,"-")</f>
        <v>-0.20091861971499236</v>
      </c>
      <c r="F30" s="139">
        <f>IFERROR('Tablas turistas zona y tip.'!G30/'Tablas turistas zona y tip.'!G43-1,"-")</f>
        <v>-0.10720047050915815</v>
      </c>
      <c r="G30" s="139">
        <f>IFERROR('Tablas turistas zona y tip.'!H30/'Tablas turistas zona y tip.'!H43-1,"-")</f>
        <v>-2.0377736492979359E-2</v>
      </c>
      <c r="H30" s="139">
        <f>IFERROR('Tablas turistas zona y tip.'!I30/'Tablas turistas zona y tip.'!I43-1,"-")</f>
        <v>-7.081686992217151E-2</v>
      </c>
    </row>
    <row r="31" spans="2:8" collapsed="1">
      <c r="B31" s="131">
        <v>2009</v>
      </c>
      <c r="C31" s="142">
        <f>IFERROR('Tablas turistas zona y tip.'!D31/'Tablas turistas zona y tip.'!D44-1,"-")</f>
        <v>-0.22743196308640867</v>
      </c>
      <c r="D31" s="142" t="str">
        <f>IFERROR('Tablas turistas zona y tip.'!E31/'Tablas turistas zona y tip.'!E44-1,"-")</f>
        <v>-</v>
      </c>
      <c r="E31" s="142">
        <f>IFERROR('Tablas turistas zona y tip.'!F31/'Tablas turistas zona y tip.'!F44-1,"-")</f>
        <v>-0.22743196308640867</v>
      </c>
      <c r="F31" s="142">
        <f>IFERROR('Tablas turistas zona y tip.'!G31/'Tablas turistas zona y tip.'!G44-1,"-")</f>
        <v>-0.10789822844942742</v>
      </c>
      <c r="G31" s="142">
        <f>IFERROR('Tablas turistas zona y tip.'!H31/'Tablas turistas zona y tip.'!H44-1,"-")</f>
        <v>-0.11411270813365437</v>
      </c>
      <c r="H31" s="142">
        <f>IFERROR('Tablas turistas zona y tip.'!I31/'Tablas turistas zona y tip.'!I44-1,"-")</f>
        <v>-0.11045141390545221</v>
      </c>
    </row>
    <row r="32" spans="2:8" hidden="1" outlineLevel="1">
      <c r="B32" s="51" t="s">
        <v>38</v>
      </c>
      <c r="C32" s="139">
        <f>IFERROR('Tablas turistas zona y tip.'!D32/'Tablas turistas zona y tip.'!D45-1,"-")</f>
        <v>-4.5104770924588644E-2</v>
      </c>
      <c r="D32" s="139" t="str">
        <f>IFERROR('Tablas turistas zona y tip.'!E32/'Tablas turistas zona y tip.'!E45-1,"-")</f>
        <v>-</v>
      </c>
      <c r="E32" s="139">
        <f>IFERROR('Tablas turistas zona y tip.'!F32/'Tablas turistas zona y tip.'!F45-1,"-")</f>
        <v>-4.5104770924588644E-2</v>
      </c>
      <c r="F32" s="139">
        <f>IFERROR('Tablas turistas zona y tip.'!G32/'Tablas turistas zona y tip.'!G45-1,"-")</f>
        <v>-6.0835358371628567E-2</v>
      </c>
      <c r="G32" s="139">
        <f>IFERROR('Tablas turistas zona y tip.'!H32/'Tablas turistas zona y tip.'!H45-1,"-")</f>
        <v>-6.8597254416325359E-2</v>
      </c>
      <c r="H32" s="139">
        <f>IFERROR('Tablas turistas zona y tip.'!I32/'Tablas turistas zona y tip.'!I45-1,"-")</f>
        <v>-6.4181358592495297E-2</v>
      </c>
    </row>
    <row r="33" spans="2:8" hidden="1" outlineLevel="1">
      <c r="B33" s="51" t="s">
        <v>39</v>
      </c>
      <c r="C33" s="139">
        <f>IFERROR('Tablas turistas zona y tip.'!D33/'Tablas turistas zona y tip.'!D46-1,"-")</f>
        <v>-5.6375271034956875E-2</v>
      </c>
      <c r="D33" s="139" t="str">
        <f>IFERROR('Tablas turistas zona y tip.'!E33/'Tablas turistas zona y tip.'!E46-1,"-")</f>
        <v>-</v>
      </c>
      <c r="E33" s="139">
        <f>IFERROR('Tablas turistas zona y tip.'!F33/'Tablas turistas zona y tip.'!F46-1,"-")</f>
        <v>-5.6375271034956875E-2</v>
      </c>
      <c r="F33" s="139">
        <f>IFERROR('Tablas turistas zona y tip.'!G33/'Tablas turistas zona y tip.'!G46-1,"-")</f>
        <v>-6.4904758290961539E-2</v>
      </c>
      <c r="G33" s="139">
        <f>IFERROR('Tablas turistas zona y tip.'!H33/'Tablas turistas zona y tip.'!H46-1,"-")</f>
        <v>-4.4770348987061226E-2</v>
      </c>
      <c r="H33" s="139">
        <f>IFERROR('Tablas turistas zona y tip.'!I33/'Tablas turistas zona y tip.'!I46-1,"-")</f>
        <v>-5.6367888444473602E-2</v>
      </c>
    </row>
    <row r="34" spans="2:8" hidden="1" outlineLevel="1">
      <c r="B34" s="51" t="s">
        <v>40</v>
      </c>
      <c r="C34" s="139">
        <f>IFERROR('Tablas turistas zona y tip.'!D34/'Tablas turistas zona y tip.'!D47-1,"-")</f>
        <v>7.8404243053153522E-2</v>
      </c>
      <c r="D34" s="139" t="str">
        <f>IFERROR('Tablas turistas zona y tip.'!E34/'Tablas turistas zona y tip.'!E47-1,"-")</f>
        <v>-</v>
      </c>
      <c r="E34" s="139">
        <f>IFERROR('Tablas turistas zona y tip.'!F34/'Tablas turistas zona y tip.'!F47-1,"-")</f>
        <v>7.8404243053153522E-2</v>
      </c>
      <c r="F34" s="139">
        <f>IFERROR('Tablas turistas zona y tip.'!G34/'Tablas turistas zona y tip.'!G47-1,"-")</f>
        <v>-6.3063586755120915E-2</v>
      </c>
      <c r="G34" s="139">
        <f>IFERROR('Tablas turistas zona y tip.'!H34/'Tablas turistas zona y tip.'!H47-1,"-")</f>
        <v>-4.1318825626113886E-2</v>
      </c>
      <c r="H34" s="139">
        <f>IFERROR('Tablas turistas zona y tip.'!I34/'Tablas turistas zona y tip.'!I47-1,"-")</f>
        <v>-5.4131060229822059E-2</v>
      </c>
    </row>
    <row r="35" spans="2:8" hidden="1" outlineLevel="1">
      <c r="B35" s="51" t="s">
        <v>41</v>
      </c>
      <c r="C35" s="139">
        <f>IFERROR('Tablas turistas zona y tip.'!D35/'Tablas turistas zona y tip.'!D48-1,"-")</f>
        <v>7.6004265908282909E-2</v>
      </c>
      <c r="D35" s="139" t="str">
        <f>IFERROR('Tablas turistas zona y tip.'!E35/'Tablas turistas zona y tip.'!E48-1,"-")</f>
        <v>-</v>
      </c>
      <c r="E35" s="139">
        <f>IFERROR('Tablas turistas zona y tip.'!F35/'Tablas turistas zona y tip.'!F48-1,"-")</f>
        <v>7.6004265908282909E-2</v>
      </c>
      <c r="F35" s="139">
        <f>IFERROR('Tablas turistas zona y tip.'!G35/'Tablas turistas zona y tip.'!G48-1,"-")</f>
        <v>-5.2044990985233186E-2</v>
      </c>
      <c r="G35" s="139">
        <f>IFERROR('Tablas turistas zona y tip.'!H35/'Tablas turistas zona y tip.'!H48-1,"-")</f>
        <v>-3.2890356941670529E-2</v>
      </c>
      <c r="H35" s="139">
        <f>IFERROR('Tablas turistas zona y tip.'!I35/'Tablas turistas zona y tip.'!I48-1,"-")</f>
        <v>-4.4741254951926934E-2</v>
      </c>
    </row>
    <row r="36" spans="2:8" hidden="1" outlineLevel="1">
      <c r="B36" s="51" t="s">
        <v>42</v>
      </c>
      <c r="C36" s="139">
        <f>IFERROR('Tablas turistas zona y tip.'!D36/'Tablas turistas zona y tip.'!D49-1,"-")</f>
        <v>0.23487508778970612</v>
      </c>
      <c r="D36" s="139" t="str">
        <f>IFERROR('Tablas turistas zona y tip.'!E36/'Tablas turistas zona y tip.'!E49-1,"-")</f>
        <v>-</v>
      </c>
      <c r="E36" s="139">
        <f>IFERROR('Tablas turistas zona y tip.'!F36/'Tablas turistas zona y tip.'!F49-1,"-")</f>
        <v>0.23487508778970612</v>
      </c>
      <c r="F36" s="139">
        <f>IFERROR('Tablas turistas zona y tip.'!G36/'Tablas turistas zona y tip.'!G49-1,"-")</f>
        <v>1.5521279443254876E-2</v>
      </c>
      <c r="G36" s="139">
        <f>IFERROR('Tablas turistas zona y tip.'!H36/'Tablas turistas zona y tip.'!H49-1,"-")</f>
        <v>-6.381904297555252E-3</v>
      </c>
      <c r="H36" s="139">
        <f>IFERROR('Tablas turistas zona y tip.'!I36/'Tablas turistas zona y tip.'!I49-1,"-")</f>
        <v>6.0027393528467865E-3</v>
      </c>
    </row>
    <row r="37" spans="2:8" hidden="1" outlineLevel="1">
      <c r="B37" s="51" t="s">
        <v>43</v>
      </c>
      <c r="C37" s="139">
        <f>IFERROR('Tablas turistas zona y tip.'!D37/'Tablas turistas zona y tip.'!D50-1,"-")</f>
        <v>0.13767409470752079</v>
      </c>
      <c r="D37" s="139" t="str">
        <f>IFERROR('Tablas turistas zona y tip.'!E37/'Tablas turistas zona y tip.'!E50-1,"-")</f>
        <v>-</v>
      </c>
      <c r="E37" s="139">
        <f>IFERROR('Tablas turistas zona y tip.'!F37/'Tablas turistas zona y tip.'!F50-1,"-")</f>
        <v>0.13767409470752079</v>
      </c>
      <c r="F37" s="139">
        <f>IFERROR('Tablas turistas zona y tip.'!G37/'Tablas turistas zona y tip.'!G50-1,"-")</f>
        <v>3.6489605716583107E-3</v>
      </c>
      <c r="G37" s="139">
        <f>IFERROR('Tablas turistas zona y tip.'!H37/'Tablas turistas zona y tip.'!H50-1,"-")</f>
        <v>1.7822406813521319E-3</v>
      </c>
      <c r="H37" s="139">
        <f>IFERROR('Tablas turistas zona y tip.'!I37/'Tablas turistas zona y tip.'!I50-1,"-")</f>
        <v>2.8873029458640342E-3</v>
      </c>
    </row>
    <row r="38" spans="2:8" hidden="1" outlineLevel="1">
      <c r="B38" s="51" t="s">
        <v>44</v>
      </c>
      <c r="C38" s="139">
        <f>IFERROR('Tablas turistas zona y tip.'!D38/'Tablas turistas zona y tip.'!D51-1,"-")</f>
        <v>0.17227241667299364</v>
      </c>
      <c r="D38" s="139" t="str">
        <f>IFERROR('Tablas turistas zona y tip.'!E38/'Tablas turistas zona y tip.'!E51-1,"-")</f>
        <v>-</v>
      </c>
      <c r="E38" s="139">
        <f>IFERROR('Tablas turistas zona y tip.'!F38/'Tablas turistas zona y tip.'!F51-1,"-")</f>
        <v>0.17227241667299364</v>
      </c>
      <c r="F38" s="139">
        <f>IFERROR('Tablas turistas zona y tip.'!G38/'Tablas turistas zona y tip.'!G51-1,"-")</f>
        <v>-6.823381724675559E-3</v>
      </c>
      <c r="G38" s="139">
        <f>IFERROR('Tablas turistas zona y tip.'!H38/'Tablas turistas zona y tip.'!H51-1,"-")</f>
        <v>-4.477385163305736E-2</v>
      </c>
      <c r="H38" s="139">
        <f>IFERROR('Tablas turistas zona y tip.'!I38/'Tablas turistas zona y tip.'!I51-1,"-")</f>
        <v>-2.1998478673481037E-2</v>
      </c>
    </row>
    <row r="39" spans="2:8" hidden="1" outlineLevel="1">
      <c r="B39" s="51" t="s">
        <v>45</v>
      </c>
      <c r="C39" s="139">
        <f>IFERROR('Tablas turistas zona y tip.'!D39/'Tablas turistas zona y tip.'!D52-1,"-")</f>
        <v>0.18409615645796551</v>
      </c>
      <c r="D39" s="139" t="str">
        <f>IFERROR('Tablas turistas zona y tip.'!E39/'Tablas turistas zona y tip.'!E52-1,"-")</f>
        <v>-</v>
      </c>
      <c r="E39" s="139">
        <f>IFERROR('Tablas turistas zona y tip.'!F39/'Tablas turistas zona y tip.'!F52-1,"-")</f>
        <v>0.18409615645796551</v>
      </c>
      <c r="F39" s="139">
        <f>IFERROR('Tablas turistas zona y tip.'!G39/'Tablas turistas zona y tip.'!G52-1,"-")</f>
        <v>0.22747525222777454</v>
      </c>
      <c r="G39" s="139">
        <f>IFERROR('Tablas turistas zona y tip.'!H39/'Tablas turistas zona y tip.'!H52-1,"-")</f>
        <v>0.18120416091094338</v>
      </c>
      <c r="H39" s="139">
        <f>IFERROR('Tablas turistas zona y tip.'!I39/'Tablas turistas zona y tip.'!I52-1,"-")</f>
        <v>0.20972440587551566</v>
      </c>
    </row>
    <row r="40" spans="2:8" hidden="1" outlineLevel="1">
      <c r="B40" s="51" t="s">
        <v>46</v>
      </c>
      <c r="C40" s="139">
        <f>IFERROR('Tablas turistas zona y tip.'!D40/'Tablas turistas zona y tip.'!D53-1,"-")</f>
        <v>0.13561838368190027</v>
      </c>
      <c r="D40" s="139" t="str">
        <f>IFERROR('Tablas turistas zona y tip.'!E40/'Tablas turistas zona y tip.'!E53-1,"-")</f>
        <v>-</v>
      </c>
      <c r="E40" s="139">
        <f>IFERROR('Tablas turistas zona y tip.'!F40/'Tablas turistas zona y tip.'!F53-1,"-")</f>
        <v>0.13561838368190027</v>
      </c>
      <c r="F40" s="139">
        <f>IFERROR('Tablas turistas zona y tip.'!G40/'Tablas turistas zona y tip.'!G53-1,"-")</f>
        <v>-1.6913764629315486E-2</v>
      </c>
      <c r="G40" s="139">
        <f>IFERROR('Tablas turistas zona y tip.'!H40/'Tablas turistas zona y tip.'!H53-1,"-")</f>
        <v>-5.3515294226820886E-2</v>
      </c>
      <c r="H40" s="139">
        <f>IFERROR('Tablas turistas zona y tip.'!I40/'Tablas turistas zona y tip.'!I53-1,"-")</f>
        <v>-3.1314106294082933E-2</v>
      </c>
    </row>
    <row r="41" spans="2:8" hidden="1" outlineLevel="1">
      <c r="B41" s="51" t="s">
        <v>47</v>
      </c>
      <c r="C41" s="139">
        <f>IFERROR('Tablas turistas zona y tip.'!D41/'Tablas turistas zona y tip.'!D54-1,"-")</f>
        <v>-0.12916973587288227</v>
      </c>
      <c r="D41" s="139" t="str">
        <f>IFERROR('Tablas turistas zona y tip.'!E41/'Tablas turistas zona y tip.'!E54-1,"-")</f>
        <v>-</v>
      </c>
      <c r="E41" s="139">
        <f>IFERROR('Tablas turistas zona y tip.'!F41/'Tablas turistas zona y tip.'!F54-1,"-")</f>
        <v>-0.12916973587288227</v>
      </c>
      <c r="F41" s="139">
        <f>IFERROR('Tablas turistas zona y tip.'!G41/'Tablas turistas zona y tip.'!G54-1,"-")</f>
        <v>6.0363772385093828E-2</v>
      </c>
      <c r="G41" s="139">
        <f>IFERROR('Tablas turistas zona y tip.'!H41/'Tablas turistas zona y tip.'!H54-1,"-")</f>
        <v>1.0763135195594353E-2</v>
      </c>
      <c r="H41" s="139">
        <f>IFERROR('Tablas turistas zona y tip.'!I41/'Tablas turistas zona y tip.'!I54-1,"-")</f>
        <v>3.8962924489140738E-2</v>
      </c>
    </row>
    <row r="42" spans="2:8" hidden="1" outlineLevel="1">
      <c r="B42" s="51" t="s">
        <v>48</v>
      </c>
      <c r="C42" s="139">
        <f>IFERROR('Tablas turistas zona y tip.'!D42/'Tablas turistas zona y tip.'!D55-1,"-")</f>
        <v>0.27151491262646177</v>
      </c>
      <c r="D42" s="139" t="str">
        <f>IFERROR('Tablas turistas zona y tip.'!E42/'Tablas turistas zona y tip.'!E55-1,"-")</f>
        <v>-</v>
      </c>
      <c r="E42" s="139">
        <f>IFERROR('Tablas turistas zona y tip.'!F42/'Tablas turistas zona y tip.'!F55-1,"-")</f>
        <v>0.27151491262646177</v>
      </c>
      <c r="F42" s="139">
        <f>IFERROR('Tablas turistas zona y tip.'!G42/'Tablas turistas zona y tip.'!G55-1,"-")</f>
        <v>7.5054814619429866E-2</v>
      </c>
      <c r="G42" s="139">
        <f>IFERROR('Tablas turistas zona y tip.'!H42/'Tablas turistas zona y tip.'!H55-1,"-")</f>
        <v>9.8322758620689621E-2</v>
      </c>
      <c r="H42" s="139">
        <f>IFERROR('Tablas turistas zona y tip.'!I42/'Tablas turistas zona y tip.'!I55-1,"-")</f>
        <v>8.5003986921011743E-2</v>
      </c>
    </row>
    <row r="43" spans="2:8" hidden="1" outlineLevel="1">
      <c r="B43" s="51" t="s">
        <v>49</v>
      </c>
      <c r="C43" s="139">
        <f>IFERROR('Tablas turistas zona y tip.'!D43/'Tablas turistas zona y tip.'!D56-1,"-")</f>
        <v>0.17060729303095057</v>
      </c>
      <c r="D43" s="139" t="str">
        <f>IFERROR('Tablas turistas zona y tip.'!E43/'Tablas turistas zona y tip.'!E56-1,"-")</f>
        <v>-</v>
      </c>
      <c r="E43" s="139">
        <f>IFERROR('Tablas turistas zona y tip.'!F43/'Tablas turistas zona y tip.'!F56-1,"-")</f>
        <v>0.17060729303095057</v>
      </c>
      <c r="F43" s="139">
        <f>IFERROR('Tablas turistas zona y tip.'!G43/'Tablas turistas zona y tip.'!G56-1,"-")</f>
        <v>8.4389615671389695E-3</v>
      </c>
      <c r="G43" s="139">
        <f>IFERROR('Tablas turistas zona y tip.'!H43/'Tablas turistas zona y tip.'!H56-1,"-")</f>
        <v>3.6766854884906497E-3</v>
      </c>
      <c r="H43" s="139">
        <f>IFERROR('Tablas turistas zona y tip.'!I43/'Tablas turistas zona y tip.'!I56-1,"-")</f>
        <v>6.4378104075888398E-3</v>
      </c>
    </row>
    <row r="44" spans="2:8" collapsed="1">
      <c r="B44" s="133">
        <v>2008</v>
      </c>
      <c r="C44" s="143">
        <f>IFERROR('Tablas turistas zona y tip.'!D44/'Tablas turistas zona y tip.'!D57-1,"-")</f>
        <v>8.7948166498788449E-2</v>
      </c>
      <c r="D44" s="143" t="str">
        <f>IFERROR('Tablas turistas zona y tip.'!E44/'Tablas turistas zona y tip.'!E57-1,"-")</f>
        <v>-</v>
      </c>
      <c r="E44" s="143">
        <f>IFERROR('Tablas turistas zona y tip.'!F44/'Tablas turistas zona y tip.'!F57-1,"-")</f>
        <v>8.7948166498788449E-2</v>
      </c>
      <c r="F44" s="143">
        <f>IFERROR('Tablas turistas zona y tip.'!G44/'Tablas turistas zona y tip.'!G57-1,"-")</f>
        <v>6.9478690219793027E-3</v>
      </c>
      <c r="G44" s="143">
        <f>IFERROR('Tablas turistas zona y tip.'!H44/'Tablas turistas zona y tip.'!H57-1,"-")</f>
        <v>-3.6525767597872516E-3</v>
      </c>
      <c r="H44" s="143">
        <f>IFERROR('Tablas turistas zona y tip.'!I44/'Tablas turistas zona y tip.'!I57-1,"-")</f>
        <v>2.5655529758368267E-3</v>
      </c>
    </row>
    <row r="45" spans="2:8" hidden="1" outlineLevel="1">
      <c r="B45" s="51" t="s">
        <v>38</v>
      </c>
      <c r="C45" s="139">
        <f>IFERROR('Tablas turistas zona y tip.'!D45/'Tablas turistas zona y tip.'!D58-1,"-")</f>
        <v>3.8623804147601692E-3</v>
      </c>
      <c r="D45" s="139" t="str">
        <f>IFERROR('Tablas turistas zona y tip.'!E45/'Tablas turistas zona y tip.'!E58-1,"-")</f>
        <v>-</v>
      </c>
      <c r="E45" s="139">
        <f>IFERROR('Tablas turistas zona y tip.'!F45/'Tablas turistas zona y tip.'!F58-1,"-")</f>
        <v>3.8623804147601692E-3</v>
      </c>
      <c r="F45" s="139">
        <f>IFERROR('Tablas turistas zona y tip.'!G45/'Tablas turistas zona y tip.'!G58-1,"-")</f>
        <v>-3.0314106402668961E-2</v>
      </c>
      <c r="G45" s="139">
        <f>IFERROR('Tablas turistas zona y tip.'!H45/'Tablas turistas zona y tip.'!H58-1,"-")</f>
        <v>-5.16965356646375E-2</v>
      </c>
      <c r="H45" s="139">
        <f>IFERROR('Tablas turistas zona y tip.'!I45/'Tablas turistas zona y tip.'!I58-1,"-")</f>
        <v>-3.96487545817239E-2</v>
      </c>
    </row>
    <row r="46" spans="2:8" hidden="1" outlineLevel="1">
      <c r="B46" s="51" t="s">
        <v>39</v>
      </c>
      <c r="C46" s="139">
        <f>IFERROR('Tablas turistas zona y tip.'!D46/'Tablas turistas zona y tip.'!D59-1,"-")</f>
        <v>4.5447006137004475E-2</v>
      </c>
      <c r="D46" s="139" t="str">
        <f>IFERROR('Tablas turistas zona y tip.'!E46/'Tablas turistas zona y tip.'!E59-1,"-")</f>
        <v>-</v>
      </c>
      <c r="E46" s="139">
        <f>IFERROR('Tablas turistas zona y tip.'!F46/'Tablas turistas zona y tip.'!F59-1,"-")</f>
        <v>4.5447006137004475E-2</v>
      </c>
      <c r="F46" s="139">
        <f>IFERROR('Tablas turistas zona y tip.'!G46/'Tablas turistas zona y tip.'!G59-1,"-")</f>
        <v>2.4311561109275681E-2</v>
      </c>
      <c r="G46" s="139">
        <f>IFERROR('Tablas turistas zona y tip.'!H46/'Tablas turistas zona y tip.'!H59-1,"-")</f>
        <v>0.10692032045283373</v>
      </c>
      <c r="H46" s="139">
        <f>IFERROR('Tablas turistas zona y tip.'!I46/'Tablas turistas zona y tip.'!I59-1,"-")</f>
        <v>5.778234000790694E-2</v>
      </c>
    </row>
    <row r="47" spans="2:8" hidden="1" outlineLevel="1">
      <c r="B47" s="51" t="s">
        <v>40</v>
      </c>
      <c r="C47" s="139">
        <f>IFERROR('Tablas turistas zona y tip.'!D47/'Tablas turistas zona y tip.'!D60-1,"-")</f>
        <v>0.10266353060835298</v>
      </c>
      <c r="D47" s="139" t="str">
        <f>IFERROR('Tablas turistas zona y tip.'!E47/'Tablas turistas zona y tip.'!E60-1,"-")</f>
        <v>-</v>
      </c>
      <c r="E47" s="139">
        <f>IFERROR('Tablas turistas zona y tip.'!F47/'Tablas turistas zona y tip.'!F60-1,"-")</f>
        <v>0.10266353060835298</v>
      </c>
      <c r="F47" s="139">
        <f>IFERROR('Tablas turistas zona y tip.'!G47/'Tablas turistas zona y tip.'!G60-1,"-")</f>
        <v>-3.0137526911652279E-2</v>
      </c>
      <c r="G47" s="139">
        <f>IFERROR('Tablas turistas zona y tip.'!H47/'Tablas turistas zona y tip.'!H60-1,"-")</f>
        <v>-5.9397302172378597E-2</v>
      </c>
      <c r="H47" s="139">
        <f>IFERROR('Tablas turistas zona y tip.'!I47/'Tablas turistas zona y tip.'!I60-1,"-")</f>
        <v>-4.2374670725582431E-2</v>
      </c>
    </row>
    <row r="48" spans="2:8" hidden="1" outlineLevel="1">
      <c r="B48" s="51" t="s">
        <v>41</v>
      </c>
      <c r="C48" s="139">
        <f>IFERROR('Tablas turistas zona y tip.'!D48/'Tablas turistas zona y tip.'!D61-1,"-")</f>
        <v>-2.3467333194473361E-2</v>
      </c>
      <c r="D48" s="139" t="str">
        <f>IFERROR('Tablas turistas zona y tip.'!E48/'Tablas turistas zona y tip.'!E61-1,"-")</f>
        <v>-</v>
      </c>
      <c r="E48" s="139">
        <f>IFERROR('Tablas turistas zona y tip.'!F48/'Tablas turistas zona y tip.'!F61-1,"-")</f>
        <v>-2.3467333194473361E-2</v>
      </c>
      <c r="F48" s="139">
        <f>IFERROR('Tablas turistas zona y tip.'!G48/'Tablas turistas zona y tip.'!G61-1,"-")</f>
        <v>-6.611917367612441E-2</v>
      </c>
      <c r="G48" s="139">
        <f>IFERROR('Tablas turistas zona y tip.'!H48/'Tablas turistas zona y tip.'!H61-1,"-")</f>
        <v>-0.18851782013121599</v>
      </c>
      <c r="H48" s="139">
        <f>IFERROR('Tablas turistas zona y tip.'!I48/'Tablas turistas zona y tip.'!I61-1,"-")</f>
        <v>-0.11690873113384459</v>
      </c>
    </row>
    <row r="49" spans="2:8" hidden="1" outlineLevel="1">
      <c r="B49" s="51" t="s">
        <v>42</v>
      </c>
      <c r="C49" s="139">
        <f>IFERROR('Tablas turistas zona y tip.'!D49/'Tablas turistas zona y tip.'!D62-1,"-")</f>
        <v>-0.1125456326239872</v>
      </c>
      <c r="D49" s="139" t="str">
        <f>IFERROR('Tablas turistas zona y tip.'!E49/'Tablas turistas zona y tip.'!E62-1,"-")</f>
        <v>-</v>
      </c>
      <c r="E49" s="139">
        <f>IFERROR('Tablas turistas zona y tip.'!F49/'Tablas turistas zona y tip.'!F62-1,"-")</f>
        <v>-0.1125456326239872</v>
      </c>
      <c r="F49" s="139">
        <f>IFERROR('Tablas turistas zona y tip.'!G49/'Tablas turistas zona y tip.'!G62-1,"-")</f>
        <v>-8.9988527623228176E-3</v>
      </c>
      <c r="G49" s="139">
        <f>IFERROR('Tablas turistas zona y tip.'!H49/'Tablas turistas zona y tip.'!H62-1,"-")</f>
        <v>-7.3161772649683599E-3</v>
      </c>
      <c r="H49" s="139">
        <f>IFERROR('Tablas turistas zona y tip.'!I49/'Tablas turistas zona y tip.'!I62-1,"-")</f>
        <v>-8.2683081957001248E-3</v>
      </c>
    </row>
    <row r="50" spans="2:8" hidden="1" outlineLevel="1">
      <c r="B50" s="51" t="s">
        <v>43</v>
      </c>
      <c r="C50" s="139">
        <f>IFERROR('Tablas turistas zona y tip.'!D50/'Tablas turistas zona y tip.'!D63-1,"-")</f>
        <v>-2.6968423905678329E-2</v>
      </c>
      <c r="D50" s="139" t="str">
        <f>IFERROR('Tablas turistas zona y tip.'!E50/'Tablas turistas zona y tip.'!E63-1,"-")</f>
        <v>-</v>
      </c>
      <c r="E50" s="139">
        <f>IFERROR('Tablas turistas zona y tip.'!F50/'Tablas turistas zona y tip.'!F63-1,"-")</f>
        <v>-2.6968423905678329E-2</v>
      </c>
      <c r="F50" s="139">
        <f>IFERROR('Tablas turistas zona y tip.'!G50/'Tablas turistas zona y tip.'!G63-1,"-")</f>
        <v>-1.1529865180451848E-2</v>
      </c>
      <c r="G50" s="139">
        <f>IFERROR('Tablas turistas zona y tip.'!H50/'Tablas turistas zona y tip.'!H63-1,"-")</f>
        <v>-8.0924632050947576E-2</v>
      </c>
      <c r="H50" s="139">
        <f>IFERROR('Tablas turistas zona y tip.'!I50/'Tablas turistas zona y tip.'!I63-1,"-")</f>
        <v>-4.1072023630761123E-2</v>
      </c>
    </row>
    <row r="51" spans="2:8" hidden="1" outlineLevel="1">
      <c r="B51" s="51" t="s">
        <v>44</v>
      </c>
      <c r="C51" s="139">
        <f>IFERROR('Tablas turistas zona y tip.'!D51/'Tablas turistas zona y tip.'!D64-1,"-")</f>
        <v>-0.1635867149298279</v>
      </c>
      <c r="D51" s="139" t="str">
        <f>IFERROR('Tablas turistas zona y tip.'!E51/'Tablas turistas zona y tip.'!E64-1,"-")</f>
        <v>-</v>
      </c>
      <c r="E51" s="139">
        <f>IFERROR('Tablas turistas zona y tip.'!F51/'Tablas turistas zona y tip.'!F64-1,"-")</f>
        <v>-0.1635867149298279</v>
      </c>
      <c r="F51" s="139">
        <f>IFERROR('Tablas turistas zona y tip.'!G51/'Tablas turistas zona y tip.'!G64-1,"-")</f>
        <v>-3.1043865102496904E-3</v>
      </c>
      <c r="G51" s="139">
        <f>IFERROR('Tablas turistas zona y tip.'!H51/'Tablas turistas zona y tip.'!H64-1,"-")</f>
        <v>-7.2528959161241247E-2</v>
      </c>
      <c r="H51" s="139">
        <f>IFERROR('Tablas turistas zona y tip.'!I51/'Tablas turistas zona y tip.'!I64-1,"-")</f>
        <v>-3.2075724679442752E-2</v>
      </c>
    </row>
    <row r="52" spans="2:8" hidden="1" outlineLevel="1">
      <c r="B52" s="51" t="s">
        <v>45</v>
      </c>
      <c r="C52" s="139">
        <f>IFERROR('Tablas turistas zona y tip.'!D52/'Tablas turistas zona y tip.'!D65-1,"-")</f>
        <v>-1.6948003525184552E-3</v>
      </c>
      <c r="D52" s="139" t="str">
        <f>IFERROR('Tablas turistas zona y tip.'!E52/'Tablas turistas zona y tip.'!E65-1,"-")</f>
        <v>-</v>
      </c>
      <c r="E52" s="139">
        <f>IFERROR('Tablas turistas zona y tip.'!F52/'Tablas turistas zona y tip.'!F65-1,"-")</f>
        <v>-1.6948003525184552E-3</v>
      </c>
      <c r="F52" s="139">
        <f>IFERROR('Tablas turistas zona y tip.'!G52/'Tablas turistas zona y tip.'!G65-1,"-")</f>
        <v>-9.2565054159716165E-2</v>
      </c>
      <c r="G52" s="139">
        <f>IFERROR('Tablas turistas zona y tip.'!H52/'Tablas turistas zona y tip.'!H65-1,"-")</f>
        <v>-9.2590668910449536E-2</v>
      </c>
      <c r="H52" s="139">
        <f>IFERROR('Tablas turistas zona y tip.'!I52/'Tablas turistas zona y tip.'!I65-1,"-")</f>
        <v>-9.2574880844212726E-2</v>
      </c>
    </row>
    <row r="53" spans="2:8" hidden="1" outlineLevel="1">
      <c r="B53" s="51" t="s">
        <v>46</v>
      </c>
      <c r="C53" s="139">
        <f>IFERROR('Tablas turistas zona y tip.'!D53/'Tablas turistas zona y tip.'!D66-1,"-")</f>
        <v>0.11863672467326158</v>
      </c>
      <c r="D53" s="139" t="str">
        <f>IFERROR('Tablas turistas zona y tip.'!E53/'Tablas turistas zona y tip.'!E66-1,"-")</f>
        <v>-</v>
      </c>
      <c r="E53" s="139">
        <f>IFERROR('Tablas turistas zona y tip.'!F53/'Tablas turistas zona y tip.'!F66-1,"-")</f>
        <v>0.11863672467326158</v>
      </c>
      <c r="F53" s="139">
        <f>IFERROR('Tablas turistas zona y tip.'!G53/'Tablas turistas zona y tip.'!G66-1,"-")</f>
        <v>-5.3758885950142554E-2</v>
      </c>
      <c r="G53" s="139">
        <f>IFERROR('Tablas turistas zona y tip.'!H53/'Tablas turistas zona y tip.'!H66-1,"-")</f>
        <v>-0.11880570774388743</v>
      </c>
      <c r="H53" s="139">
        <f>IFERROR('Tablas turistas zona y tip.'!I53/'Tablas turistas zona y tip.'!I66-1,"-")</f>
        <v>-8.0464135463768294E-2</v>
      </c>
    </row>
    <row r="54" spans="2:8" hidden="1" outlineLevel="1">
      <c r="B54" s="51" t="s">
        <v>47</v>
      </c>
      <c r="C54" s="139">
        <f>IFERROR('Tablas turistas zona y tip.'!D54/'Tablas turistas zona y tip.'!D67-1,"-")</f>
        <v>9.0481381605370448E-2</v>
      </c>
      <c r="D54" s="139" t="str">
        <f>IFERROR('Tablas turistas zona y tip.'!E54/'Tablas turistas zona y tip.'!E67-1,"-")</f>
        <v>-</v>
      </c>
      <c r="E54" s="139">
        <f>IFERROR('Tablas turistas zona y tip.'!F54/'Tablas turistas zona y tip.'!F67-1,"-")</f>
        <v>9.0481381605370448E-2</v>
      </c>
      <c r="F54" s="139">
        <f>IFERROR('Tablas turistas zona y tip.'!G54/'Tablas turistas zona y tip.'!G67-1,"-")</f>
        <v>5.3518853232388697E-2</v>
      </c>
      <c r="G54" s="139">
        <f>IFERROR('Tablas turistas zona y tip.'!H54/'Tablas turistas zona y tip.'!H67-1,"-")</f>
        <v>2.5113079303693775E-2</v>
      </c>
      <c r="H54" s="139">
        <f>IFERROR('Tablas turistas zona y tip.'!I54/'Tablas turistas zona y tip.'!I67-1,"-")</f>
        <v>4.1072006403596983E-2</v>
      </c>
    </row>
    <row r="55" spans="2:8" hidden="1" outlineLevel="1">
      <c r="B55" s="51" t="s">
        <v>48</v>
      </c>
      <c r="C55" s="139">
        <f>IFERROR('Tablas turistas zona y tip.'!D55/'Tablas turistas zona y tip.'!D68-1,"-")</f>
        <v>-2.9951567677797608E-2</v>
      </c>
      <c r="D55" s="139" t="str">
        <f>IFERROR('Tablas turistas zona y tip.'!E55/'Tablas turistas zona y tip.'!E68-1,"-")</f>
        <v>-</v>
      </c>
      <c r="E55" s="139">
        <f>IFERROR('Tablas turistas zona y tip.'!F55/'Tablas turistas zona y tip.'!F68-1,"-")</f>
        <v>-2.9951567677797608E-2</v>
      </c>
      <c r="F55" s="139">
        <f>IFERROR('Tablas turistas zona y tip.'!G55/'Tablas turistas zona y tip.'!G68-1,"-")</f>
        <v>2.6830754646714361E-2</v>
      </c>
      <c r="G55" s="139">
        <f>IFERROR('Tablas turistas zona y tip.'!H55/'Tablas turistas zona y tip.'!H68-1,"-")</f>
        <v>-2.1946178709994268E-2</v>
      </c>
      <c r="H55" s="139">
        <f>IFERROR('Tablas turistas zona y tip.'!I55/'Tablas turistas zona y tip.'!I68-1,"-")</f>
        <v>5.3911999867177762E-3</v>
      </c>
    </row>
    <row r="56" spans="2:8" hidden="1" outlineLevel="1">
      <c r="B56" s="51" t="s">
        <v>49</v>
      </c>
      <c r="C56" s="139">
        <f>IFERROR('Tablas turistas zona y tip.'!D56/'Tablas turistas zona y tip.'!D69-1,"-")</f>
        <v>1.6893312771624869E-2</v>
      </c>
      <c r="D56" s="139" t="str">
        <f>IFERROR('Tablas turistas zona y tip.'!E56/'Tablas turistas zona y tip.'!E69-1,"-")</f>
        <v>-</v>
      </c>
      <c r="E56" s="139">
        <f>IFERROR('Tablas turistas zona y tip.'!F56/'Tablas turistas zona y tip.'!F69-1,"-")</f>
        <v>1.6893312771624869E-2</v>
      </c>
      <c r="F56" s="139">
        <f>IFERROR('Tablas turistas zona y tip.'!G56/'Tablas turistas zona y tip.'!G69-1,"-")</f>
        <v>1.0847268912061336E-2</v>
      </c>
      <c r="G56" s="139">
        <f>IFERROR('Tablas turistas zona y tip.'!H56/'Tablas turistas zona y tip.'!H69-1,"-")</f>
        <v>-9.0934210456398046E-2</v>
      </c>
      <c r="H56" s="139">
        <f>IFERROR('Tablas turistas zona y tip.'!I56/'Tablas turistas zona y tip.'!I69-1,"-")</f>
        <v>-3.4573850028218667E-2</v>
      </c>
    </row>
    <row r="57" spans="2:8" collapsed="1">
      <c r="B57" s="133">
        <v>2007</v>
      </c>
      <c r="C57" s="143">
        <f>IFERROR('Tablas turistas zona y tip.'!D57/'Tablas turistas zona y tip.'!D70-1,"-")</f>
        <v>4.8803707330951074E-3</v>
      </c>
      <c r="D57" s="143" t="str">
        <f>IFERROR('Tablas turistas zona y tip.'!E57/'Tablas turistas zona y tip.'!E70-1,"-")</f>
        <v>-</v>
      </c>
      <c r="E57" s="143">
        <f>IFERROR('Tablas turistas zona y tip.'!F57/'Tablas turistas zona y tip.'!F70-1,"-")</f>
        <v>4.8803707330951074E-3</v>
      </c>
      <c r="F57" s="143">
        <f>IFERROR('Tablas turistas zona y tip.'!G57/'Tablas turistas zona y tip.'!G70-1,"-")</f>
        <v>-1.5365629285829852E-2</v>
      </c>
      <c r="G57" s="143">
        <f>IFERROR('Tablas turistas zona y tip.'!H57/'Tablas turistas zona y tip.'!H70-1,"-")</f>
        <v>-5.3727730701820575E-2</v>
      </c>
      <c r="H57" s="143">
        <f>IFERROR('Tablas turistas zona y tip.'!I57/'Tablas turistas zona y tip.'!I70-1,"-")</f>
        <v>-3.1595778619496917E-2</v>
      </c>
    </row>
    <row r="58" spans="2:8">
      <c r="B58" s="135" t="s">
        <v>78</v>
      </c>
      <c r="C58" s="136"/>
      <c r="D58" s="136"/>
      <c r="E58" s="136"/>
      <c r="F58" s="136"/>
      <c r="G58" s="136"/>
      <c r="H58" s="137"/>
    </row>
  </sheetData>
  <mergeCells count="5">
    <mergeCell ref="B3:H3"/>
    <mergeCell ref="B4:B5"/>
    <mergeCell ref="C4:E4"/>
    <mergeCell ref="F4:H4"/>
    <mergeCell ref="B58:H5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C1:L36"/>
  <sheetViews>
    <sheetView showGridLines="0" showRowColHeaders="0" showZeros="0" topLeftCell="A10" zoomScaleNormal="100" workbookViewId="0">
      <selection activeCell="I13" sqref="I13"/>
    </sheetView>
  </sheetViews>
  <sheetFormatPr baseColWidth="10" defaultRowHeight="15"/>
  <cols>
    <col min="1" max="1" width="15.28515625" customWidth="1"/>
    <col min="3" max="3" width="13.28515625" customWidth="1"/>
    <col min="12" max="12" width="15" customWidth="1"/>
  </cols>
  <sheetData>
    <row r="1" spans="3:12" ht="26.25" customHeight="1"/>
    <row r="2" spans="3:12" ht="30.75" customHeight="1" thickBot="1"/>
    <row r="3" spans="3:12" ht="25.5" customHeight="1" thickBot="1">
      <c r="C3" s="144" t="s">
        <v>97</v>
      </c>
      <c r="D3" s="145"/>
      <c r="E3" s="145"/>
      <c r="F3" s="145"/>
      <c r="G3" s="145"/>
      <c r="H3" s="145"/>
      <c r="I3" s="145"/>
      <c r="J3" s="145"/>
      <c r="L3" s="60" t="s">
        <v>50</v>
      </c>
    </row>
    <row r="4" spans="3:12">
      <c r="C4" s="146"/>
      <c r="D4" s="147">
        <v>2007</v>
      </c>
      <c r="E4" s="147">
        <v>2008</v>
      </c>
      <c r="F4" s="148">
        <v>2009</v>
      </c>
      <c r="G4" s="148">
        <v>2010</v>
      </c>
      <c r="H4" s="127" t="s">
        <v>98</v>
      </c>
      <c r="I4" s="127" t="s">
        <v>99</v>
      </c>
      <c r="J4" s="127" t="s">
        <v>100</v>
      </c>
    </row>
    <row r="5" spans="3:12">
      <c r="C5" s="149" t="s">
        <v>58</v>
      </c>
      <c r="D5" s="128">
        <f>GETPIVOTDATA("dato",'[1]Zonas mensual '!$A$5,"mes",1,"año",2007)</f>
        <v>14507</v>
      </c>
      <c r="E5" s="128">
        <f>GETPIVOTDATA("dato",'[1]Zonas mensual '!$A$5,"mes",1,"año",2008)</f>
        <v>16982</v>
      </c>
      <c r="F5" s="128">
        <f>GETPIVOTDATA("dato",'[1]Zonas mensual '!$A$5,"mes",1,"año",2009)</f>
        <v>13570</v>
      </c>
      <c r="G5" s="128">
        <f>GETPIVOTDATA("dato",'[1]Zonas mensual '!$A$5,"mes",1,"año",2010)</f>
        <v>13188</v>
      </c>
      <c r="H5" s="150">
        <f>E5/D5-1</f>
        <v>0.17060729303095057</v>
      </c>
      <c r="I5" s="150">
        <f>F5/E5-1</f>
        <v>-0.20091861971499236</v>
      </c>
      <c r="J5" s="150">
        <f>G5/F5-1</f>
        <v>-2.8150331613854052E-2</v>
      </c>
    </row>
    <row r="6" spans="3:12">
      <c r="C6" s="149" t="s">
        <v>59</v>
      </c>
      <c r="D6" s="128">
        <f>GETPIVOTDATA("dato",'[1]Zonas mensual '!$A$5,"mes",2,"año",2007)</f>
        <v>15222</v>
      </c>
      <c r="E6" s="128">
        <f>GETPIVOTDATA("dato",'[1]Zonas mensual '!$A$5,"mes",2,"año",2008)</f>
        <v>19355</v>
      </c>
      <c r="F6" s="128">
        <f>GETPIVOTDATA("dato",'[1]Zonas mensual '!$A$5,"mes",2,"año",2009)</f>
        <v>15172</v>
      </c>
      <c r="G6" s="128">
        <f>GETPIVOTDATA("dato",'[1]Zonas mensual '!$A$5,"mes",2,"año",2010)</f>
        <v>16759</v>
      </c>
      <c r="H6" s="150">
        <f t="shared" ref="H6:J17" si="0">E6/D6-1</f>
        <v>0.27151491262646177</v>
      </c>
      <c r="I6" s="150">
        <f t="shared" si="0"/>
        <v>-0.21611986566778607</v>
      </c>
      <c r="J6" s="150">
        <f t="shared" si="0"/>
        <v>0.10460058001581851</v>
      </c>
    </row>
    <row r="7" spans="3:12">
      <c r="C7" s="149" t="s">
        <v>60</v>
      </c>
      <c r="D7" s="128">
        <f>GETPIVOTDATA("dato",'[1]Zonas mensual '!$A$5,"mes",3,"año",2007)</f>
        <v>19006</v>
      </c>
      <c r="E7" s="128">
        <f>GETPIVOTDATA("dato",'[1]Zonas mensual '!$A$5,"mes",3,"año",2008)</f>
        <v>16551</v>
      </c>
      <c r="F7" s="128">
        <f>GETPIVOTDATA("dato",'[1]Zonas mensual '!$A$5,"mes",3,"año",2009)</f>
        <v>15653</v>
      </c>
      <c r="G7" s="128">
        <f>GETPIVOTDATA("dato",'[1]Zonas mensual '!$A$5,"mes",3,"año",2010)</f>
        <v>14574</v>
      </c>
      <c r="H7" s="150">
        <f t="shared" si="0"/>
        <v>-0.12916973587288227</v>
      </c>
      <c r="I7" s="150">
        <f t="shared" si="0"/>
        <v>-5.4256540390308694E-2</v>
      </c>
      <c r="J7" s="150">
        <f t="shared" si="0"/>
        <v>-6.8932473008369022E-2</v>
      </c>
    </row>
    <row r="8" spans="3:12">
      <c r="C8" s="149" t="s">
        <v>46</v>
      </c>
      <c r="D8" s="128">
        <f>GETPIVOTDATA("dato",'[1]Zonas mensual '!$A$5,"mes",4,"año",2007)</f>
        <v>15492</v>
      </c>
      <c r="E8" s="128">
        <f>GETPIVOTDATA("dato",'[1]Zonas mensual '!$A$5,"mes",4,"año",2008)</f>
        <v>17593</v>
      </c>
      <c r="F8" s="128">
        <f>GETPIVOTDATA("dato",'[1]Zonas mensual '!$A$5,"mes",4,"año",2009)</f>
        <v>13079</v>
      </c>
      <c r="G8" s="128">
        <f>GETPIVOTDATA("dato",'[1]Zonas mensual '!$A$5,"mes",4,"año",2010)</f>
        <v>12595</v>
      </c>
      <c r="H8" s="150">
        <f t="shared" si="0"/>
        <v>0.13561838368190027</v>
      </c>
      <c r="I8" s="150">
        <f t="shared" si="0"/>
        <v>-0.25657932132097994</v>
      </c>
      <c r="J8" s="150">
        <f t="shared" si="0"/>
        <v>-3.7005887300252338E-2</v>
      </c>
    </row>
    <row r="9" spans="3:12">
      <c r="C9" s="149" t="s">
        <v>62</v>
      </c>
      <c r="D9" s="128">
        <f>GETPIVOTDATA("dato",'[1]Zonas mensual '!$A$5,"mes",5,"año",2007)</f>
        <v>14726</v>
      </c>
      <c r="E9" s="128">
        <f>GETPIVOTDATA("dato",'[1]Zonas mensual '!$A$5,"mes",5,"año",2008)</f>
        <v>17437</v>
      </c>
      <c r="F9" s="128">
        <f>GETPIVOTDATA("dato",'[1]Zonas mensual '!$A$5,"mes",5,"año",2009)</f>
        <v>13474</v>
      </c>
      <c r="G9" s="128">
        <f>GETPIVOTDATA("dato",'[1]Zonas mensual '!$A$5,"mes",5,"año",2010)</f>
        <v>12407</v>
      </c>
      <c r="H9" s="150">
        <f t="shared" si="0"/>
        <v>0.18409615645796551</v>
      </c>
      <c r="I9" s="150">
        <f t="shared" si="0"/>
        <v>-0.22727533405975797</v>
      </c>
      <c r="J9" s="150">
        <f t="shared" si="0"/>
        <v>-7.918955024491614E-2</v>
      </c>
    </row>
    <row r="10" spans="3:12">
      <c r="C10" s="149" t="s">
        <v>63</v>
      </c>
      <c r="D10" s="128">
        <f>GETPIVOTDATA("dato",'[1]Zonas mensual '!$A$5,"mes",6,"año",2007)</f>
        <v>13171</v>
      </c>
      <c r="E10" s="128">
        <f>GETPIVOTDATA("dato",'[1]Zonas mensual '!$A$5,"mes",6,"año",2008)</f>
        <v>15440</v>
      </c>
      <c r="F10" s="128">
        <f>GETPIVOTDATA("dato",'[1]Zonas mensual '!$A$5,"mes",6,"año",2009)</f>
        <v>12750</v>
      </c>
      <c r="G10" s="128">
        <f>GETPIVOTDATA("dato",'[1]Zonas mensual '!$A$5,"mes",6,"año",2010)</f>
        <v>12682</v>
      </c>
      <c r="H10" s="150">
        <f t="shared" si="0"/>
        <v>0.17227241667299364</v>
      </c>
      <c r="I10" s="150">
        <f t="shared" si="0"/>
        <v>-0.17422279792746109</v>
      </c>
      <c r="J10" s="150">
        <f t="shared" si="0"/>
        <v>-5.3333333333333011E-3</v>
      </c>
    </row>
    <row r="11" spans="3:12">
      <c r="C11" s="149" t="s">
        <v>64</v>
      </c>
      <c r="D11" s="128">
        <f>GETPIVOTDATA("dato",'[1]Zonas mensual '!$A$5,"mes",7,"año",2007)</f>
        <v>14360</v>
      </c>
      <c r="E11" s="128">
        <f>GETPIVOTDATA("dato",'[1]Zonas mensual '!$A$5,"mes",7,"año",2008)</f>
        <v>16337</v>
      </c>
      <c r="F11" s="128">
        <f>GETPIVOTDATA("dato",'[1]Zonas mensual '!$A$5,"mes",7,"año",2009)</f>
        <v>11890</v>
      </c>
      <c r="G11" s="128">
        <f>GETPIVOTDATA("dato",'[1]Zonas mensual '!$A$5,"mes",7,"año",2010)</f>
        <v>10611</v>
      </c>
      <c r="H11" s="150">
        <f t="shared" si="0"/>
        <v>0.13767409470752079</v>
      </c>
      <c r="I11" s="150">
        <f t="shared" si="0"/>
        <v>-0.27220419905735449</v>
      </c>
      <c r="J11" s="150">
        <f>G11/F11-1</f>
        <v>-0.10756938603868793</v>
      </c>
    </row>
    <row r="12" spans="3:12">
      <c r="C12" s="149" t="s">
        <v>65</v>
      </c>
      <c r="D12" s="128">
        <f>GETPIVOTDATA("dato",'[1]Zonas mensual '!$A$5,"mes",8,"año",2007)</f>
        <v>9967</v>
      </c>
      <c r="E12" s="128">
        <f>GETPIVOTDATA("dato",'[1]Zonas mensual '!$A$5,"mes",8,"año",2008)</f>
        <v>12308</v>
      </c>
      <c r="F12" s="128">
        <f>GETPIVOTDATA("dato",'[1]Zonas mensual '!$A$5,"mes",8,"año",2009)</f>
        <v>7777</v>
      </c>
      <c r="G12" s="128">
        <f>GETPIVOTDATA("dato",'[1]Zonas mensual '!$A$5,"mes",8,"año",2010)</f>
        <v>0</v>
      </c>
      <c r="H12" s="150">
        <f t="shared" si="0"/>
        <v>0.23487508778970612</v>
      </c>
      <c r="I12" s="150">
        <f t="shared" si="0"/>
        <v>-0.36813454663633405</v>
      </c>
      <c r="J12" s="150"/>
    </row>
    <row r="13" spans="3:12">
      <c r="C13" s="149" t="s">
        <v>66</v>
      </c>
      <c r="D13" s="128">
        <f>GETPIVOTDATA("dato",'[1]Zonas mensual '!$A$5,"mes",9,"año",2007)</f>
        <v>14065</v>
      </c>
      <c r="E13" s="128">
        <f>GETPIVOTDATA("dato",'[1]Zonas mensual '!$A$5,"mes",9,"año",2008)</f>
        <v>15134</v>
      </c>
      <c r="F13" s="128">
        <f>GETPIVOTDATA("dato",'[1]Zonas mensual '!$A$5,"mes",9,"año",2009)</f>
        <v>11123</v>
      </c>
      <c r="G13" s="128">
        <f>GETPIVOTDATA("dato",'[1]Zonas mensual '!$A$5,"mes",9,"año",2010)</f>
        <v>0</v>
      </c>
      <c r="H13" s="150">
        <f t="shared" si="0"/>
        <v>7.6004265908282909E-2</v>
      </c>
      <c r="I13" s="150">
        <f t="shared" si="0"/>
        <v>-0.2650323774283071</v>
      </c>
      <c r="J13" s="150"/>
    </row>
    <row r="14" spans="3:12">
      <c r="C14" s="149" t="s">
        <v>67</v>
      </c>
      <c r="D14" s="128">
        <f>GETPIVOTDATA("dato",'[1]Zonas mensual '!$A$5,"mes",10,"año",2007)</f>
        <v>17346</v>
      </c>
      <c r="E14" s="128">
        <f>GETPIVOTDATA("dato",'[1]Zonas mensual '!$A$5,"mes",10,"año",2008)</f>
        <v>18706</v>
      </c>
      <c r="F14" s="128">
        <f>GETPIVOTDATA("dato",'[1]Zonas mensual '!$A$5,"mes",10,"año",2009)</f>
        <v>12809</v>
      </c>
      <c r="G14" s="128">
        <f>GETPIVOTDATA("dato",'[1]Zonas mensual '!$A$5,"mes",10,"año",2010)</f>
        <v>0</v>
      </c>
      <c r="H14" s="150">
        <f t="shared" si="0"/>
        <v>7.8404243053153522E-2</v>
      </c>
      <c r="I14" s="150">
        <f t="shared" si="0"/>
        <v>-0.31524644499091203</v>
      </c>
      <c r="J14" s="150"/>
    </row>
    <row r="15" spans="3:12">
      <c r="C15" s="149" t="s">
        <v>68</v>
      </c>
      <c r="D15" s="128">
        <f>GETPIVOTDATA("dato",'[1]Zonas mensual '!$A$5,"mes",11,"año",2007)</f>
        <v>18909</v>
      </c>
      <c r="E15" s="128">
        <f>GETPIVOTDATA("dato",'[1]Zonas mensual '!$A$5,"mes",11,"año",2008)</f>
        <v>17843</v>
      </c>
      <c r="F15" s="128">
        <f>GETPIVOTDATA("dato",'[1]Zonas mensual '!$A$5,"mes",11,"año",2009)</f>
        <v>13990</v>
      </c>
      <c r="G15" s="128">
        <f>GETPIVOTDATA("dato",'[1]Zonas mensual '!$A$5,"mes",11,"año",2010)</f>
        <v>0</v>
      </c>
      <c r="H15" s="150">
        <f t="shared" si="0"/>
        <v>-5.6375271034956875E-2</v>
      </c>
      <c r="I15" s="150">
        <f t="shared" si="0"/>
        <v>-0.21593902370677576</v>
      </c>
      <c r="J15" s="150"/>
    </row>
    <row r="16" spans="3:12">
      <c r="C16" s="149" t="s">
        <v>69</v>
      </c>
      <c r="D16" s="128">
        <f>GETPIVOTDATA("dato",'[1]Zonas mensual '!$A$5,"mes",12,"año",2007)</f>
        <v>16894</v>
      </c>
      <c r="E16" s="128">
        <f>GETPIVOTDATA("dato",'[1]Zonas mensual '!$A$5,"mes",12,"año",2008)</f>
        <v>16132</v>
      </c>
      <c r="F16" s="128">
        <f>GETPIVOTDATA("dato",'[1]Zonas mensual '!$A$5,"mes",12,"año",2009)</f>
        <v>13086</v>
      </c>
      <c r="G16" s="128">
        <f>GETPIVOTDATA("dato",'[1]Zonas mensual '!$A$5,"mes",12,"año",2010)</f>
        <v>0</v>
      </c>
      <c r="H16" s="150">
        <f t="shared" si="0"/>
        <v>-4.5104770924588644E-2</v>
      </c>
      <c r="I16" s="150">
        <f t="shared" si="0"/>
        <v>-0.18881725762459711</v>
      </c>
      <c r="J16" s="150"/>
    </row>
    <row r="17" spans="3:12">
      <c r="C17" s="151" t="s">
        <v>101</v>
      </c>
      <c r="D17" s="152">
        <f>GETPIVOTDATA("dato",'[1]Zonas mensual '!$A$5,"año",2007)</f>
        <v>183665</v>
      </c>
      <c r="E17" s="152">
        <f>GETPIVOTDATA("dato",'[1]Zonas mensual '!$A$5,"año",2008)</f>
        <v>199818</v>
      </c>
      <c r="F17" s="152">
        <f>GETPIVOTDATA("dato",'[1]Zonas mensual '!$A$5,"año",2009)</f>
        <v>154373</v>
      </c>
      <c r="G17" s="152">
        <f>GETPIVOTDATA("dato",'[1]Zonas mensual '!$A$5,"año",2010)</f>
        <v>92816</v>
      </c>
      <c r="H17" s="153">
        <f>E17/D17-1</f>
        <v>8.7948166498788449E-2</v>
      </c>
      <c r="I17" s="153">
        <f t="shared" si="0"/>
        <v>-0.22743196308640867</v>
      </c>
      <c r="J17" s="153"/>
    </row>
    <row r="18" spans="3:12" ht="24.75" customHeight="1">
      <c r="C18" s="154" t="s">
        <v>71</v>
      </c>
      <c r="D18" s="155"/>
      <c r="E18" s="155"/>
      <c r="F18" s="155"/>
      <c r="G18" s="155"/>
      <c r="H18" s="155"/>
      <c r="I18" s="155"/>
      <c r="J18" s="156"/>
    </row>
    <row r="19" spans="3:12">
      <c r="C19" s="120"/>
      <c r="D19" s="120"/>
      <c r="E19" s="120"/>
      <c r="F19" s="120"/>
      <c r="G19" s="120"/>
      <c r="H19" s="120"/>
      <c r="I19" s="120"/>
    </row>
    <row r="20" spans="3:12">
      <c r="C20" s="120"/>
      <c r="D20" s="120"/>
      <c r="E20" s="120"/>
      <c r="F20" s="120"/>
      <c r="G20" s="120"/>
      <c r="H20" s="120"/>
      <c r="I20" s="120"/>
    </row>
    <row r="21" spans="3:12" ht="27" customHeight="1">
      <c r="C21" s="144" t="s">
        <v>102</v>
      </c>
      <c r="D21" s="145"/>
      <c r="E21" s="145"/>
      <c r="F21" s="145"/>
      <c r="G21" s="145"/>
      <c r="H21" s="145"/>
      <c r="I21" s="145"/>
      <c r="J21" s="145"/>
    </row>
    <row r="22" spans="3:12">
      <c r="C22" s="146"/>
      <c r="D22" s="147">
        <v>2007</v>
      </c>
      <c r="E22" s="147">
        <v>2008</v>
      </c>
      <c r="F22" s="148">
        <v>2009</v>
      </c>
      <c r="G22" s="148">
        <v>2010</v>
      </c>
      <c r="H22" s="127" t="s">
        <v>98</v>
      </c>
      <c r="I22" s="127" t="s">
        <v>99</v>
      </c>
      <c r="J22" s="127" t="s">
        <v>100</v>
      </c>
    </row>
    <row r="23" spans="3:12" ht="15.75" thickBot="1">
      <c r="C23" s="149" t="s">
        <v>58</v>
      </c>
      <c r="D23" s="128">
        <f>GETPIVOTDATA("TOTAL GENERAL",'[1]Zonas mensual '!$A$44,"MES","Enero","AÑO",2007)</f>
        <v>407126</v>
      </c>
      <c r="E23" s="128">
        <f>GETPIVOTDATA("turistas",'[1]Zonas mensual '!$A$44,"MES","Enero","AÑO",2008)</f>
        <v>409747</v>
      </c>
      <c r="F23" s="128">
        <f>GETPIVOTDATA("turistas",'[1]Zonas mensual '!$A$44,"MES","Enero","AÑO",2009)</f>
        <v>380730</v>
      </c>
      <c r="G23" s="128">
        <f>GETPIVOTDATA("turistas",'[1]Zonas mensual '!$A$44,"MES","Enero","AÑO",2010)</f>
        <v>382237</v>
      </c>
      <c r="H23" s="150">
        <f>E23/D23-1</f>
        <v>6.4378104075888398E-3</v>
      </c>
      <c r="I23" s="150">
        <f>F23/E23-1</f>
        <v>-7.081686992217151E-2</v>
      </c>
      <c r="J23" s="150">
        <f>G23/F23-1</f>
        <v>3.9581855908386032E-3</v>
      </c>
    </row>
    <row r="24" spans="3:12" ht="16.5" thickBot="1">
      <c r="C24" s="149" t="s">
        <v>59</v>
      </c>
      <c r="D24" s="128">
        <f>GETPIVOTDATA("turistas",'[1]Zonas mensual '!$A$44,"MES","febrero","AÑO",2007)</f>
        <v>423886</v>
      </c>
      <c r="E24" s="128">
        <f>GETPIVOTDATA("turistas",'[1]Zonas mensual '!$A$44,"MES","febrero","AÑO",2008)</f>
        <v>459918</v>
      </c>
      <c r="F24" s="128">
        <f>GETPIVOTDATA("turistas",'[1]Zonas mensual '!$A$44,"MES","febrero","AÑO",2009)</f>
        <v>385582</v>
      </c>
      <c r="G24" s="128">
        <f>GETPIVOTDATA("turistas",'[1]Zonas mensual '!$A$44,"MES","febrero","AÑO",2010)</f>
        <v>369547</v>
      </c>
      <c r="H24" s="150">
        <f t="shared" ref="H24:J34" si="1">E24/D24-1</f>
        <v>8.5003986921011743E-2</v>
      </c>
      <c r="I24" s="150">
        <f t="shared" si="1"/>
        <v>-0.16162881209259039</v>
      </c>
      <c r="J24" s="150">
        <f t="shared" si="1"/>
        <v>-4.1586484846284355E-2</v>
      </c>
      <c r="L24" s="60" t="s">
        <v>50</v>
      </c>
    </row>
    <row r="25" spans="3:12">
      <c r="C25" s="149" t="s">
        <v>60</v>
      </c>
      <c r="D25" s="128">
        <f>GETPIVOTDATA("turistas",'[1]Zonas mensual '!$A$44,"MES","marzo","AÑO",2007)</f>
        <v>489029</v>
      </c>
      <c r="E25" s="128">
        <f>GETPIVOTDATA("turistas",'[1]Zonas mensual '!$A$44,"MES","marzo","AÑO",2008)</f>
        <v>508083</v>
      </c>
      <c r="F25" s="128">
        <f>GETPIVOTDATA("turistas",'[1]Zonas mensual '!$A$44,"MES","marzo","AÑO",2009)</f>
        <v>409508</v>
      </c>
      <c r="G25" s="128">
        <f>GETPIVOTDATA("turistas",'[1]Zonas mensual '!$A$44,"MES","marzo","AÑO",2010)</f>
        <v>404361</v>
      </c>
      <c r="H25" s="150">
        <f t="shared" si="1"/>
        <v>3.8962924489140738E-2</v>
      </c>
      <c r="I25" s="150">
        <f t="shared" si="1"/>
        <v>-0.19401357652194617</v>
      </c>
      <c r="J25" s="150">
        <f t="shared" si="1"/>
        <v>-1.2568741025816399E-2</v>
      </c>
    </row>
    <row r="26" spans="3:12">
      <c r="C26" s="149" t="s">
        <v>46</v>
      </c>
      <c r="D26" s="128">
        <f>GETPIVOTDATA("turistas",'[1]Zonas mensual '!$A$44,"MES","abril","AÑO",2007)</f>
        <v>438237</v>
      </c>
      <c r="E26" s="128">
        <f>GETPIVOTDATA("turistas",'[1]Zonas mensual '!$A$44,"MES","abril","AÑO",2008)</f>
        <v>424514</v>
      </c>
      <c r="F26" s="128">
        <f>GETPIVOTDATA("turistas",'[1]Zonas mensual '!$A$44,"MES","abril","AÑO",2009)</f>
        <v>418430</v>
      </c>
      <c r="G26" s="128">
        <f>GETPIVOTDATA("turistas",'[1]Zonas mensual '!$A$44,"MES","abril","AÑO",2010)</f>
        <v>422549</v>
      </c>
      <c r="H26" s="150">
        <f t="shared" si="1"/>
        <v>-3.1314106294082933E-2</v>
      </c>
      <c r="I26" s="150">
        <f t="shared" si="1"/>
        <v>-1.4331682818470082E-2</v>
      </c>
      <c r="J26" s="150">
        <f t="shared" si="1"/>
        <v>9.8439404440409106E-3</v>
      </c>
    </row>
    <row r="27" spans="3:12">
      <c r="C27" s="149" t="s">
        <v>62</v>
      </c>
      <c r="D27" s="128">
        <f>GETPIVOTDATA("turistas",'[1]Zonas mensual '!$A$44,"MES","mayo","AÑO",2007)</f>
        <v>341553</v>
      </c>
      <c r="E27" s="128">
        <f>GETPIVOTDATA("turistas",'[1]Zonas mensual '!$A$44,"MES","mayo","AÑO",2008)</f>
        <v>413185</v>
      </c>
      <c r="F27" s="128">
        <f>GETPIVOTDATA("turistas",'[1]Zonas mensual '!$A$44,"MES","mayo","AÑO",2009)</f>
        <v>350293</v>
      </c>
      <c r="G27" s="128">
        <f>GETPIVOTDATA("turistas",'[1]Zonas mensual '!$A$44,"MES","mayo","AÑO",2010)</f>
        <v>361297</v>
      </c>
      <c r="H27" s="150">
        <f t="shared" si="1"/>
        <v>0.20972440587551566</v>
      </c>
      <c r="I27" s="150">
        <f t="shared" si="1"/>
        <v>-0.152212689231216</v>
      </c>
      <c r="J27" s="150">
        <f t="shared" si="1"/>
        <v>3.1413702243550334E-2</v>
      </c>
    </row>
    <row r="28" spans="3:12">
      <c r="C28" s="149" t="s">
        <v>63</v>
      </c>
      <c r="D28" s="128">
        <f>GETPIVOTDATA("turistas",'[1]Zonas mensual '!$A$44,"MES","junio","AÑO",2007)</f>
        <v>411483</v>
      </c>
      <c r="E28" s="128">
        <f>GETPIVOTDATA("turistas",'[1]Zonas mensual '!$A$44,"MES","junio","AÑO",2008)</f>
        <v>402431</v>
      </c>
      <c r="F28" s="128">
        <f>GETPIVOTDATA("turistas",'[1]Zonas mensual '!$A$44,"MES","junio","AÑO",2009)</f>
        <v>349858</v>
      </c>
      <c r="G28" s="128">
        <f>GETPIVOTDATA("turistas",'[1]Zonas mensual '!$A$44,"MES","junio","AÑO",2010)</f>
        <v>374943</v>
      </c>
      <c r="H28" s="150">
        <f t="shared" si="1"/>
        <v>-2.1998478673481037E-2</v>
      </c>
      <c r="I28" s="150">
        <f t="shared" si="1"/>
        <v>-0.13063854424733679</v>
      </c>
      <c r="J28" s="150">
        <f t="shared" si="1"/>
        <v>7.1700518496075505E-2</v>
      </c>
    </row>
    <row r="29" spans="3:12">
      <c r="C29" s="149" t="s">
        <v>64</v>
      </c>
      <c r="D29" s="128">
        <f>GETPIVOTDATA("turistas",'[1]Zonas mensual '!$A$44,"MES","julio","AÑO",2007)</f>
        <v>466179</v>
      </c>
      <c r="E29" s="128">
        <f>GETPIVOTDATA("turistas",'[1]Zonas mensual '!$A$44,"MES","julio","AÑO",2008)</f>
        <v>467525</v>
      </c>
      <c r="F29" s="128">
        <f>GETPIVOTDATA("turistas",'[1]Zonas mensual '!$A$44,"MES","julio","AÑO",2009)</f>
        <v>434195</v>
      </c>
      <c r="G29" s="128">
        <f>GETPIVOTDATA("turistas",'[1]Zonas mensual '!$A$44,"MES","julio","AÑO",2010)</f>
        <v>451259</v>
      </c>
      <c r="H29" s="150">
        <f t="shared" si="1"/>
        <v>2.8873029458640342E-3</v>
      </c>
      <c r="I29" s="150">
        <f>F29/E29-1</f>
        <v>-7.129030533126568E-2</v>
      </c>
      <c r="J29" s="150">
        <f t="shared" si="1"/>
        <v>3.9300314374877576E-2</v>
      </c>
    </row>
    <row r="30" spans="3:12">
      <c r="C30" s="149" t="s">
        <v>65</v>
      </c>
      <c r="D30" s="128">
        <f>GETPIVOTDATA("turistas",'[1]Zonas mensual '!$A$44,"MES","agosto","AÑO",2007)</f>
        <v>528592</v>
      </c>
      <c r="E30" s="128">
        <f>GETPIVOTDATA("turistas",'[1]Zonas mensual '!$A$44,"MES","agosto","AÑO",2008)</f>
        <v>531765</v>
      </c>
      <c r="F30" s="128">
        <f>GETPIVOTDATA("turistas",'[1]Zonas mensual '!$A$44,"MES","agosto","AÑO",2009)</f>
        <v>467782</v>
      </c>
      <c r="G30" s="128">
        <f>GETPIVOTDATA("turistas",'[1]Zonas mensual '!$A$44,"MES","agosto","AÑO",2010)</f>
        <v>0</v>
      </c>
      <c r="H30" s="150">
        <f t="shared" si="1"/>
        <v>6.0027393528467865E-3</v>
      </c>
      <c r="I30" s="150">
        <f>F30/E30-1</f>
        <v>-0.12032194672458696</v>
      </c>
      <c r="J30" s="150"/>
    </row>
    <row r="31" spans="3:12">
      <c r="C31" s="149" t="s">
        <v>66</v>
      </c>
      <c r="D31" s="128">
        <f>GETPIVOTDATA("turistas",'[1]Zonas mensual '!$A$44,"MES","septiembre","AÑO",2007)</f>
        <v>409689</v>
      </c>
      <c r="E31" s="128">
        <f>GETPIVOTDATA("turistas",'[1]Zonas mensual '!$A$44,"MES","septiembre","AÑO",2008)</f>
        <v>391359</v>
      </c>
      <c r="F31" s="128">
        <f>GETPIVOTDATA("turistas",'[1]Zonas mensual '!$A$44,"MES","septiembre","AÑO",2009)</f>
        <v>354214</v>
      </c>
      <c r="G31" s="128">
        <f>GETPIVOTDATA("turistas",'[1]Zonas mensual '!$A$44,"MES","septiembre","AÑO",2010)</f>
        <v>0</v>
      </c>
      <c r="H31" s="150">
        <f t="shared" si="1"/>
        <v>-4.4741254951926934E-2</v>
      </c>
      <c r="I31" s="150">
        <f t="shared" si="1"/>
        <v>-9.4912854949036563E-2</v>
      </c>
      <c r="J31" s="150"/>
    </row>
    <row r="32" spans="3:12">
      <c r="C32" s="149" t="s">
        <v>67</v>
      </c>
      <c r="D32" s="128">
        <f>GETPIVOTDATA("turistas",'[1]Zonas mensual '!$A$44,"MES","octubre","AÑO",2007)</f>
        <v>467144</v>
      </c>
      <c r="E32" s="128">
        <f>GETPIVOTDATA("turistas",'[1]Zonas mensual '!$A$44,"MES","octubre","AÑO",2008)</f>
        <v>441857</v>
      </c>
      <c r="F32" s="128">
        <f>GETPIVOTDATA("turistas",'[1]Zonas mensual '!$A$44,"MES","octubre","AÑO",2009)</f>
        <v>404871</v>
      </c>
      <c r="G32" s="128">
        <f>GETPIVOTDATA("turistas",'[1]Zonas mensual '!$A$44,"MES","octubre","AÑO",2010)</f>
        <v>0</v>
      </c>
      <c r="H32" s="150">
        <f t="shared" si="1"/>
        <v>-5.4131060229822059E-2</v>
      </c>
      <c r="I32" s="150">
        <f t="shared" si="1"/>
        <v>-8.3705814324543937E-2</v>
      </c>
      <c r="J32" s="150"/>
    </row>
    <row r="33" spans="3:10">
      <c r="C33" s="149" t="s">
        <v>68</v>
      </c>
      <c r="D33" s="128">
        <f>GETPIVOTDATA("turistas",'[1]Zonas mensual '!$A$44,"MES","noviembre","AÑO",2007)</f>
        <v>457530</v>
      </c>
      <c r="E33" s="128">
        <f>GETPIVOTDATA("turistas",'[1]Zonas mensual '!$A$44,"MES","noviembre","AÑO",2008)</f>
        <v>431740</v>
      </c>
      <c r="F33" s="128">
        <f>GETPIVOTDATA("turistas",'[1]Zonas mensual '!$A$44,"MES","noviembre","AÑO",2009)</f>
        <v>371802</v>
      </c>
      <c r="G33" s="128">
        <f>GETPIVOTDATA("turistas",'[1]Zonas mensual '!$A$44,"MES","noviembre","AÑO",2010)</f>
        <v>0</v>
      </c>
      <c r="H33" s="150">
        <f t="shared" si="1"/>
        <v>-5.6367888444473602E-2</v>
      </c>
      <c r="I33" s="150">
        <f t="shared" si="1"/>
        <v>-0.1388289248158614</v>
      </c>
      <c r="J33" s="150"/>
    </row>
    <row r="34" spans="3:10">
      <c r="C34" s="149" t="s">
        <v>69</v>
      </c>
      <c r="D34" s="128">
        <f>GETPIVOTDATA("turistas",'[1]Zonas mensual '!$A$44,"MES","diciembre","AÑO",2007)</f>
        <v>438336</v>
      </c>
      <c r="E34" s="128">
        <f>GETPIVOTDATA("turistas",'[1]Zonas mensual '!$A$44,"MES","diciembre","AÑO",2008)</f>
        <v>410203</v>
      </c>
      <c r="F34" s="128">
        <f>GETPIVOTDATA("turistas",'[1]Zonas mensual '!$A$44,"MES","diciembre","AÑO",2009)</f>
        <v>380517</v>
      </c>
      <c r="G34" s="128">
        <f>GETPIVOTDATA("turistas",'[1]Zonas mensual '!$A$44,"MES","diciembre","AÑO",2010)</f>
        <v>0</v>
      </c>
      <c r="H34" s="150">
        <f t="shared" si="1"/>
        <v>-6.4181358592495297E-2</v>
      </c>
      <c r="I34" s="150">
        <f t="shared" si="1"/>
        <v>-7.2369046545247118E-2</v>
      </c>
      <c r="J34" s="150"/>
    </row>
    <row r="35" spans="3:10">
      <c r="C35" s="151" t="s">
        <v>101</v>
      </c>
      <c r="D35" s="152">
        <f>SUM(D23:D34)</f>
        <v>5278784</v>
      </c>
      <c r="E35" s="152">
        <f>SUM(E23:E34)</f>
        <v>5292327</v>
      </c>
      <c r="F35" s="152">
        <f>SUM(F23:F34)</f>
        <v>4707782</v>
      </c>
      <c r="G35" s="152">
        <f>SUM(G23:G34)</f>
        <v>2766193</v>
      </c>
      <c r="H35" s="153">
        <f>E35/D35-1</f>
        <v>2.5655529758368267E-3</v>
      </c>
      <c r="I35" s="153"/>
      <c r="J35" s="153"/>
    </row>
    <row r="36" spans="3:10" ht="24" customHeight="1">
      <c r="C36" s="154" t="s">
        <v>71</v>
      </c>
      <c r="D36" s="155"/>
      <c r="E36" s="155"/>
      <c r="F36" s="155"/>
      <c r="G36" s="155"/>
      <c r="H36" s="155"/>
      <c r="I36" s="155"/>
      <c r="J36" s="156"/>
    </row>
  </sheetData>
  <mergeCells count="4">
    <mergeCell ref="C3:J3"/>
    <mergeCell ref="C18:J18"/>
    <mergeCell ref="C21:J21"/>
    <mergeCell ref="C36:J36"/>
  </mergeCells>
  <hyperlinks>
    <hyperlink ref="L3" location="'grafica zona mensual'!A1" tooltip="GRAFICA" display="GRAFICA"/>
    <hyperlink ref="L24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43"/>
  <sheetViews>
    <sheetView showGridLines="0" showRowColHeaders="0" zoomScaleNormal="100" workbookViewId="0">
      <selection activeCell="I13" sqref="I13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60" t="s">
        <v>52</v>
      </c>
    </row>
    <row r="42" spans="11:11" ht="15.75" thickBot="1"/>
    <row r="43" spans="11:11" ht="16.5" thickBot="1">
      <c r="K43" s="60" t="s">
        <v>52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C2:R38"/>
  <sheetViews>
    <sheetView showGridLines="0" showRowColHeaders="0" showZeros="0" zoomScaleNormal="100" workbookViewId="0">
      <selection activeCell="I13" sqref="I13"/>
    </sheetView>
  </sheetViews>
  <sheetFormatPr baseColWidth="10" defaultRowHeight="15"/>
  <cols>
    <col min="1" max="1" width="16.140625" customWidth="1"/>
    <col min="3" max="3" width="13.5703125" customWidth="1"/>
    <col min="5" max="5" width="13.42578125" customWidth="1"/>
    <col min="8" max="8" width="13.7109375" customWidth="1"/>
    <col min="14" max="14" width="13.28515625" customWidth="1"/>
  </cols>
  <sheetData>
    <row r="2" spans="3:18" ht="52.5" customHeight="1"/>
    <row r="3" spans="3:18" ht="24.75" customHeight="1">
      <c r="C3" s="144" t="s">
        <v>97</v>
      </c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</row>
    <row r="4" spans="3:18">
      <c r="C4" s="157"/>
      <c r="D4" s="158">
        <v>2008</v>
      </c>
      <c r="E4" s="158"/>
      <c r="F4" s="158"/>
      <c r="G4" s="158">
        <v>2009</v>
      </c>
      <c r="H4" s="158"/>
      <c r="I4" s="158"/>
      <c r="J4" s="158">
        <v>2010</v>
      </c>
      <c r="K4" s="158"/>
      <c r="L4" s="158"/>
      <c r="M4" s="158" t="s">
        <v>103</v>
      </c>
      <c r="N4" s="158"/>
      <c r="O4" s="158"/>
      <c r="P4" s="158" t="s">
        <v>104</v>
      </c>
      <c r="Q4" s="158"/>
      <c r="R4" s="158"/>
    </row>
    <row r="5" spans="3:18" ht="45">
      <c r="C5" s="157"/>
      <c r="D5" s="127" t="s">
        <v>35</v>
      </c>
      <c r="E5" s="127" t="s">
        <v>94</v>
      </c>
      <c r="F5" s="127" t="s">
        <v>105</v>
      </c>
      <c r="G5" s="127" t="s">
        <v>35</v>
      </c>
      <c r="H5" s="127" t="s">
        <v>94</v>
      </c>
      <c r="I5" s="127" t="s">
        <v>105</v>
      </c>
      <c r="J5" s="127" t="s">
        <v>35</v>
      </c>
      <c r="K5" s="127" t="s">
        <v>94</v>
      </c>
      <c r="L5" s="127" t="s">
        <v>105</v>
      </c>
      <c r="M5" s="127" t="s">
        <v>106</v>
      </c>
      <c r="N5" s="127" t="s">
        <v>107</v>
      </c>
      <c r="O5" s="127" t="s">
        <v>108</v>
      </c>
      <c r="P5" s="127" t="s">
        <v>106</v>
      </c>
      <c r="Q5" s="127" t="s">
        <v>107</v>
      </c>
      <c r="R5" s="127" t="s">
        <v>108</v>
      </c>
    </row>
    <row r="6" spans="3:18">
      <c r="C6" s="149" t="s">
        <v>58</v>
      </c>
      <c r="D6" s="128">
        <f>GETPIVOTDATA("dato",'[1]Evolución mensual zonas y categ'!$A$4,"categoría","Hoteleros","mes",1,"año",2008)</f>
        <v>16982</v>
      </c>
      <c r="E6" s="128">
        <f>GETPIVOTDATA("dato",'[1]Evolución mensual zonas y categ'!$A$4,"categoría","EXTRAHOTELEROS","mes",1,"año",2008)</f>
        <v>0</v>
      </c>
      <c r="F6" s="128">
        <f>GETPIVOTDATA("dato",'[1]Evolución mensual zonas y categ'!$A$4,"categoría","TOTAL","mes",1,"año",2008)</f>
        <v>16982</v>
      </c>
      <c r="G6" s="128">
        <f>GETPIVOTDATA("dato",'[1]Evolución mensual zonas y categ'!$A$4,"categoría","Hoteleros","mes",1,"año",2009)</f>
        <v>13570</v>
      </c>
      <c r="H6" s="128">
        <f>GETPIVOTDATA("dato",'[1]Evolución mensual zonas y categ'!$A$4,"categoría","EXTRAHOTELEROS","mes",1,"año",2009)</f>
        <v>0</v>
      </c>
      <c r="I6" s="128">
        <f>GETPIVOTDATA("dato",'[1]Evolución mensual zonas y categ'!$A$4,"categoría","TOTAL","mes",1,"año",2009)</f>
        <v>13570</v>
      </c>
      <c r="J6" s="128">
        <f>GETPIVOTDATA("dato",'[1]Evolución mensual zonas y categ'!$A$4,"categoría","Hoteleros","mes",1,"año",2010)</f>
        <v>13188</v>
      </c>
      <c r="K6" s="128">
        <f>GETPIVOTDATA("dato",'[1]Evolución mensual zonas y categ'!$A$4,"categoría","EXTRAHOTELEROS","mes",1,"año",2010)</f>
        <v>0</v>
      </c>
      <c r="L6" s="128">
        <f>GETPIVOTDATA("dato",'[1]Evolución mensual zonas y categ'!$A$4,"categoría","TOTAL","mes",1,"año",2010)</f>
        <v>13188</v>
      </c>
      <c r="M6" s="150">
        <f t="shared" ref="M6:M18" si="0">G6/D6-1</f>
        <v>-0.20091861971499236</v>
      </c>
      <c r="N6" s="150"/>
      <c r="O6" s="150">
        <f t="shared" ref="O6:R18" si="1">I6/F6-1</f>
        <v>-0.20091861971499236</v>
      </c>
      <c r="P6" s="150">
        <f t="shared" si="1"/>
        <v>-2.8150331613854052E-2</v>
      </c>
      <c r="Q6" s="150"/>
      <c r="R6" s="150">
        <f t="shared" si="1"/>
        <v>-2.8150331613854052E-2</v>
      </c>
    </row>
    <row r="7" spans="3:18">
      <c r="C7" s="149" t="s">
        <v>59</v>
      </c>
      <c r="D7" s="128">
        <f>GETPIVOTDATA("dato",'[1]Evolución mensual zonas y categ'!$A$4,"categoría","Hoteleros","mes",2,"año",2008)</f>
        <v>19355</v>
      </c>
      <c r="E7" s="128">
        <f>GETPIVOTDATA("dato",'[1]Evolución mensual zonas y categ'!$A$4,"categoría","EXTRAHOTELEROS","mes",2,"año",2008)</f>
        <v>0</v>
      </c>
      <c r="F7" s="128">
        <f>GETPIVOTDATA("dato",'[1]Evolución mensual zonas y categ'!$A$4,"categoría","TOTAL","mes",2,"año",2008)</f>
        <v>19355</v>
      </c>
      <c r="G7" s="128">
        <f>GETPIVOTDATA("dato",'[1]Evolución mensual zonas y categ'!$A$4,"categoría","Hoteleros","mes",2,"año",2009)</f>
        <v>15172</v>
      </c>
      <c r="H7" s="128">
        <f>GETPIVOTDATA("dato",'[1]Evolución mensual zonas y categ'!$A$4,"categoría","EXTRAHOTELEROS","mes",2,"año",2009)</f>
        <v>0</v>
      </c>
      <c r="I7" s="128">
        <f>GETPIVOTDATA("dato",'[1]Evolución mensual zonas y categ'!$A$4,"categoría","TOTAL","mes",2,"año",2009)</f>
        <v>15172</v>
      </c>
      <c r="J7" s="128">
        <f>GETPIVOTDATA("dato",'[1]Evolución mensual zonas y categ'!$A$4,"categoría","Hoteleros","mes",2,"año",2010)</f>
        <v>16759</v>
      </c>
      <c r="K7" s="128">
        <f>GETPIVOTDATA("dato",'[1]Evolución mensual zonas y categ'!$A$4,"categoría","EXTRAHOTELEROS","mes",2,"año",2010)</f>
        <v>0</v>
      </c>
      <c r="L7" s="128">
        <f>GETPIVOTDATA("dato",'[1]Evolución mensual zonas y categ'!$A$4,"categoría","TOTAL","mes",2,"año",2010)</f>
        <v>16759</v>
      </c>
      <c r="M7" s="150">
        <f t="shared" si="0"/>
        <v>-0.21611986566778607</v>
      </c>
      <c r="N7" s="150"/>
      <c r="O7" s="150">
        <f t="shared" si="1"/>
        <v>-0.21611986566778607</v>
      </c>
      <c r="P7" s="150">
        <f t="shared" si="1"/>
        <v>0.10460058001581851</v>
      </c>
      <c r="Q7" s="150"/>
      <c r="R7" s="150">
        <f t="shared" si="1"/>
        <v>0.10460058001581851</v>
      </c>
    </row>
    <row r="8" spans="3:18">
      <c r="C8" s="149" t="s">
        <v>60</v>
      </c>
      <c r="D8" s="128">
        <f>GETPIVOTDATA("dato",'[1]Evolución mensual zonas y categ'!$A$4,"categoría","Hoteleros","mes",3,"año",2008)</f>
        <v>16551</v>
      </c>
      <c r="E8" s="128">
        <f>GETPIVOTDATA("dato",'[1]Evolución mensual zonas y categ'!$A$4,"categoría","EXTRAHOTELEROS","mes",3,"año",2008)</f>
        <v>0</v>
      </c>
      <c r="F8" s="128">
        <f>GETPIVOTDATA("dato",'[1]Evolución mensual zonas y categ'!$A$4,"categoría","TOTAL","mes",3,"año",2008)</f>
        <v>16551</v>
      </c>
      <c r="G8" s="128">
        <f>GETPIVOTDATA("dato",'[1]Evolución mensual zonas y categ'!$A$4,"categoría","Hoteleros","mes",3,"año",2009)</f>
        <v>15653</v>
      </c>
      <c r="H8" s="128">
        <f>GETPIVOTDATA("dato",'[1]Evolución mensual zonas y categ'!$A$4,"categoría","EXTRAHOTELEROS","mes",3,"año",2009)</f>
        <v>0</v>
      </c>
      <c r="I8" s="128">
        <f>GETPIVOTDATA("dato",'[1]Evolución mensual zonas y categ'!$A$4,"categoría","TOTAL","mes",3,"año",2009)</f>
        <v>15653</v>
      </c>
      <c r="J8" s="128">
        <f>GETPIVOTDATA("dato",'[1]Evolución mensual zonas y categ'!$A$4,"categoría","Hoteleros","mes",3,"año",2010)</f>
        <v>14574</v>
      </c>
      <c r="K8" s="128">
        <f>GETPIVOTDATA("dato",'[1]Evolución mensual zonas y categ'!$A$4,"categoría","EXTRAHOTELEROS","mes",3,"año",2010)</f>
        <v>0</v>
      </c>
      <c r="L8" s="128">
        <f>GETPIVOTDATA("dato",'[1]Evolución mensual zonas y categ'!$A$4,"categoría","TOTAL","mes",3,"año",2010)</f>
        <v>14574</v>
      </c>
      <c r="M8" s="150">
        <f t="shared" si="0"/>
        <v>-5.4256540390308694E-2</v>
      </c>
      <c r="N8" s="150"/>
      <c r="O8" s="150">
        <f t="shared" si="1"/>
        <v>-5.4256540390308694E-2</v>
      </c>
      <c r="P8" s="150">
        <f t="shared" si="1"/>
        <v>-6.8932473008369022E-2</v>
      </c>
      <c r="Q8" s="150"/>
      <c r="R8" s="150">
        <f t="shared" si="1"/>
        <v>-6.8932473008369022E-2</v>
      </c>
    </row>
    <row r="9" spans="3:18">
      <c r="C9" s="149" t="s">
        <v>46</v>
      </c>
      <c r="D9" s="128">
        <f>GETPIVOTDATA("dato",'[1]Evolución mensual zonas y categ'!$A$4,"categoría","Hoteleros","mes",4,"año",2008)</f>
        <v>17593</v>
      </c>
      <c r="E9" s="128">
        <f>GETPIVOTDATA("dato",'[1]Evolución mensual zonas y categ'!$A$4,"categoría","EXTRAHOTELEROS","mes",4,"año",2008)</f>
        <v>0</v>
      </c>
      <c r="F9" s="128">
        <f>GETPIVOTDATA("dato",'[1]Evolución mensual zonas y categ'!$A$4,"categoría","TOTAL","mes",4,"año",2008)</f>
        <v>17593</v>
      </c>
      <c r="G9" s="128">
        <f>GETPIVOTDATA("dato",'[1]Evolución mensual zonas y categ'!$A$4,"categoría","Hoteleros","mes",4,"año",2009)</f>
        <v>13079</v>
      </c>
      <c r="H9" s="128">
        <f>GETPIVOTDATA("dato",'[1]Evolución mensual zonas y categ'!$A$4,"categoría","EXTRAHOTELEROS","mes",4,"año",2009)</f>
        <v>0</v>
      </c>
      <c r="I9" s="128">
        <f>GETPIVOTDATA("dato",'[1]Evolución mensual zonas y categ'!$A$4,"categoría","TOTAL","mes",4,"año",2009)</f>
        <v>13079</v>
      </c>
      <c r="J9" s="128">
        <f>GETPIVOTDATA("dato",'[1]Evolución mensual zonas y categ'!$A$4,"categoría","Hoteleros","mes",4,"año",2010)</f>
        <v>12595</v>
      </c>
      <c r="K9" s="128">
        <f>GETPIVOTDATA("dato",'[1]Evolución mensual zonas y categ'!$A$4,"categoría","EXTRAHOTELEROS","mes",4,"año",2010)</f>
        <v>0</v>
      </c>
      <c r="L9" s="128">
        <f>GETPIVOTDATA("dato",'[1]Evolución mensual zonas y categ'!$A$4,"categoría","TOTAL","mes",4,"año",2010)</f>
        <v>12595</v>
      </c>
      <c r="M9" s="150">
        <f t="shared" si="0"/>
        <v>-0.25657932132097994</v>
      </c>
      <c r="N9" s="150"/>
      <c r="O9" s="150">
        <f t="shared" si="1"/>
        <v>-0.25657932132097994</v>
      </c>
      <c r="P9" s="150">
        <f t="shared" si="1"/>
        <v>-3.7005887300252338E-2</v>
      </c>
      <c r="Q9" s="150"/>
      <c r="R9" s="150">
        <f t="shared" si="1"/>
        <v>-3.7005887300252338E-2</v>
      </c>
    </row>
    <row r="10" spans="3:18">
      <c r="C10" s="149" t="s">
        <v>62</v>
      </c>
      <c r="D10" s="128">
        <f>GETPIVOTDATA("dato",'[1]Evolución mensual zonas y categ'!$A$4,"categoría","Hoteleros","mes",5,"año",2008)</f>
        <v>17437</v>
      </c>
      <c r="E10" s="128">
        <f>GETPIVOTDATA("dato",'[1]Evolución mensual zonas y categ'!$A$4,"categoría","EXTRAHOTELEROS","mes",5,"año",2008)</f>
        <v>0</v>
      </c>
      <c r="F10" s="128">
        <f>GETPIVOTDATA("dato",'[1]Evolución mensual zonas y categ'!$A$4,"categoría","TOTAL","mes",5,"año",2008)</f>
        <v>17437</v>
      </c>
      <c r="G10" s="128">
        <f>GETPIVOTDATA("dato",'[1]Evolución mensual zonas y categ'!$A$4,"categoría","Hoteleros","mes",5,"año",2009)</f>
        <v>13474</v>
      </c>
      <c r="H10" s="128">
        <f>GETPIVOTDATA("dato",'[1]Evolución mensual zonas y categ'!$A$4,"categoría","EXTRAHOTELEROS","mes",5,"año",2009)</f>
        <v>0</v>
      </c>
      <c r="I10" s="128">
        <f>GETPIVOTDATA("dato",'[1]Evolución mensual zonas y categ'!$A$4,"categoría","TOTAL","mes",5,"año",2009)</f>
        <v>13474</v>
      </c>
      <c r="J10" s="128">
        <f>GETPIVOTDATA("dato",'[1]Evolución mensual zonas y categ'!$A$4,"categoría","Hoteleros","mes",5,"año",2010)</f>
        <v>12407</v>
      </c>
      <c r="K10" s="128">
        <f>GETPIVOTDATA("dato",'[1]Evolución mensual zonas y categ'!$A$4,"categoría","EXTRAHOTELEROS","mes",5,"año",2010)</f>
        <v>0</v>
      </c>
      <c r="L10" s="128">
        <f>GETPIVOTDATA("dato",'[1]Evolución mensual zonas y categ'!$A$4,"categoría","TOTAL","mes",5,"año",2010)</f>
        <v>12407</v>
      </c>
      <c r="M10" s="150">
        <f t="shared" si="0"/>
        <v>-0.22727533405975797</v>
      </c>
      <c r="N10" s="150"/>
      <c r="O10" s="150">
        <f t="shared" si="1"/>
        <v>-0.22727533405975797</v>
      </c>
      <c r="P10" s="150">
        <f t="shared" si="1"/>
        <v>-7.918955024491614E-2</v>
      </c>
      <c r="Q10" s="150"/>
      <c r="R10" s="150">
        <f t="shared" si="1"/>
        <v>-7.918955024491614E-2</v>
      </c>
    </row>
    <row r="11" spans="3:18">
      <c r="C11" s="149" t="s">
        <v>63</v>
      </c>
      <c r="D11" s="128">
        <f>GETPIVOTDATA("dato",'[1]Evolución mensual zonas y categ'!$A$4,"categoría","Hoteleros","mes",6,"año",2008)</f>
        <v>15440</v>
      </c>
      <c r="E11" s="128">
        <f>GETPIVOTDATA("dato",'[1]Evolución mensual zonas y categ'!$A$4,"categoría","EXTRAHOTELEROS","mes",6,"año",2008)</f>
        <v>0</v>
      </c>
      <c r="F11" s="128">
        <f>GETPIVOTDATA("dato",'[1]Evolución mensual zonas y categ'!$A$4,"categoría","TOTAL","mes",6,"año",2008)</f>
        <v>15440</v>
      </c>
      <c r="G11" s="128">
        <f>GETPIVOTDATA("dato",'[1]Evolución mensual zonas y categ'!$A$4,"categoría","Hoteleros","mes",6,"año",2009)</f>
        <v>12750</v>
      </c>
      <c r="H11" s="128">
        <f>GETPIVOTDATA("dato",'[1]Evolución mensual zonas y categ'!$A$4,"categoría","EXTRAHOTELEROS","mes",6,"año",2009)</f>
        <v>0</v>
      </c>
      <c r="I11" s="128">
        <f>GETPIVOTDATA("dato",'[1]Evolución mensual zonas y categ'!$A$4,"categoría","TOTAL","mes",6,"año",2009)</f>
        <v>12750</v>
      </c>
      <c r="J11" s="128">
        <f>GETPIVOTDATA("dato",'[1]Evolución mensual zonas y categ'!$A$4,"categoría","Hoteleros","mes",6,"año",2010)</f>
        <v>12682</v>
      </c>
      <c r="K11" s="128">
        <f>GETPIVOTDATA("dato",'[1]Evolución mensual zonas y categ'!$A$4,"categoría","EXTRAHOTELEROS","mes",6,"año",2010)</f>
        <v>0</v>
      </c>
      <c r="L11" s="128">
        <f>GETPIVOTDATA("dato",'[1]Evolución mensual zonas y categ'!$A$4,"categoría","TOTAL","mes",6,"año",2010)</f>
        <v>12682</v>
      </c>
      <c r="M11" s="150">
        <f t="shared" si="0"/>
        <v>-0.17422279792746109</v>
      </c>
      <c r="N11" s="150"/>
      <c r="O11" s="150">
        <f t="shared" si="1"/>
        <v>-0.17422279792746109</v>
      </c>
      <c r="P11" s="150">
        <f t="shared" si="1"/>
        <v>-5.3333333333333011E-3</v>
      </c>
      <c r="Q11" s="150"/>
      <c r="R11" s="150">
        <f t="shared" si="1"/>
        <v>-5.3333333333333011E-3</v>
      </c>
    </row>
    <row r="12" spans="3:18">
      <c r="C12" s="149" t="s">
        <v>64</v>
      </c>
      <c r="D12" s="128">
        <f>GETPIVOTDATA("dato",'[1]Evolución mensual zonas y categ'!$A$4,"categoría","Hoteleros","mes",7,"año",2008)</f>
        <v>16337</v>
      </c>
      <c r="E12" s="128">
        <f>GETPIVOTDATA("dato",'[1]Evolución mensual zonas y categ'!$A$4,"categoría","EXTRAHOTELEROS","mes",7,"año",2008)</f>
        <v>0</v>
      </c>
      <c r="F12" s="128">
        <f>GETPIVOTDATA("dato",'[1]Evolución mensual zonas y categ'!$A$4,"categoría","TOTAL","mes",7,"año",2008)</f>
        <v>16337</v>
      </c>
      <c r="G12" s="128">
        <f>GETPIVOTDATA("dato",'[1]Evolución mensual zonas y categ'!$A$4,"categoría","Hoteleros","mes",7,"año",2009)</f>
        <v>11890</v>
      </c>
      <c r="H12" s="128">
        <f>GETPIVOTDATA("dato",'[1]Evolución mensual zonas y categ'!$A$4,"categoría","EXTRAHOTELEROS","mes",7,"año",2009)</f>
        <v>0</v>
      </c>
      <c r="I12" s="128">
        <f>GETPIVOTDATA("dato",'[1]Evolución mensual zonas y categ'!$A$4,"categoría","TOTAL","mes",7,"año",2009)</f>
        <v>11890</v>
      </c>
      <c r="J12" s="128">
        <f>GETPIVOTDATA("dato",'[1]Evolución mensual zonas y categ'!$A$4,"categoría","Hoteleros","mes",7,"año",2010)</f>
        <v>10611</v>
      </c>
      <c r="K12" s="128">
        <f>GETPIVOTDATA("dato",'[1]Evolución mensual zonas y categ'!$A$4,"categoría","EXTRAHOTELEROS","mes",7,"año",2010)</f>
        <v>0</v>
      </c>
      <c r="L12" s="128">
        <f>GETPIVOTDATA("dato",'[1]Evolución mensual zonas y categ'!$A$4,"categoría","TOTAL","mes",7,"año",2010)</f>
        <v>10611</v>
      </c>
      <c r="M12" s="150">
        <f t="shared" si="0"/>
        <v>-0.27220419905735449</v>
      </c>
      <c r="N12" s="150"/>
      <c r="O12" s="150">
        <f t="shared" si="1"/>
        <v>-0.27220419905735449</v>
      </c>
      <c r="P12" s="150">
        <f t="shared" si="1"/>
        <v>-0.10756938603868793</v>
      </c>
      <c r="Q12" s="150"/>
      <c r="R12" s="150">
        <f t="shared" si="1"/>
        <v>-0.10756938603868793</v>
      </c>
    </row>
    <row r="13" spans="3:18">
      <c r="C13" s="149" t="s">
        <v>65</v>
      </c>
      <c r="D13" s="128">
        <f>GETPIVOTDATA("dato",'[1]Evolución mensual zonas y categ'!$A$4,"categoría","Hoteleros","mes",8,"año",2008)</f>
        <v>12308</v>
      </c>
      <c r="E13" s="128">
        <f>GETPIVOTDATA("dato",'[1]Evolución mensual zonas y categ'!$A$4,"categoría","EXTRAHOTELEROS","mes",8,"año",2008)</f>
        <v>0</v>
      </c>
      <c r="F13" s="128">
        <f>GETPIVOTDATA("dato",'[1]Evolución mensual zonas y categ'!$A$4,"categoría","TOTAL","mes",8,"año",2008)</f>
        <v>12308</v>
      </c>
      <c r="G13" s="128">
        <f>GETPIVOTDATA("dato",'[1]Evolución mensual zonas y categ'!$A$4,"categoría","Hoteleros","mes",8,"año",2009)</f>
        <v>7777</v>
      </c>
      <c r="H13" s="128">
        <f>GETPIVOTDATA("dato",'[1]Evolución mensual zonas y categ'!$A$4,"categoría","EXTRAHOTELEROS","mes",8,"año",2009)</f>
        <v>0</v>
      </c>
      <c r="I13" s="128">
        <f>GETPIVOTDATA("dato",'[1]Evolución mensual zonas y categ'!$A$4,"categoría","TOTAL","mes",8,"año",2009)</f>
        <v>7777</v>
      </c>
      <c r="J13" s="128">
        <f>GETPIVOTDATA("dato",'[1]Evolución mensual zonas y categ'!$A$4,"categoría","Hoteleros","mes",8,"año",2010)</f>
        <v>0</v>
      </c>
      <c r="K13" s="128">
        <f>GETPIVOTDATA("dato",'[1]Evolución mensual zonas y categ'!$A$4,"categoría","EXTRAHOTELEROS","mes",8,"año",2010)</f>
        <v>0</v>
      </c>
      <c r="L13" s="128">
        <f>GETPIVOTDATA("dato",'[1]Evolución mensual zonas y categ'!$A$4,"categoría","TOTAL","mes",8,"año",2010)</f>
        <v>0</v>
      </c>
      <c r="M13" s="150">
        <f t="shared" si="0"/>
        <v>-0.36813454663633405</v>
      </c>
      <c r="N13" s="150"/>
      <c r="O13" s="150">
        <f t="shared" si="1"/>
        <v>-0.36813454663633405</v>
      </c>
      <c r="P13" s="150"/>
      <c r="Q13" s="150"/>
      <c r="R13" s="150"/>
    </row>
    <row r="14" spans="3:18">
      <c r="C14" s="149" t="s">
        <v>66</v>
      </c>
      <c r="D14" s="128">
        <f>GETPIVOTDATA("dato",'[1]Evolución mensual zonas y categ'!$A$4,"categoría","Hoteleros","mes",9,"año",2008)</f>
        <v>15134</v>
      </c>
      <c r="E14" s="128">
        <f>GETPIVOTDATA("dato",'[1]Evolución mensual zonas y categ'!$A$4,"categoría","EXTRAHOTELEROS","mes",9,"año",2008)</f>
        <v>0</v>
      </c>
      <c r="F14" s="128">
        <f>GETPIVOTDATA("dato",'[1]Evolución mensual zonas y categ'!$A$4,"categoría","TOTAL","mes",9,"año",2008)</f>
        <v>15134</v>
      </c>
      <c r="G14" s="128">
        <f>GETPIVOTDATA("dato",'[1]Evolución mensual zonas y categ'!$A$4,"categoría","Hoteleros","mes",9,"año",2009)</f>
        <v>11123</v>
      </c>
      <c r="H14" s="128">
        <f>GETPIVOTDATA("dato",'[1]Evolución mensual zonas y categ'!$A$4,"categoría","EXTRAHOTELEROS","mes",9,"año",2009)</f>
        <v>0</v>
      </c>
      <c r="I14" s="128">
        <f>GETPIVOTDATA("dato",'[1]Evolución mensual zonas y categ'!$A$4,"categoría","TOTAL","mes",9,"año",2009)</f>
        <v>11123</v>
      </c>
      <c r="J14" s="128">
        <f>GETPIVOTDATA("dato",'[1]Evolución mensual zonas y categ'!$A$4,"categoría","Hoteleros","mes",9,"año",2010)</f>
        <v>0</v>
      </c>
      <c r="K14" s="128">
        <f>GETPIVOTDATA("dato",'[1]Evolución mensual zonas y categ'!$A$4,"categoría","EXTRAHOTELEROS","mes",9,"año",2010)</f>
        <v>0</v>
      </c>
      <c r="L14" s="128">
        <f>GETPIVOTDATA("dato",'[1]Evolución mensual zonas y categ'!$A$4,"categoría","TOTAL","mes",9,"año",2010)</f>
        <v>0</v>
      </c>
      <c r="M14" s="150">
        <f t="shared" si="0"/>
        <v>-0.2650323774283071</v>
      </c>
      <c r="N14" s="150"/>
      <c r="O14" s="150">
        <f t="shared" si="1"/>
        <v>-0.2650323774283071</v>
      </c>
      <c r="P14" s="150"/>
      <c r="Q14" s="150"/>
      <c r="R14" s="150"/>
    </row>
    <row r="15" spans="3:18">
      <c r="C15" s="149" t="s">
        <v>67</v>
      </c>
      <c r="D15" s="128">
        <f>GETPIVOTDATA("dato",'[1]Evolución mensual zonas y categ'!$A$4,"categoría","Hoteleros","mes",10,"año",2008)</f>
        <v>18706</v>
      </c>
      <c r="E15" s="128">
        <f>GETPIVOTDATA("dato",'[1]Evolución mensual zonas y categ'!$A$4,"categoría","EXTRAHOTELEROS","mes",10,"año",2008)</f>
        <v>0</v>
      </c>
      <c r="F15" s="128">
        <f>GETPIVOTDATA("dato",'[1]Evolución mensual zonas y categ'!$A$4,"categoría","TOTAL","mes",10,"año",2008)</f>
        <v>18706</v>
      </c>
      <c r="G15" s="128">
        <f>GETPIVOTDATA("dato",'[1]Evolución mensual zonas y categ'!$A$4,"categoría","Hoteleros","mes",10,"año",2009)</f>
        <v>12809</v>
      </c>
      <c r="H15" s="128">
        <f>GETPIVOTDATA("dato",'[1]Evolución mensual zonas y categ'!$A$4,"categoría","EXTRAHOTELEROS","mes",10,"año",2009)</f>
        <v>0</v>
      </c>
      <c r="I15" s="128">
        <f>GETPIVOTDATA("dato",'[1]Evolución mensual zonas y categ'!$A$4,"categoría","TOTAL","mes",10,"año",2009)</f>
        <v>12809</v>
      </c>
      <c r="J15" s="128">
        <f>GETPIVOTDATA("dato",'[1]Evolución mensual zonas y categ'!$A$4,"categoría","Hoteleros","mes",10,"año",2010)</f>
        <v>0</v>
      </c>
      <c r="K15" s="128">
        <f>GETPIVOTDATA("dato",'[1]Evolución mensual zonas y categ'!$A$4,"categoría","EXTRAHOTELEROS","mes",10,"año",2010)</f>
        <v>0</v>
      </c>
      <c r="L15" s="128">
        <f>GETPIVOTDATA("dato",'[1]Evolución mensual zonas y categ'!$A$4,"categoría","TOTAL","mes",10,"año",2010)</f>
        <v>0</v>
      </c>
      <c r="M15" s="150">
        <f t="shared" si="0"/>
        <v>-0.31524644499091203</v>
      </c>
      <c r="N15" s="150"/>
      <c r="O15" s="150">
        <f t="shared" si="1"/>
        <v>-0.31524644499091203</v>
      </c>
      <c r="P15" s="150"/>
      <c r="Q15" s="150"/>
      <c r="R15" s="150"/>
    </row>
    <row r="16" spans="3:18">
      <c r="C16" s="149" t="s">
        <v>68</v>
      </c>
      <c r="D16" s="128">
        <f>GETPIVOTDATA("dato",'[1]Evolución mensual zonas y categ'!$A$4,"categoría","Hoteleros","mes",11,"año",2008)</f>
        <v>17843</v>
      </c>
      <c r="E16" s="128">
        <f>GETPIVOTDATA("dato",'[1]Evolución mensual zonas y categ'!$A$4,"categoría","EXTRAHOTELEROS","mes",11,"año",2008)</f>
        <v>0</v>
      </c>
      <c r="F16" s="128">
        <f>GETPIVOTDATA("dato",'[1]Evolución mensual zonas y categ'!$A$4,"categoría","TOTAL","mes",11,"año",2008)</f>
        <v>17843</v>
      </c>
      <c r="G16" s="128">
        <f>GETPIVOTDATA("dato",'[1]Evolución mensual zonas y categ'!$A$4,"categoría","Hoteleros","mes",11,"año",2009)</f>
        <v>13990</v>
      </c>
      <c r="H16" s="128">
        <f>GETPIVOTDATA("dato",'[1]Evolución mensual zonas y categ'!$A$4,"categoría","EXTRAHOTELEROS","mes",11,"año",2009)</f>
        <v>0</v>
      </c>
      <c r="I16" s="128">
        <f>GETPIVOTDATA("dato",'[1]Evolución mensual zonas y categ'!$A$4,"categoría","TOTAL","mes",11,"año",2009)</f>
        <v>13990</v>
      </c>
      <c r="J16" s="128">
        <f>GETPIVOTDATA("dato",'[1]Evolución mensual zonas y categ'!$A$4,"categoría","Hoteleros","mes",11,"año",2010)</f>
        <v>0</v>
      </c>
      <c r="K16" s="128">
        <f>GETPIVOTDATA("dato",'[1]Evolución mensual zonas y categ'!$A$4,"categoría","EXTRAHOTELEROS","mes",11,"año",2010)</f>
        <v>0</v>
      </c>
      <c r="L16" s="128">
        <f>GETPIVOTDATA("dato",'[1]Evolución mensual zonas y categ'!$A$4,"categoría","TOTAL","mes",11,"año",2010)</f>
        <v>0</v>
      </c>
      <c r="M16" s="150">
        <f t="shared" si="0"/>
        <v>-0.21593902370677576</v>
      </c>
      <c r="N16" s="150"/>
      <c r="O16" s="150">
        <f t="shared" si="1"/>
        <v>-0.21593902370677576</v>
      </c>
      <c r="P16" s="150"/>
      <c r="Q16" s="150"/>
      <c r="R16" s="150"/>
    </row>
    <row r="17" spans="3:18">
      <c r="C17" s="149" t="s">
        <v>69</v>
      </c>
      <c r="D17" s="128">
        <f>GETPIVOTDATA("dato",'[1]Evolución mensual zonas y categ'!$A$4,"categoría","Hoteleros","mes",12,"año",2008)</f>
        <v>16132</v>
      </c>
      <c r="E17" s="128">
        <f>GETPIVOTDATA("dato",'[1]Evolución mensual zonas y categ'!$A$4,"categoría","EXTRAHOTELEROS","mes",12,"año",2008)</f>
        <v>0</v>
      </c>
      <c r="F17" s="128">
        <f>GETPIVOTDATA("dato",'[1]Evolución mensual zonas y categ'!$A$4,"categoría","TOTAL","mes",12,"año",2008)</f>
        <v>16132</v>
      </c>
      <c r="G17" s="128">
        <f>GETPIVOTDATA("dato",'[1]Evolución mensual zonas y categ'!$A$4,"categoría","Hoteleros","mes",12,"año",2009)</f>
        <v>13086</v>
      </c>
      <c r="H17" s="128">
        <f>GETPIVOTDATA("dato",'[1]Evolución mensual zonas y categ'!$A$4,"categoría","EXTRAHOTELEROS","mes",12,"año",2009)</f>
        <v>0</v>
      </c>
      <c r="I17" s="128">
        <f>GETPIVOTDATA("dato",'[1]Evolución mensual zonas y categ'!$A$4,"categoría","TOTAL","mes",12,"año",2009)</f>
        <v>13086</v>
      </c>
      <c r="J17" s="128">
        <f>GETPIVOTDATA("dato",'[1]Evolución mensual zonas y categ'!$A$4,"categoría","Hoteleros","mes",12,"año",2010)</f>
        <v>0</v>
      </c>
      <c r="K17" s="128">
        <f>GETPIVOTDATA("dato",'[1]Evolución mensual zonas y categ'!$A$4,"categoría","EXTRAHOTELEROS","mes",12,"año",2010)</f>
        <v>0</v>
      </c>
      <c r="L17" s="128">
        <f>GETPIVOTDATA("dato",'[1]Evolución mensual zonas y categ'!$A$4,"categoría","TOTAL","mes",12,"año",2010)</f>
        <v>0</v>
      </c>
      <c r="M17" s="150">
        <f t="shared" si="0"/>
        <v>-0.18881725762459711</v>
      </c>
      <c r="N17" s="150"/>
      <c r="O17" s="150">
        <f t="shared" si="1"/>
        <v>-0.18881725762459711</v>
      </c>
      <c r="P17" s="150"/>
      <c r="Q17" s="150"/>
      <c r="R17" s="150"/>
    </row>
    <row r="18" spans="3:18">
      <c r="C18" s="131" t="s">
        <v>101</v>
      </c>
      <c r="D18" s="132">
        <f>GETPIVOTDATA("dato",'[1]Evolución mensual zonas y categ'!$A$4,"categoría","Hoteleros","año",2008)</f>
        <v>199818</v>
      </c>
      <c r="E18" s="132">
        <f>GETPIVOTDATA("dato",'[1]Evolución mensual zonas y categ'!$A$4,"categoría","EXTRAHOTELEROS","año",2008)</f>
        <v>0</v>
      </c>
      <c r="F18" s="132">
        <f>GETPIVOTDATA("dato",'[1]Evolución mensual zonas y categ'!$A$4,"categoría","TOTAL","año",2008)</f>
        <v>199818</v>
      </c>
      <c r="G18" s="132">
        <f>GETPIVOTDATA("dato",'[1]Evolución mensual zonas y categ'!$A$4,"categoría","Hoteleros","año",2009)</f>
        <v>154373</v>
      </c>
      <c r="H18" s="132">
        <f>GETPIVOTDATA("dato",'[1]Evolución mensual zonas y categ'!$A$4,"categoría","EXTRAHOTELEROS","año",2009)</f>
        <v>0</v>
      </c>
      <c r="I18" s="132">
        <f>GETPIVOTDATA("dato",'[1]Evolución mensual zonas y categ'!$A$4,"categoría","TOTAL","año",2009)</f>
        <v>154373</v>
      </c>
      <c r="J18" s="132">
        <f>GETPIVOTDATA("dato",'[1]Evolución mensual zonas y categ'!$A$4,"categoría","Hoteleros","año",2010)</f>
        <v>92816</v>
      </c>
      <c r="K18" s="132">
        <f>GETPIVOTDATA("dato",'[1]Evolución mensual zonas y categ'!$A$4,"categoría","EXTRAHOTELEROS","año",2010)</f>
        <v>0</v>
      </c>
      <c r="L18" s="132">
        <f>GETPIVOTDATA("dato",'[1]Evolución mensual zonas y categ'!$A$4,"categoría","TOTAL","año",2010)</f>
        <v>92816</v>
      </c>
      <c r="M18" s="142">
        <f t="shared" si="0"/>
        <v>-0.22743196308640867</v>
      </c>
      <c r="N18" s="142"/>
      <c r="O18" s="142">
        <f t="shared" si="1"/>
        <v>-0.22743196308640867</v>
      </c>
      <c r="P18" s="142"/>
      <c r="Q18" s="142"/>
      <c r="R18" s="142"/>
    </row>
    <row r="19" spans="3:18" ht="15" customHeight="1">
      <c r="C19" s="135" t="s">
        <v>78</v>
      </c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7"/>
    </row>
    <row r="20" spans="3:18"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</row>
    <row r="21" spans="3:18"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</row>
    <row r="22" spans="3:18" ht="24.75" customHeight="1">
      <c r="C22" s="144" t="s">
        <v>102</v>
      </c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</row>
    <row r="23" spans="3:18">
      <c r="C23" s="157"/>
      <c r="D23" s="158">
        <v>2008</v>
      </c>
      <c r="E23" s="158"/>
      <c r="F23" s="158"/>
      <c r="G23" s="158">
        <v>2009</v>
      </c>
      <c r="H23" s="158"/>
      <c r="I23" s="158"/>
      <c r="J23" s="158">
        <v>2010</v>
      </c>
      <c r="K23" s="158"/>
      <c r="L23" s="158"/>
      <c r="M23" s="158" t="s">
        <v>103</v>
      </c>
      <c r="N23" s="158"/>
      <c r="O23" s="158"/>
      <c r="P23" s="158" t="s">
        <v>104</v>
      </c>
      <c r="Q23" s="158"/>
      <c r="R23" s="158"/>
    </row>
    <row r="24" spans="3:18" ht="45">
      <c r="C24" s="157"/>
      <c r="D24" s="127" t="s">
        <v>35</v>
      </c>
      <c r="E24" s="127" t="s">
        <v>94</v>
      </c>
      <c r="F24" s="127" t="s">
        <v>105</v>
      </c>
      <c r="G24" s="127" t="s">
        <v>35</v>
      </c>
      <c r="H24" s="127" t="s">
        <v>94</v>
      </c>
      <c r="I24" s="127" t="s">
        <v>105</v>
      </c>
      <c r="J24" s="127" t="s">
        <v>35</v>
      </c>
      <c r="K24" s="127" t="s">
        <v>94</v>
      </c>
      <c r="L24" s="127" t="s">
        <v>105</v>
      </c>
      <c r="M24" s="127" t="s">
        <v>106</v>
      </c>
      <c r="N24" s="127" t="s">
        <v>107</v>
      </c>
      <c r="O24" s="127" t="s">
        <v>108</v>
      </c>
      <c r="P24" s="127" t="s">
        <v>106</v>
      </c>
      <c r="Q24" s="127" t="s">
        <v>107</v>
      </c>
      <c r="R24" s="127" t="s">
        <v>108</v>
      </c>
    </row>
    <row r="25" spans="3:18">
      <c r="C25" s="149" t="s">
        <v>58</v>
      </c>
      <c r="D25" s="128">
        <f>GETPIVOTDATA("Hotelero",'[1]Evolución mensual zonas y categ'!$A$49,"MES","Enero","AÑO",2008)</f>
        <v>238040</v>
      </c>
      <c r="E25" s="128">
        <f>GETPIVOTDATA("extrahotelero",'[1]Evolución mensual zonas y categ'!$A$49,"MES","Enero","AÑO",2008)</f>
        <v>171707</v>
      </c>
      <c r="F25" s="128">
        <f>GETPIVOTDATA("total",'[1]Evolución mensual zonas y categ'!$A$49,"MES","Enero","AÑO",2008)</f>
        <v>409747</v>
      </c>
      <c r="G25" s="128">
        <f>GETPIVOTDATA("Hotelero",'[1]Evolución mensual zonas y categ'!$A$49,"MES","Enero","AÑO",2009)</f>
        <v>212522</v>
      </c>
      <c r="H25" s="128">
        <f>GETPIVOTDATA("extrahotelero",'[1]Evolución mensual zonas y categ'!$A$49,"MES","Enero","AÑO",2009)</f>
        <v>168208</v>
      </c>
      <c r="I25" s="128">
        <f>GETPIVOTDATA("total",'[1]Evolución mensual zonas y categ'!$A$49,"MES","Enero","AÑO",2009)</f>
        <v>380730</v>
      </c>
      <c r="J25" s="128">
        <f>GETPIVOTDATA("Hotelero",'[1]Evolución mensual zonas y categ'!$A$49,"MES","Enero","AÑO",2010)</f>
        <v>226497</v>
      </c>
      <c r="K25" s="128">
        <f>GETPIVOTDATA("extrahotelero",'[1]Evolución mensual zonas y categ'!$A$49,"MES","Enero","AÑO",2010)</f>
        <v>155740</v>
      </c>
      <c r="L25" s="128">
        <f>GETPIVOTDATA("total",'[1]Evolución mensual zonas y categ'!$A$49,"MES","Enero","AÑO",2010)</f>
        <v>382237</v>
      </c>
      <c r="M25" s="150">
        <f t="shared" ref="M25:N37" si="2">G25/D25-1</f>
        <v>-0.10720047050915815</v>
      </c>
      <c r="N25" s="150">
        <f>H25/E25-1</f>
        <v>-2.0377736492979359E-2</v>
      </c>
      <c r="O25" s="150">
        <f t="shared" ref="O25:R37" si="3">I25/F25-1</f>
        <v>-7.081686992217151E-2</v>
      </c>
      <c r="P25" s="150">
        <f t="shared" si="3"/>
        <v>6.5757898005853521E-2</v>
      </c>
      <c r="Q25" s="150">
        <f t="shared" si="3"/>
        <v>-7.4122514981451504E-2</v>
      </c>
      <c r="R25" s="150">
        <f t="shared" si="3"/>
        <v>3.9581855908386032E-3</v>
      </c>
    </row>
    <row r="26" spans="3:18">
      <c r="C26" s="149" t="s">
        <v>59</v>
      </c>
      <c r="D26" s="128">
        <f>GETPIVOTDATA("Hotelero",'[1]Evolución mensual zonas y categ'!$A$49,"MES","febrero","AÑO",2008)</f>
        <v>260847</v>
      </c>
      <c r="E26" s="128">
        <f>GETPIVOTDATA("extrahotelero",'[1]Evolución mensual zonas y categ'!$A$49,"MES","febrero","AÑO",2008)</f>
        <v>199071</v>
      </c>
      <c r="F26" s="128">
        <f>GETPIVOTDATA("total",'[1]Evolución mensual zonas y categ'!$A$49,"MES","febrero","AÑO",2008)</f>
        <v>459918</v>
      </c>
      <c r="G26" s="128">
        <f>GETPIVOTDATA("Hotelero",'[1]Evolución mensual zonas y categ'!$A$49,"MES","febrero","AÑO",2009)</f>
        <v>223867</v>
      </c>
      <c r="H26" s="128">
        <f>GETPIVOTDATA("extrahotelero",'[1]Evolución mensual zonas y categ'!$A$49,"MES","febrero","AÑO",2009)</f>
        <v>161715</v>
      </c>
      <c r="I26" s="128">
        <f>GETPIVOTDATA("total",'[1]Evolución mensual zonas y categ'!$A$49,"MES","febrero","AÑO",2009)</f>
        <v>385582</v>
      </c>
      <c r="J26" s="128">
        <f>GETPIVOTDATA("Hotelero",'[1]Evolución mensual zonas y categ'!$A$49,"MES","febrero","AÑO",2010)</f>
        <v>223216</v>
      </c>
      <c r="K26" s="128">
        <f>GETPIVOTDATA("extrahotelero",'[1]Evolución mensual zonas y categ'!$A$49,"MES","febrero","AÑO",2010)</f>
        <v>146331</v>
      </c>
      <c r="L26" s="128">
        <f>GETPIVOTDATA("total",'[1]Evolución mensual zonas y categ'!$A$49,"MES","febrero","AÑO",2010)</f>
        <v>369547</v>
      </c>
      <c r="M26" s="150">
        <f t="shared" si="2"/>
        <v>-0.14176892967908394</v>
      </c>
      <c r="N26" s="150">
        <f>H26/E26-1</f>
        <v>-0.1876516418765164</v>
      </c>
      <c r="O26" s="150">
        <f t="shared" si="3"/>
        <v>-0.16162881209259039</v>
      </c>
      <c r="P26" s="150">
        <f t="shared" si="3"/>
        <v>-2.9079766111128613E-3</v>
      </c>
      <c r="Q26" s="150">
        <f t="shared" si="3"/>
        <v>-9.5130321862535894E-2</v>
      </c>
      <c r="R26" s="150">
        <f t="shared" si="3"/>
        <v>-4.1586484846284355E-2</v>
      </c>
    </row>
    <row r="27" spans="3:18">
      <c r="C27" s="149" t="s">
        <v>60</v>
      </c>
      <c r="D27" s="128">
        <f>GETPIVOTDATA("Hotelero",'[1]Evolución mensual zonas y categ'!$A$49,"MES","marzo","AÑO",2008)</f>
        <v>294814</v>
      </c>
      <c r="E27" s="128">
        <f>GETPIVOTDATA("extrahotelero",'[1]Evolución mensual zonas y categ'!$A$49,"MES","marzo","AÑO",2008)</f>
        <v>213269</v>
      </c>
      <c r="F27" s="128">
        <f>GETPIVOTDATA("total",'[1]Evolución mensual zonas y categ'!$A$49,"MES","marzo","AÑO",2008)</f>
        <v>508083</v>
      </c>
      <c r="G27" s="128">
        <f>GETPIVOTDATA("Hotelero",'[1]Evolución mensual zonas y categ'!$A$49,"MES","marzo","AÑO",2009)</f>
        <v>230133</v>
      </c>
      <c r="H27" s="128">
        <f>GETPIVOTDATA("extrahotelero",'[1]Evolución mensual zonas y categ'!$A$49,"MES","marzo","AÑO",2009)</f>
        <v>179375</v>
      </c>
      <c r="I27" s="128">
        <f>GETPIVOTDATA("total",'[1]Evolución mensual zonas y categ'!$A$49,"MES","marzo","AÑO",2009)</f>
        <v>409508</v>
      </c>
      <c r="J27" s="128">
        <f>GETPIVOTDATA("Hotelero",'[1]Evolución mensual zonas y categ'!$A$49,"MES","marzo","AÑO",2010)</f>
        <v>239927</v>
      </c>
      <c r="K27" s="128">
        <f>GETPIVOTDATA("extrahotelero",'[1]Evolución mensual zonas y categ'!$A$49,"MES","marzo","AÑO",2010)</f>
        <v>164434</v>
      </c>
      <c r="L27" s="128">
        <f>GETPIVOTDATA("total",'[1]Evolución mensual zonas y categ'!$A$49,"MES","marzo","AÑO",2010)</f>
        <v>404361</v>
      </c>
      <c r="M27" s="150">
        <f t="shared" si="2"/>
        <v>-0.2193959581295325</v>
      </c>
      <c r="N27" s="150">
        <f t="shared" si="2"/>
        <v>-0.15892605113729608</v>
      </c>
      <c r="O27" s="150">
        <f t="shared" si="3"/>
        <v>-0.19401357652194617</v>
      </c>
      <c r="P27" s="150">
        <f t="shared" si="3"/>
        <v>4.2557999070103048E-2</v>
      </c>
      <c r="Q27" s="150">
        <f t="shared" si="3"/>
        <v>-8.3294773519163812E-2</v>
      </c>
      <c r="R27" s="150">
        <f t="shared" si="3"/>
        <v>-1.2568741025816399E-2</v>
      </c>
    </row>
    <row r="28" spans="3:18">
      <c r="C28" s="149" t="s">
        <v>46</v>
      </c>
      <c r="D28" s="128">
        <f>GETPIVOTDATA("Hotelero",'[1]Evolución mensual zonas y categ'!$A$49,"MES","abril","AÑO",2008)</f>
        <v>261323</v>
      </c>
      <c r="E28" s="128">
        <f>GETPIVOTDATA("extrahotelero",'[1]Evolución mensual zonas y categ'!$A$49,"MES","abril","AÑO",2008)</f>
        <v>163191</v>
      </c>
      <c r="F28" s="128">
        <f>GETPIVOTDATA("total",'[1]Evolución mensual zonas y categ'!$A$49,"MES","abril","AÑO",2008)</f>
        <v>424514</v>
      </c>
      <c r="G28" s="128">
        <f>GETPIVOTDATA("Hotelero",'[1]Evolución mensual zonas y categ'!$A$49,"MES","abril","AÑO",2009)</f>
        <v>253066</v>
      </c>
      <c r="H28" s="128">
        <f>GETPIVOTDATA("extrahotelero",'[1]Evolución mensual zonas y categ'!$A$49,"MES","abril","AÑO",2009)</f>
        <v>165364</v>
      </c>
      <c r="I28" s="128">
        <f>GETPIVOTDATA("total",'[1]Evolución mensual zonas y categ'!$A$49,"MES","abril","AÑO",2009)</f>
        <v>418430</v>
      </c>
      <c r="J28" s="128">
        <f>GETPIVOTDATA("Hotelero",'[1]Evolución mensual zonas y categ'!$A$49,"MES","abril","AÑO",2010)</f>
        <v>258952</v>
      </c>
      <c r="K28" s="128">
        <f>GETPIVOTDATA("extrahotelero",'[1]Evolución mensual zonas y categ'!$A$49,"MES","abril","AÑO",2010)</f>
        <v>163597</v>
      </c>
      <c r="L28" s="128">
        <f>GETPIVOTDATA("total",'[1]Evolución mensual zonas y categ'!$A$49,"MES","abril","AÑO",2010)</f>
        <v>422549</v>
      </c>
      <c r="M28" s="150">
        <f t="shared" si="2"/>
        <v>-3.1596912633024998E-2</v>
      </c>
      <c r="N28" s="150">
        <f t="shared" si="2"/>
        <v>1.3315685301272806E-2</v>
      </c>
      <c r="O28" s="150">
        <f t="shared" si="3"/>
        <v>-1.4331682818470082E-2</v>
      </c>
      <c r="P28" s="150">
        <f t="shared" si="3"/>
        <v>2.3258754633178613E-2</v>
      </c>
      <c r="Q28" s="150">
        <f t="shared" si="3"/>
        <v>-1.0685518008756389E-2</v>
      </c>
      <c r="R28" s="150">
        <f t="shared" si="3"/>
        <v>9.8439404440409106E-3</v>
      </c>
    </row>
    <row r="29" spans="3:18">
      <c r="C29" s="149" t="s">
        <v>62</v>
      </c>
      <c r="D29" s="128">
        <f>GETPIVOTDATA("Hotelero",'[1]Evolución mensual zonas y categ'!$A$49,"MES","mayo","AÑO",2008)</f>
        <v>258413</v>
      </c>
      <c r="E29" s="128">
        <f>GETPIVOTDATA("extrahotelero",'[1]Evolución mensual zonas y categ'!$A$49,"MES","mayo","AÑO",2008)</f>
        <v>154772</v>
      </c>
      <c r="F29" s="128">
        <f>GETPIVOTDATA("total",'[1]Evolución mensual zonas y categ'!$A$49,"MES","mayo","AÑO",2008)</f>
        <v>413185</v>
      </c>
      <c r="G29" s="128">
        <f>GETPIVOTDATA("Hotelero",'[1]Evolución mensual zonas y categ'!$A$49,"MES","mayo","AÑO",2009)</f>
        <v>217112</v>
      </c>
      <c r="H29" s="128">
        <f>GETPIVOTDATA("extrahotelero",'[1]Evolución mensual zonas y categ'!$A$49,"MES","mayo","AÑO",2009)</f>
        <v>133181</v>
      </c>
      <c r="I29" s="128">
        <f>GETPIVOTDATA("total",'[1]Evolución mensual zonas y categ'!$A$49,"MES","mayo","AÑO",2009)</f>
        <v>350293</v>
      </c>
      <c r="J29" s="128">
        <f>GETPIVOTDATA("Hotelero",'[1]Evolución mensual zonas y categ'!$A$49,"MES","mayo","AÑO",2010)</f>
        <v>233329</v>
      </c>
      <c r="K29" s="128">
        <f>GETPIVOTDATA("extrahotelero",'[1]Evolución mensual zonas y categ'!$A$49,"MES","mayo","AÑO",2010)</f>
        <v>127968</v>
      </c>
      <c r="L29" s="128">
        <f>GETPIVOTDATA("total",'[1]Evolución mensual zonas y categ'!$A$49,"MES","mayo","AÑO",2010)</f>
        <v>361297</v>
      </c>
      <c r="M29" s="150">
        <f t="shared" si="2"/>
        <v>-0.15982555057214609</v>
      </c>
      <c r="N29" s="150">
        <f t="shared" si="2"/>
        <v>-0.13950197710180134</v>
      </c>
      <c r="O29" s="150">
        <f t="shared" si="3"/>
        <v>-0.152212689231216</v>
      </c>
      <c r="P29" s="150">
        <f t="shared" si="3"/>
        <v>7.4694167065846306E-2</v>
      </c>
      <c r="Q29" s="150">
        <f t="shared" si="3"/>
        <v>-3.9142219986334381E-2</v>
      </c>
      <c r="R29" s="150">
        <f t="shared" si="3"/>
        <v>3.1413702243550334E-2</v>
      </c>
    </row>
    <row r="30" spans="3:18">
      <c r="C30" s="149" t="s">
        <v>63</v>
      </c>
      <c r="D30" s="128">
        <f>GETPIVOTDATA("Hotelero",'[1]Evolución mensual zonas y categ'!$A$49,"MES","junio","AÑO",2008)</f>
        <v>245260</v>
      </c>
      <c r="E30" s="128">
        <f>GETPIVOTDATA("extrahotelero",'[1]Evolución mensual zonas y categ'!$A$49,"MES","junio","AÑO",2008)</f>
        <v>157171</v>
      </c>
      <c r="F30" s="128">
        <f>GETPIVOTDATA("total",'[1]Evolución mensual zonas y categ'!$A$49,"MES","junio","AÑO",2008)</f>
        <v>402431</v>
      </c>
      <c r="G30" s="128">
        <f>GETPIVOTDATA("Hotelero",'[1]Evolución mensual zonas y categ'!$A$49,"MES","junio","AÑO",2009)</f>
        <v>213715</v>
      </c>
      <c r="H30" s="128">
        <f>GETPIVOTDATA("extrahotelero",'[1]Evolución mensual zonas y categ'!$A$49,"MES","junio","AÑO",2009)</f>
        <v>136143</v>
      </c>
      <c r="I30" s="128">
        <f>GETPIVOTDATA("total",'[1]Evolución mensual zonas y categ'!$A$49,"MES","junio","AÑO",2009)</f>
        <v>349858</v>
      </c>
      <c r="J30" s="128">
        <f>GETPIVOTDATA("Hotelero",'[1]Evolución mensual zonas y categ'!$A$49,"MES","junio","AÑO",2010)</f>
        <v>230853</v>
      </c>
      <c r="K30" s="128">
        <f>GETPIVOTDATA("extrahotelero",'[1]Evolución mensual zonas y categ'!$A$49,"MES","junio","AÑO",2010)</f>
        <v>144090</v>
      </c>
      <c r="L30" s="128">
        <f>GETPIVOTDATA("total",'[1]Evolución mensual zonas y categ'!$A$49,"MES","junio","AÑO",2010)</f>
        <v>374943</v>
      </c>
      <c r="M30" s="150">
        <f t="shared" si="2"/>
        <v>-0.12861860882328957</v>
      </c>
      <c r="N30" s="150">
        <f t="shared" si="2"/>
        <v>-0.13379058477708994</v>
      </c>
      <c r="O30" s="150">
        <f t="shared" si="3"/>
        <v>-0.13063854424733679</v>
      </c>
      <c r="P30" s="150">
        <f t="shared" si="3"/>
        <v>8.0190908452846044E-2</v>
      </c>
      <c r="Q30" s="150">
        <f t="shared" si="3"/>
        <v>5.8372446618628837E-2</v>
      </c>
      <c r="R30" s="150">
        <f t="shared" si="3"/>
        <v>7.1700518496075505E-2</v>
      </c>
    </row>
    <row r="31" spans="3:18">
      <c r="C31" s="149" t="s">
        <v>64</v>
      </c>
      <c r="D31" s="128">
        <f>GETPIVOTDATA("Hotelero",'[1]Evolución mensual zonas y categ'!$A$49,"MES","julio","AÑO",2008)</f>
        <v>276976</v>
      </c>
      <c r="E31" s="128">
        <f>GETPIVOTDATA("extrahotelero",'[1]Evolución mensual zonas y categ'!$A$49,"MES","julio","AÑO",2008)</f>
        <v>190549</v>
      </c>
      <c r="F31" s="128">
        <f>GETPIVOTDATA("total",'[1]Evolución mensual zonas y categ'!$A$49,"MES","julio","AÑO",2008)</f>
        <v>467525</v>
      </c>
      <c r="G31" s="128">
        <f>GETPIVOTDATA("Hotelero",'[1]Evolución mensual zonas y categ'!$A$49,"MES","julio","AÑO",2009)</f>
        <v>255405</v>
      </c>
      <c r="H31" s="128">
        <f>GETPIVOTDATA("extrahotelero",'[1]Evolución mensual zonas y categ'!$A$49,"MES","julio","AÑO",2009)</f>
        <v>178790</v>
      </c>
      <c r="I31" s="128">
        <f>GETPIVOTDATA("total",'[1]Evolución mensual zonas y categ'!$A$49,"MES","julio","AÑO",2009)</f>
        <v>434195</v>
      </c>
      <c r="J31" s="128">
        <f>GETPIVOTDATA("Hotelero",'[1]Evolución mensual zonas y categ'!$A$49,"MES","julio","AÑO",2010)</f>
        <v>265054</v>
      </c>
      <c r="K31" s="128">
        <f>GETPIVOTDATA("extrahotelero",'[1]Evolución mensual zonas y categ'!$A$49,"MES","julio","AÑO",2010)</f>
        <v>186205</v>
      </c>
      <c r="L31" s="128">
        <f>GETPIVOTDATA("total",'[1]Evolución mensual zonas y categ'!$A$49,"MES","julio","AÑO",2010)</f>
        <v>451259</v>
      </c>
      <c r="M31" s="150">
        <f t="shared" si="2"/>
        <v>-7.7880393969152584E-2</v>
      </c>
      <c r="N31" s="150">
        <f t="shared" si="2"/>
        <v>-6.1711160908742624E-2</v>
      </c>
      <c r="O31" s="150">
        <f t="shared" si="3"/>
        <v>-7.129030533126568E-2</v>
      </c>
      <c r="P31" s="150">
        <f t="shared" si="3"/>
        <v>3.7779213406158751E-2</v>
      </c>
      <c r="Q31" s="150">
        <f t="shared" si="3"/>
        <v>4.1473236758208021E-2</v>
      </c>
      <c r="R31" s="150">
        <f t="shared" si="3"/>
        <v>3.9300314374877576E-2</v>
      </c>
    </row>
    <row r="32" spans="3:18">
      <c r="C32" s="149" t="s">
        <v>65</v>
      </c>
      <c r="D32" s="128">
        <f>GETPIVOTDATA("Hotelero",'[1]Evolución mensual zonas y categ'!$A$49,"MES","agosto","AÑO",2008)</f>
        <v>303519</v>
      </c>
      <c r="E32" s="128">
        <f>GETPIVOTDATA("extrahotelero",'[1]Evolución mensual zonas y categ'!$A$49,"MES","agosto","AÑO",2008)</f>
        <v>228246</v>
      </c>
      <c r="F32" s="128">
        <f>GETPIVOTDATA("total",'[1]Evolución mensual zonas y categ'!$A$49,"MES","agosto","AÑO",2008)</f>
        <v>531765</v>
      </c>
      <c r="G32" s="128">
        <f>GETPIVOTDATA("Hotelero",'[1]Evolución mensual zonas y categ'!$A$49,"MES","agosto","AÑO",2009)</f>
        <v>270226</v>
      </c>
      <c r="H32" s="128">
        <f>GETPIVOTDATA("extrahotelero",'[1]Evolución mensual zonas y categ'!$A$49,"MES","agosto","AÑO",2009)</f>
        <v>197556</v>
      </c>
      <c r="I32" s="128">
        <f>GETPIVOTDATA("total",'[1]Evolución mensual zonas y categ'!$A$49,"MES","agosto","AÑO",2009)</f>
        <v>467782</v>
      </c>
      <c r="J32" s="128">
        <f>GETPIVOTDATA("Hotelero",'[1]Evolución mensual zonas y categ'!$A$49,"MES","agosto","AÑO",2010)</f>
        <v>0</v>
      </c>
      <c r="K32" s="128">
        <f>GETPIVOTDATA("extrahotelero",'[1]Evolución mensual zonas y categ'!$A$49,"MES","agosto","AÑO",2010)</f>
        <v>0</v>
      </c>
      <c r="L32" s="128">
        <f>GETPIVOTDATA("total",'[1]Evolución mensual zonas y categ'!$A$49,"MES","agosto","AÑO",2010)</f>
        <v>0</v>
      </c>
      <c r="M32" s="150">
        <f t="shared" si="2"/>
        <v>-0.10969000293227116</v>
      </c>
      <c r="N32" s="150">
        <f t="shared" si="2"/>
        <v>-0.13446018769222678</v>
      </c>
      <c r="O32" s="150">
        <f t="shared" si="3"/>
        <v>-0.12032194672458696</v>
      </c>
      <c r="P32" s="150"/>
      <c r="Q32" s="150"/>
      <c r="R32" s="150"/>
    </row>
    <row r="33" spans="3:18">
      <c r="C33" s="149" t="s">
        <v>66</v>
      </c>
      <c r="D33" s="128">
        <f>GETPIVOTDATA("Hotelero",'[1]Evolución mensual zonas y categ'!$A$49,"MES","septiembre","AÑO",2008)</f>
        <v>240281</v>
      </c>
      <c r="E33" s="128">
        <f>GETPIVOTDATA("extrahotelero",'[1]Evolución mensual zonas y categ'!$A$49,"MES","septiembre","AÑO",2008)</f>
        <v>151078</v>
      </c>
      <c r="F33" s="128">
        <f>GETPIVOTDATA("total",'[1]Evolución mensual zonas y categ'!$A$49,"MES","septiembre","AÑO",2008)</f>
        <v>391359</v>
      </c>
      <c r="G33" s="128">
        <f>GETPIVOTDATA("Hotelero",'[1]Evolución mensual zonas y categ'!$A$49,"MES","septiembre","AÑO",2009)</f>
        <v>213848</v>
      </c>
      <c r="H33" s="128">
        <f>GETPIVOTDATA("extrahotelero",'[1]Evolución mensual zonas y categ'!$A$49,"MES","septiembre","AÑO",2009)</f>
        <v>140366</v>
      </c>
      <c r="I33" s="128">
        <f>GETPIVOTDATA("total",'[1]Evolución mensual zonas y categ'!$A$49,"MES","septiembre","AÑO",2009)</f>
        <v>354214</v>
      </c>
      <c r="J33" s="128">
        <f>GETPIVOTDATA("Hotelero",'[1]Evolución mensual zonas y categ'!$A$49,"MES","septiembre","AÑO",2010)</f>
        <v>0</v>
      </c>
      <c r="K33" s="128">
        <f>GETPIVOTDATA("extrahotelero",'[1]Evolución mensual zonas y categ'!$A$49,"MES","septiembre","AÑO",2010)</f>
        <v>0</v>
      </c>
      <c r="L33" s="128">
        <f>GETPIVOTDATA("total",'[1]Evolución mensual zonas y categ'!$A$49,"MES","septiembre","AÑO",2010)</f>
        <v>0</v>
      </c>
      <c r="M33" s="150">
        <f t="shared" si="2"/>
        <v>-0.11000869814925029</v>
      </c>
      <c r="N33" s="150">
        <f t="shared" si="2"/>
        <v>-7.0903771561709794E-2</v>
      </c>
      <c r="O33" s="150">
        <f t="shared" si="3"/>
        <v>-9.4912854949036563E-2</v>
      </c>
      <c r="P33" s="150"/>
      <c r="Q33" s="150"/>
      <c r="R33" s="150"/>
    </row>
    <row r="34" spans="3:18">
      <c r="C34" s="149" t="s">
        <v>67</v>
      </c>
      <c r="D34" s="128">
        <f>GETPIVOTDATA("Hotelero",'[1]Evolución mensual zonas y categ'!$A$49,"MES","octubre","AÑO",2008)</f>
        <v>257888</v>
      </c>
      <c r="E34" s="128">
        <f>GETPIVOTDATA("extrahotelero",'[1]Evolución mensual zonas y categ'!$A$49,"MES","octubre","AÑO",2008)</f>
        <v>183969</v>
      </c>
      <c r="F34" s="128">
        <f>GETPIVOTDATA("total",'[1]Evolución mensual zonas y categ'!$A$49,"MES","octubre","AÑO",2008)</f>
        <v>441857</v>
      </c>
      <c r="G34" s="128">
        <f>GETPIVOTDATA("Hotelero",'[1]Evolución mensual zonas y categ'!$A$49,"MES","octubre","AÑO",2009)</f>
        <v>240086</v>
      </c>
      <c r="H34" s="128">
        <f>GETPIVOTDATA("extrahotelero",'[1]Evolución mensual zonas y categ'!$A$49,"MES","octubre","AÑO",2009)</f>
        <v>164785</v>
      </c>
      <c r="I34" s="128">
        <f>GETPIVOTDATA("total",'[1]Evolución mensual zonas y categ'!$A$49,"MES","octubre","AÑO",2009)</f>
        <v>404871</v>
      </c>
      <c r="J34" s="128">
        <f>GETPIVOTDATA("Hotelero",'[1]Evolución mensual zonas y categ'!$A$49,"MES","octubre","AÑO",2010)</f>
        <v>0</v>
      </c>
      <c r="K34" s="128">
        <f>GETPIVOTDATA("extrahotelero",'[1]Evolución mensual zonas y categ'!$A$49,"MES","octubre","AÑO",2010)</f>
        <v>0</v>
      </c>
      <c r="L34" s="128">
        <f>GETPIVOTDATA("total",'[1]Evolución mensual zonas y categ'!$A$49,"MES","octubre","AÑO",2010)</f>
        <v>0</v>
      </c>
      <c r="M34" s="150">
        <f t="shared" si="2"/>
        <v>-6.9029966497084039E-2</v>
      </c>
      <c r="N34" s="150">
        <f t="shared" si="2"/>
        <v>-0.10427843821513405</v>
      </c>
      <c r="O34" s="150">
        <f t="shared" si="3"/>
        <v>-8.3705814324543937E-2</v>
      </c>
      <c r="P34" s="150"/>
      <c r="Q34" s="150"/>
      <c r="R34" s="150"/>
    </row>
    <row r="35" spans="3:18">
      <c r="C35" s="149" t="s">
        <v>68</v>
      </c>
      <c r="D35" s="128">
        <f>GETPIVOTDATA("Hotelero",'[1]Evolución mensual zonas y categ'!$A$49,"MES","noviembre","AÑO",2008)</f>
        <v>246435</v>
      </c>
      <c r="E35" s="128">
        <f>GETPIVOTDATA("extrahotelero",'[1]Evolución mensual zonas y categ'!$A$49,"MES","noviembre","AÑO",2008)</f>
        <v>185305</v>
      </c>
      <c r="F35" s="128">
        <f>GETPIVOTDATA("total",'[1]Evolución mensual zonas y categ'!$A$49,"MES","noviembre","AÑO",2008)</f>
        <v>431740</v>
      </c>
      <c r="G35" s="128">
        <f>GETPIVOTDATA("Hotelero",'[1]Evolución mensual zonas y categ'!$A$49,"MES","noviembre","AÑO",2009)</f>
        <v>225248</v>
      </c>
      <c r="H35" s="128">
        <f>GETPIVOTDATA("extrahotelero",'[1]Evolución mensual zonas y categ'!$A$49,"MES","noviembre","AÑO",2009)</f>
        <v>146554</v>
      </c>
      <c r="I35" s="128">
        <f>GETPIVOTDATA("total",'[1]Evolución mensual zonas y categ'!$A$49,"MES","noviembre","AÑO",2009)</f>
        <v>371802</v>
      </c>
      <c r="J35" s="128">
        <f>GETPIVOTDATA("Hotelero",'[1]Evolución mensual zonas y categ'!$A$49,"MES","noviembre","AÑO",2010)</f>
        <v>0</v>
      </c>
      <c r="K35" s="128">
        <f>GETPIVOTDATA("extrahotelero",'[1]Evolución mensual zonas y categ'!$A$49,"MES","noviembre","AÑO",2010)</f>
        <v>0</v>
      </c>
      <c r="L35" s="128">
        <f>GETPIVOTDATA("total",'[1]Evolución mensual zonas y categ'!$A$49,"MES","noviembre","AÑO",2010)</f>
        <v>0</v>
      </c>
      <c r="M35" s="150">
        <f t="shared" si="2"/>
        <v>-8.5973989084342728E-2</v>
      </c>
      <c r="N35" s="150">
        <f t="shared" si="2"/>
        <v>-0.2091200992957557</v>
      </c>
      <c r="O35" s="150">
        <f t="shared" si="3"/>
        <v>-0.1388289248158614</v>
      </c>
      <c r="P35" s="150"/>
      <c r="Q35" s="150"/>
      <c r="R35" s="150"/>
    </row>
    <row r="36" spans="3:18">
      <c r="C36" s="149" t="s">
        <v>69</v>
      </c>
      <c r="D36" s="128">
        <f>GETPIVOTDATA("Hotelero",'[1]Evolución mensual zonas y categ'!$A$49,"MES","diciembre","AÑO",2008)</f>
        <v>234207</v>
      </c>
      <c r="E36" s="128">
        <f>GETPIVOTDATA("extrahotelero",'[1]Evolución mensual zonas y categ'!$A$49,"MES","diciembre","AÑO",2008)</f>
        <v>175996</v>
      </c>
      <c r="F36" s="128">
        <f>GETPIVOTDATA("total",'[1]Evolución mensual zonas y categ'!$A$49,"MES","diciembre","AÑO",2008)</f>
        <v>410203</v>
      </c>
      <c r="G36" s="128">
        <f>GETPIVOTDATA("Hotelero",'[1]Evolución mensual zonas y categ'!$A$49,"MES","diciembre","AÑO",2009)</f>
        <v>226348</v>
      </c>
      <c r="H36" s="128">
        <f>GETPIVOTDATA("extrahotelero",'[1]Evolución mensual zonas y categ'!$A$49,"MES","diciembre","AÑO",2009)</f>
        <v>154169</v>
      </c>
      <c r="I36" s="128">
        <f>GETPIVOTDATA("total",'[1]Evolución mensual zonas y categ'!$A$49,"MES","diciembre","AÑO",2009)</f>
        <v>380517</v>
      </c>
      <c r="J36" s="128">
        <f>GETPIVOTDATA("Hotelero",'[1]Evolución mensual zonas y categ'!$A$49,"MES","diciembre","AÑO",2010)</f>
        <v>0</v>
      </c>
      <c r="K36" s="128">
        <f>GETPIVOTDATA("extrahotelero",'[1]Evolución mensual zonas y categ'!$A$49,"MES","diciembre","AÑO",2010)</f>
        <v>0</v>
      </c>
      <c r="L36" s="128">
        <f>GETPIVOTDATA("total",'[1]Evolución mensual zonas y categ'!$A$49,"MES","diciembre","AÑO",2010)</f>
        <v>0</v>
      </c>
      <c r="M36" s="150">
        <f t="shared" si="2"/>
        <v>-3.3555786120824771E-2</v>
      </c>
      <c r="N36" s="150">
        <f t="shared" si="2"/>
        <v>-0.12401986408782018</v>
      </c>
      <c r="O36" s="150">
        <f t="shared" si="3"/>
        <v>-7.2369046545247118E-2</v>
      </c>
      <c r="P36" s="150"/>
      <c r="Q36" s="150"/>
      <c r="R36" s="150"/>
    </row>
    <row r="37" spans="3:18">
      <c r="C37" s="131" t="s">
        <v>101</v>
      </c>
      <c r="D37" s="132">
        <f>GETPIVOTDATA("Hotelero",'[1]Evolución mensual zonas y categ'!$A$49,"AÑO",2008)</f>
        <v>3118003</v>
      </c>
      <c r="E37" s="132">
        <f>GETPIVOTDATA("Extrahotelero",'[1]Evolución mensual zonas y categ'!$A$49,"AÑO",2008)</f>
        <v>2174324</v>
      </c>
      <c r="F37" s="132">
        <f>GETPIVOTDATA("Total",'[1]Evolución mensual zonas y categ'!$A$49,"AÑO",2008)</f>
        <v>5292327</v>
      </c>
      <c r="G37" s="132">
        <f>GETPIVOTDATA("Hotelero",'[1]Evolución mensual zonas y categ'!$A$49,"AÑO",2009)</f>
        <v>2781576</v>
      </c>
      <c r="H37" s="132">
        <f>GETPIVOTDATA("Extrahotelero",'[1]Evolución mensual zonas y categ'!$A$49,"AÑO",2009)</f>
        <v>1926206</v>
      </c>
      <c r="I37" s="132">
        <f>GETPIVOTDATA("Total",'[1]Evolución mensual zonas y categ'!$A$49,"AÑO",2009)</f>
        <v>4707782</v>
      </c>
      <c r="J37" s="132">
        <f>GETPIVOTDATA("Hotelero",'[1]Evolución mensual zonas y categ'!$A$49,"AÑO",2010)</f>
        <v>1677828</v>
      </c>
      <c r="K37" s="132">
        <f>GETPIVOTDATA("Extrahotelero",'[1]Evolución mensual zonas y categ'!$A$49,"AÑO",2010)</f>
        <v>1088365</v>
      </c>
      <c r="L37" s="132">
        <f>GETPIVOTDATA("Total",'[1]Evolución mensual zonas y categ'!$A$49,"AÑO",2010)</f>
        <v>2766193</v>
      </c>
      <c r="M37" s="142">
        <f t="shared" si="2"/>
        <v>-0.10789822844942742</v>
      </c>
      <c r="N37" s="142">
        <f t="shared" si="2"/>
        <v>-0.11411270813365437</v>
      </c>
      <c r="O37" s="142">
        <f t="shared" si="3"/>
        <v>-0.11045141390545221</v>
      </c>
      <c r="P37" s="142"/>
      <c r="Q37" s="142"/>
      <c r="R37" s="142"/>
    </row>
    <row r="38" spans="3:18" ht="15" customHeight="1">
      <c r="C38" s="135" t="s">
        <v>78</v>
      </c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7"/>
    </row>
  </sheetData>
  <mergeCells count="14">
    <mergeCell ref="C38:R38"/>
    <mergeCell ref="C19:R19"/>
    <mergeCell ref="C22:R22"/>
    <mergeCell ref="D23:F23"/>
    <mergeCell ref="G23:I23"/>
    <mergeCell ref="J23:L23"/>
    <mergeCell ref="M23:O23"/>
    <mergeCell ref="P23:R23"/>
    <mergeCell ref="C3:R3"/>
    <mergeCell ref="D4:F4"/>
    <mergeCell ref="G4:I4"/>
    <mergeCell ref="J4:L4"/>
    <mergeCell ref="M4:O4"/>
    <mergeCell ref="P4:R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4">
    <tabColor theme="4" tint="-0.499984740745262"/>
    <pageSetUpPr autoPageBreaks="0" fitToPage="1"/>
  </sheetPr>
  <dimension ref="D6:N82"/>
  <sheetViews>
    <sheetView showGridLines="0" showRowColHeaders="0" showOutlineSymbols="0" topLeftCell="A4" zoomScaleNormal="100" workbookViewId="0">
      <selection activeCell="I13" sqref="I13"/>
    </sheetView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14" t="s">
        <v>109</v>
      </c>
      <c r="E6" s="14"/>
      <c r="F6" s="14"/>
      <c r="G6" s="14"/>
    </row>
    <row r="7" spans="4:7" ht="15" customHeight="1">
      <c r="D7" s="15"/>
      <c r="E7" s="1"/>
      <c r="F7" s="1"/>
      <c r="G7" s="1"/>
    </row>
    <row r="8" spans="4:7" ht="24.95" customHeight="1">
      <c r="D8" s="15"/>
      <c r="E8" s="24" t="s">
        <v>19</v>
      </c>
      <c r="F8" s="25"/>
      <c r="G8" s="25"/>
    </row>
    <row r="9" spans="4:7" ht="15" customHeight="1">
      <c r="D9" s="15"/>
      <c r="E9" s="1"/>
      <c r="F9" s="1"/>
      <c r="G9" s="1"/>
    </row>
    <row r="10" spans="4:7" ht="15" customHeight="1">
      <c r="D10" s="1"/>
      <c r="E10" s="16" t="s">
        <v>10</v>
      </c>
      <c r="F10" s="6"/>
      <c r="G10" s="6"/>
    </row>
    <row r="11" spans="4:7" ht="20.100000000000001" customHeight="1">
      <c r="D11" s="1"/>
      <c r="E11" s="1"/>
      <c r="F11" s="17"/>
      <c r="G11" s="1"/>
    </row>
    <row r="12" spans="4:7" ht="20.100000000000001" customHeight="1">
      <c r="D12" s="1"/>
      <c r="E12" s="1"/>
      <c r="F12" s="18" t="s">
        <v>22</v>
      </c>
      <c r="G12" s="1"/>
    </row>
    <row r="13" spans="4:7" ht="20.100000000000001" customHeight="1">
      <c r="D13" s="1"/>
      <c r="E13" s="1"/>
      <c r="F13" s="18" t="s">
        <v>21</v>
      </c>
      <c r="G13" s="1"/>
    </row>
    <row r="14" spans="4:7" ht="20.100000000000001" customHeight="1">
      <c r="D14" s="1"/>
      <c r="E14" s="1"/>
      <c r="F14" s="17"/>
      <c r="G14" s="1"/>
    </row>
    <row r="15" spans="4:7" ht="20.100000000000001" customHeight="1">
      <c r="D15" s="1"/>
      <c r="E15" s="16" t="s">
        <v>17</v>
      </c>
      <c r="F15" s="6"/>
      <c r="G15" s="6"/>
    </row>
    <row r="16" spans="4:7" ht="20.100000000000001" customHeight="1">
      <c r="D16" s="1"/>
      <c r="E16" s="1"/>
      <c r="F16" s="17"/>
      <c r="G16" s="1"/>
    </row>
    <row r="17" spans="4:14" ht="20.100000000000001" customHeight="1">
      <c r="D17" s="1"/>
      <c r="E17" s="1"/>
      <c r="F17" s="19" t="s">
        <v>22</v>
      </c>
      <c r="G17" s="1"/>
    </row>
    <row r="18" spans="4:14" ht="20.100000000000001" customHeight="1">
      <c r="D18" s="1"/>
      <c r="E18" s="1"/>
      <c r="F18" s="19" t="s">
        <v>110</v>
      </c>
      <c r="G18" s="1"/>
    </row>
    <row r="19" spans="4:14" ht="20.100000000000001" customHeight="1">
      <c r="D19" s="1"/>
      <c r="E19" s="1"/>
      <c r="F19" s="20"/>
      <c r="G19" s="1"/>
    </row>
    <row r="20" spans="4:14" ht="20.100000000000001" customHeight="1">
      <c r="D20" s="15"/>
      <c r="E20" s="24" t="str">
        <f>actualizaciones!A2</f>
        <v xml:space="preserve">acumulado julio 2010 </v>
      </c>
      <c r="F20" s="25"/>
      <c r="G20" s="25"/>
    </row>
    <row r="21" spans="4:14" ht="15" customHeight="1">
      <c r="D21" s="15"/>
      <c r="E21" s="1"/>
      <c r="F21" s="1"/>
      <c r="G21" s="1"/>
    </row>
    <row r="22" spans="4:14" ht="22.5" customHeight="1">
      <c r="D22" s="1"/>
      <c r="E22" s="16" t="s">
        <v>10</v>
      </c>
      <c r="F22" s="6"/>
      <c r="G22" s="6"/>
    </row>
    <row r="23" spans="4:14" ht="24.95" customHeight="1">
      <c r="D23" s="1"/>
      <c r="E23" s="1"/>
      <c r="F23" s="17"/>
      <c r="G23" s="1"/>
    </row>
    <row r="24" spans="4:14" ht="15" customHeight="1">
      <c r="D24" s="1"/>
      <c r="E24" s="1"/>
      <c r="F24" s="18" t="s">
        <v>24</v>
      </c>
      <c r="G24" s="1"/>
    </row>
    <row r="25" spans="4:14" ht="19.5" customHeight="1">
      <c r="D25" s="1"/>
      <c r="E25" s="1"/>
      <c r="F25" s="17"/>
      <c r="G25" s="1"/>
    </row>
    <row r="26" spans="4:14" ht="20.100000000000001" customHeight="1">
      <c r="D26" s="1"/>
      <c r="E26" s="16" t="s">
        <v>17</v>
      </c>
      <c r="F26" s="6"/>
      <c r="G26" s="6"/>
    </row>
    <row r="27" spans="4:14" ht="20.100000000000001" customHeight="1">
      <c r="D27" s="1"/>
      <c r="E27" s="1"/>
      <c r="F27" s="17"/>
      <c r="G27" s="1"/>
    </row>
    <row r="28" spans="4:14" ht="15" customHeight="1">
      <c r="D28" s="1"/>
      <c r="E28" s="1"/>
      <c r="F28" s="19" t="s">
        <v>110</v>
      </c>
      <c r="G28" s="1"/>
    </row>
    <row r="29" spans="4:14" ht="15" customHeight="1">
      <c r="D29" s="1"/>
      <c r="E29" s="1"/>
      <c r="F29" s="20"/>
      <c r="G29" s="1"/>
    </row>
    <row r="30" spans="4:14" ht="15" customHeight="1">
      <c r="D30" s="21"/>
    </row>
    <row r="31" spans="4:14" ht="15" customHeight="1">
      <c r="D31" s="11" t="s">
        <v>8</v>
      </c>
      <c r="E31" s="11"/>
      <c r="F31" s="11"/>
      <c r="G31" s="11"/>
      <c r="H31" s="12"/>
      <c r="I31" s="12"/>
      <c r="J31" s="12"/>
      <c r="K31" s="12"/>
      <c r="L31" s="12"/>
      <c r="M31" s="12"/>
      <c r="N31" s="12"/>
    </row>
    <row r="32" spans="4:14" ht="15" customHeight="1">
      <c r="D32" s="12"/>
      <c r="E32" s="12"/>
      <c r="F32" s="12"/>
      <c r="G32" s="12"/>
    </row>
    <row r="33" spans="4:6" ht="20.100000000000001" customHeight="1"/>
    <row r="34" spans="4:6" ht="15" customHeight="1"/>
    <row r="35" spans="4:6" ht="15" customHeight="1">
      <c r="E35" s="22"/>
      <c r="F35" s="23"/>
    </row>
    <row r="36" spans="4:6" ht="15" customHeight="1"/>
    <row r="37" spans="4:6" ht="15" customHeight="1">
      <c r="D37" s="21"/>
    </row>
    <row r="38" spans="4:6" ht="15" customHeight="1"/>
    <row r="39" spans="4:6" ht="15" customHeight="1"/>
    <row r="40" spans="4:6" ht="15" customHeight="1"/>
    <row r="41" spans="4:6" ht="15" customHeight="1"/>
    <row r="42" spans="4:6" ht="15" customHeight="1">
      <c r="D42" s="21"/>
    </row>
    <row r="43" spans="4:6" ht="15" customHeight="1"/>
    <row r="44" spans="4:6" ht="15" customHeight="1"/>
    <row r="45" spans="4:6" ht="15" customHeight="1"/>
    <row r="46" spans="4:6" ht="15" customHeight="1"/>
    <row r="47" spans="4:6" ht="15" customHeight="1"/>
    <row r="48" spans="4: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</sheetData>
  <mergeCells count="2">
    <mergeCell ref="D6:G6"/>
    <mergeCell ref="D31:G31"/>
  </mergeCells>
  <hyperlinks>
    <hyperlink ref="F13" location="'VARIACIÓN EVOL POR CATEGORIA'!A1" tooltip="Variación interanual" display="Variación interanual"/>
    <hyperlink ref="F12" location="'tablas turistas por categorías '!A1" tooltip="Evolución anual" display="Evolución anual"/>
    <hyperlink ref="F17" location="'grafica evolucion por categoria'!A1" tooltip="Evolución anual por categoría" display="Evolución anual por categoría"/>
    <hyperlink ref="F18" location="'graf. dist cate ultimo año'!A1" tooltip="Distribución por categoría (último año)" display="Distribución por categoría (último año)"/>
    <hyperlink ref="F24" location="'tab,Evolución mensual categoría'!A1" tooltip="Evolución mensual " display="Evolución mensual "/>
    <hyperlink ref="F28" location="'graf. dist cate periodo act'!A1" tooltip="Distribución por categoría (último año)" display="Distribución por categoría 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C2:M70"/>
  <sheetViews>
    <sheetView showGridLines="0" showRowColHeaders="0" zoomScaleNormal="100" workbookViewId="0">
      <selection activeCell="I13" sqref="I13"/>
    </sheetView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3" ht="42.75" customHeight="1"/>
    <row r="3" spans="3:13" ht="30" customHeight="1" thickBot="1">
      <c r="C3" s="159" t="s">
        <v>111</v>
      </c>
      <c r="D3" s="159"/>
      <c r="E3" s="159"/>
      <c r="F3" s="159"/>
      <c r="G3" s="159"/>
      <c r="H3" s="159"/>
      <c r="I3" s="159"/>
      <c r="J3" s="159"/>
    </row>
    <row r="4" spans="3:13" ht="45" customHeight="1" thickBot="1">
      <c r="C4" s="160"/>
      <c r="D4" s="127" t="s">
        <v>112</v>
      </c>
      <c r="E4" s="127" t="s">
        <v>113</v>
      </c>
      <c r="F4" s="127" t="s">
        <v>114</v>
      </c>
      <c r="G4" s="127" t="s">
        <v>115</v>
      </c>
      <c r="H4" s="161" t="s">
        <v>35</v>
      </c>
      <c r="I4" s="161" t="s">
        <v>116</v>
      </c>
      <c r="J4" s="162" t="s">
        <v>37</v>
      </c>
      <c r="L4" s="60" t="s">
        <v>117</v>
      </c>
      <c r="M4" s="60" t="s">
        <v>118</v>
      </c>
    </row>
    <row r="5" spans="3:13" hidden="1">
      <c r="C5" s="51" t="s">
        <v>38</v>
      </c>
      <c r="D5" s="128" t="e">
        <f>GETPIVOTDATA("dato",'[1]Turistas por categorías '!$A$4,"categoría","1*","mes",12,"año",2010)</f>
        <v>#REF!</v>
      </c>
      <c r="E5" s="128" t="e">
        <f>GETPIVOTDATA("dato",'[1]Turistas por categorías '!$A$4,"categoría","2*","mes",12,"año",2010)</f>
        <v>#REF!</v>
      </c>
      <c r="F5" s="128" t="e">
        <f>GETPIVOTDATA("dato",'[1]Turistas por categorías '!$A$4,"categoría","3 *","mes",12,"año",2010)</f>
        <v>#REF!</v>
      </c>
      <c r="G5" s="128" t="e">
        <f>GETPIVOTDATA("dato",'[1]Turistas por categorías '!$A$4,"categoría","4* Y 5*","mes",12,"año",2010)</f>
        <v>#REF!</v>
      </c>
      <c r="H5" s="128" t="e">
        <f>GETPIVOTDATA("dato",'[1]Turistas por categorías '!$A$4,"categoría","HOTELEROS","mes",12,"año",2010)</f>
        <v>#REF!</v>
      </c>
      <c r="I5" s="128" t="e">
        <f>GETPIVOTDATA("dato",'[1]Turistas por categorías '!$A$4,"categoría","EXTRAHOTELEROS","mes",12,"año",2010)</f>
        <v>#REF!</v>
      </c>
      <c r="J5" s="128" t="e">
        <f>GETPIVOTDATA("dato",'[1]Turistas por categorías '!$A$4,"categoría","TOTAL","mes",12,"año",2010)</f>
        <v>#REF!</v>
      </c>
    </row>
    <row r="6" spans="3:13" hidden="1">
      <c r="C6" s="51" t="s">
        <v>39</v>
      </c>
      <c r="D6" s="128" t="e">
        <f>GETPIVOTDATA("dato",'[1]Turistas por categorías '!$A$4,"categoría","1*","mes",11,"año",2010)</f>
        <v>#REF!</v>
      </c>
      <c r="E6" s="128" t="e">
        <f>GETPIVOTDATA("dato",'[1]Turistas por categorías '!$A$4,"categoría","2*","mes",11,"año",2010)</f>
        <v>#REF!</v>
      </c>
      <c r="F6" s="128" t="e">
        <f>GETPIVOTDATA("dato",'[1]Turistas por categorías '!$A$4,"categoría","3 *","mes",11,"año",2010)</f>
        <v>#REF!</v>
      </c>
      <c r="G6" s="128" t="e">
        <f>GETPIVOTDATA("dato",'[1]Turistas por categorías '!$A$4,"categoría","4* Y 5*","mes",11,"año",2010)</f>
        <v>#REF!</v>
      </c>
      <c r="H6" s="128" t="e">
        <f>GETPIVOTDATA("dato",'[1]Turistas por categorías '!$A$4,"categoría","HOTELEROS","mes",11,"año",2010)</f>
        <v>#REF!</v>
      </c>
      <c r="I6" s="128" t="e">
        <f>GETPIVOTDATA("dato",'[1]Turistas por categorías '!$A$4,"categoría","EXTRAHOTELEROS","mes",11,"año",2010)</f>
        <v>#REF!</v>
      </c>
      <c r="J6" s="128" t="e">
        <f>GETPIVOTDATA("dato",'[1]Turistas por categorías '!$A$4,"categoría","TOTAL","mes",11,"año",2010)</f>
        <v>#REF!</v>
      </c>
    </row>
    <row r="7" spans="3:13" hidden="1">
      <c r="C7" s="51" t="s">
        <v>40</v>
      </c>
      <c r="D7" s="128" t="e">
        <f>GETPIVOTDATA("dato",'[1]Turistas por categorías '!$A$4,"categoría","1*","mes",10,"año",2010)</f>
        <v>#REF!</v>
      </c>
      <c r="E7" s="128" t="e">
        <f>GETPIVOTDATA("dato",'[1]Turistas por categorías '!$A$4,"categoría","2*","mes",10,"año",2010)</f>
        <v>#REF!</v>
      </c>
      <c r="F7" s="128" t="e">
        <f>GETPIVOTDATA("dato",'[1]Turistas por categorías '!$A$4,"categoría","3 *","mes",10,"año",2010)</f>
        <v>#REF!</v>
      </c>
      <c r="G7" s="128" t="e">
        <f>GETPIVOTDATA("dato",'[1]Turistas por categorías '!$A$4,"categoría","4* Y 5*","mes",10,"año",2010)</f>
        <v>#REF!</v>
      </c>
      <c r="H7" s="128" t="e">
        <f>GETPIVOTDATA("dato",'[1]Turistas por categorías '!$A$4,"categoría","HOTELEROS","mes",10,"año",2010)</f>
        <v>#REF!</v>
      </c>
      <c r="I7" s="128" t="e">
        <f>GETPIVOTDATA("dato",'[1]Turistas por categorías '!$A$4,"categoría","EXTRAHOTELEROS","mes",10,"año",2010)</f>
        <v>#REF!</v>
      </c>
      <c r="J7" s="128" t="e">
        <f>GETPIVOTDATA("dato",'[1]Turistas por categorías '!$A$4,"categoría","TOTAL","mes",10,"año",2010)</f>
        <v>#REF!</v>
      </c>
    </row>
    <row r="8" spans="3:13" hidden="1">
      <c r="C8" s="51" t="s">
        <v>41</v>
      </c>
      <c r="D8" s="128" t="e">
        <f>GETPIVOTDATA("dato",'[1]Turistas por categorías '!$A$4,"categoría","1*","mes",9,"año",2010)</f>
        <v>#REF!</v>
      </c>
      <c r="E8" s="128" t="e">
        <f>GETPIVOTDATA("dato",'[1]Turistas por categorías '!$A$4,"categoría","2*","mes",9,"año",2010)</f>
        <v>#REF!</v>
      </c>
      <c r="F8" s="128" t="e">
        <f>GETPIVOTDATA("dato",'[1]Turistas por categorías '!$A$4,"categoría","3 *","mes",9,"año",2010)</f>
        <v>#REF!</v>
      </c>
      <c r="G8" s="128" t="e">
        <f>GETPIVOTDATA("dato",'[1]Turistas por categorías '!$A$4,"categoría","4* Y 5*","mes",9,"año",2010)</f>
        <v>#REF!</v>
      </c>
      <c r="H8" s="128" t="e">
        <f>GETPIVOTDATA("dato",'[1]Turistas por categorías '!$A$4,"categoría","HOTELEROS","mes",9,"año",2010)</f>
        <v>#REF!</v>
      </c>
      <c r="I8" s="128" t="e">
        <f>GETPIVOTDATA("dato",'[1]Turistas por categorías '!$A$4,"categoría","EXTRAHOTELEROS","mes",9,"año",2010)</f>
        <v>#REF!</v>
      </c>
      <c r="J8" s="128" t="e">
        <f>GETPIVOTDATA("dato",'[1]Turistas por categorías '!$A$4,"categoría","TOTAL","mes",9,"año",2010)</f>
        <v>#REF!</v>
      </c>
    </row>
    <row r="9" spans="3:13" hidden="1">
      <c r="C9" s="51" t="s">
        <v>42</v>
      </c>
      <c r="D9" s="128" t="e">
        <f>GETPIVOTDATA("dato",'[1]Turistas por categorías '!$A$4,"categoría","1*","mes",8,"año",2010)</f>
        <v>#REF!</v>
      </c>
      <c r="E9" s="128" t="e">
        <f>GETPIVOTDATA("dato",'[1]Turistas por categorías '!$A$4,"categoría","2*","mes",8,"año",2010)</f>
        <v>#REF!</v>
      </c>
      <c r="F9" s="128" t="e">
        <f>GETPIVOTDATA("dato",'[1]Turistas por categorías '!$A$4,"categoría","3 *","mes",8,"año",2010)</f>
        <v>#REF!</v>
      </c>
      <c r="G9" s="128" t="e">
        <f>GETPIVOTDATA("dato",'[1]Turistas por categorías '!$A$4,"categoría","4* Y 5*","mes",8,"año",2010)</f>
        <v>#REF!</v>
      </c>
      <c r="H9" s="128" t="e">
        <f>GETPIVOTDATA("dato",'[1]Turistas por categorías '!$A$4,"categoría","HOTELEROS","mes",8,"año",2010)</f>
        <v>#REF!</v>
      </c>
      <c r="I9" s="128" t="e">
        <f>GETPIVOTDATA("dato",'[1]Turistas por categorías '!$A$4,"categoría","EXTRAHOTELEROS","mes",8,"año",2010)</f>
        <v>#REF!</v>
      </c>
      <c r="J9" s="128" t="e">
        <f>GETPIVOTDATA("dato",'[1]Turistas por categorías '!$A$4,"categoría","TOTAL","mes",8,"año",2010)</f>
        <v>#REF!</v>
      </c>
    </row>
    <row r="10" spans="3:13">
      <c r="C10" s="51" t="s">
        <v>43</v>
      </c>
      <c r="D10" s="128">
        <f>GETPIVOTDATA("dato",'[1]Turistas por categorías '!$A$4,"categoría","1*","mes",7,"año",2010)</f>
        <v>507</v>
      </c>
      <c r="E10" s="128">
        <f>GETPIVOTDATA("dato",'[1]Turistas por categorías '!$A$4,"categoría","2*","mes",7,"año",2010)</f>
        <v>3520</v>
      </c>
      <c r="F10" s="128">
        <f>GETPIVOTDATA("dato",'[1]Turistas por categorías '!$A$4,"categoría","3 *","mes",7,"año",2010)</f>
        <v>3110</v>
      </c>
      <c r="G10" s="128">
        <f>GETPIVOTDATA("dato",'[1]Turistas por categorías '!$A$4,"categoría","4* Y 5*","mes",7,"año",2010)</f>
        <v>3474</v>
      </c>
      <c r="H10" s="128">
        <f>GETPIVOTDATA("dato",'[1]Turistas por categorías '!$A$4,"categoría","HOTELEROS","mes",7,"año",2010)</f>
        <v>10611</v>
      </c>
      <c r="I10" s="128">
        <f>GETPIVOTDATA("dato",'[1]Turistas por categorías '!$A$4,"categoría","EXTRAHOTELEROS","mes",7,"año",2010)</f>
        <v>0</v>
      </c>
      <c r="J10" s="128">
        <f>GETPIVOTDATA("dato",'[1]Turistas por categorías '!$A$4,"categoría","TOTAL","mes",7,"año",2010)</f>
        <v>10611</v>
      </c>
    </row>
    <row r="11" spans="3:13">
      <c r="C11" s="51" t="s">
        <v>44</v>
      </c>
      <c r="D11" s="128">
        <f>GETPIVOTDATA("dato",'[1]Turistas por categorías '!$A$4,"categoría","1*","mes",6,"año",2010)</f>
        <v>517</v>
      </c>
      <c r="E11" s="128">
        <f>GETPIVOTDATA("dato",'[1]Turistas por categorías '!$A$4,"categoría","2*","mes",6,"año",2010)</f>
        <v>4291</v>
      </c>
      <c r="F11" s="128">
        <f>GETPIVOTDATA("dato",'[1]Turistas por categorías '!$A$4,"categoría","3 *","mes",6,"año",2010)</f>
        <v>4146</v>
      </c>
      <c r="G11" s="128">
        <f>GETPIVOTDATA("dato",'[1]Turistas por categorías '!$A$4,"categoría","4* Y 5*","mes",6,"año",2010)</f>
        <v>3728</v>
      </c>
      <c r="H11" s="128">
        <f>GETPIVOTDATA("dato",'[1]Turistas por categorías '!$A$4,"categoría","HOTELEROS","mes",6,"año",2010)</f>
        <v>12682</v>
      </c>
      <c r="I11" s="128">
        <f>GETPIVOTDATA("dato",'[1]Turistas por categorías '!$A$4,"categoría","EXTRAHOTELEROS","mes",6,"año",2010)</f>
        <v>0</v>
      </c>
      <c r="J11" s="128">
        <f>GETPIVOTDATA("dato",'[1]Turistas por categorías '!$A$4,"categoría","TOTAL","mes",6,"año",2010)</f>
        <v>12682</v>
      </c>
    </row>
    <row r="12" spans="3:13">
      <c r="C12" s="51" t="s">
        <v>45</v>
      </c>
      <c r="D12" s="128">
        <f>GETPIVOTDATA("dato",'[1]Turistas por categorías '!$A$4,"categoría","1*","mes",5,"año",2010)</f>
        <v>558</v>
      </c>
      <c r="E12" s="128">
        <f>GETPIVOTDATA("dato",'[1]Turistas por categorías '!$A$4,"categoría","2*","mes",5,"año",2010)</f>
        <v>4094</v>
      </c>
      <c r="F12" s="128">
        <f>GETPIVOTDATA("dato",'[1]Turistas por categorías '!$A$4,"categoría","3 *","mes",5,"año",2010)</f>
        <v>3845</v>
      </c>
      <c r="G12" s="128">
        <f>GETPIVOTDATA("dato",'[1]Turistas por categorías '!$A$4,"categoría","4* Y 5*","mes",5,"año",2010)</f>
        <v>3910</v>
      </c>
      <c r="H12" s="128">
        <f>GETPIVOTDATA("dato",'[1]Turistas por categorías '!$A$4,"categoría","HOTELEROS","mes",5,"año",2010)</f>
        <v>12407</v>
      </c>
      <c r="I12" s="128">
        <f>GETPIVOTDATA("dato",'[1]Turistas por categorías '!$A$4,"categoría","EXTRAHOTELEROS","mes",5,"año",2010)</f>
        <v>0</v>
      </c>
      <c r="J12" s="128">
        <f>GETPIVOTDATA("dato",'[1]Turistas por categorías '!$A$4,"categoría","TOTAL","mes",5,"año",2010)</f>
        <v>12407</v>
      </c>
    </row>
    <row r="13" spans="3:13">
      <c r="C13" s="51" t="s">
        <v>46</v>
      </c>
      <c r="D13" s="128">
        <f>GETPIVOTDATA("dato",'[1]Turistas por categorías '!$A$4,"categoría","1*","mes",4,"año",2010)</f>
        <v>597</v>
      </c>
      <c r="E13" s="128">
        <f>GETPIVOTDATA("dato",'[1]Turistas por categorías '!$A$4,"categoría","2*","mes",4,"año",2010)</f>
        <v>3980</v>
      </c>
      <c r="F13" s="128">
        <f>GETPIVOTDATA("dato",'[1]Turistas por categorías '!$A$4,"categoría","3 *","mes",4,"año",2010)</f>
        <v>3782</v>
      </c>
      <c r="G13" s="128">
        <f>GETPIVOTDATA("dato",'[1]Turistas por categorías '!$A$4,"categoría","4* Y 5*","mes",4,"año",2010)</f>
        <v>4236</v>
      </c>
      <c r="H13" s="128">
        <f>GETPIVOTDATA("dato",'[1]Turistas por categorías '!$A$4,"categoría","HOTELEROS","mes",4,"año",2010)</f>
        <v>12595</v>
      </c>
      <c r="I13" s="128">
        <f>GETPIVOTDATA("dato",'[1]Turistas por categorías '!$A$4,"categoría","EXTRAHOTELEROS","mes",4,"año",2010)</f>
        <v>0</v>
      </c>
      <c r="J13" s="128">
        <f>GETPIVOTDATA("dato",'[1]Turistas por categorías '!$A$4,"categoría","TOTAL","mes",4,"año",2010)</f>
        <v>12595</v>
      </c>
    </row>
    <row r="14" spans="3:13">
      <c r="C14" s="51" t="s">
        <v>47</v>
      </c>
      <c r="D14" s="128">
        <f>GETPIVOTDATA("dato",'[1]Turistas por categorías '!$A$4,"categoría","1*","mes",3,"año",2010)</f>
        <v>831</v>
      </c>
      <c r="E14" s="128">
        <f>GETPIVOTDATA("dato",'[1]Turistas por categorías '!$A$4,"categoría","2*","mes",3,"año",2010)</f>
        <v>4541</v>
      </c>
      <c r="F14" s="128">
        <f>GETPIVOTDATA("dato",'[1]Turistas por categorías '!$A$4,"categoría","3 *","mes",3,"año",2010)</f>
        <v>4088</v>
      </c>
      <c r="G14" s="128">
        <f>GETPIVOTDATA("dato",'[1]Turistas por categorías '!$A$4,"categoría","4* Y 5*","mes",3,"año",2010)</f>
        <v>5114</v>
      </c>
      <c r="H14" s="128">
        <f>GETPIVOTDATA("dato",'[1]Turistas por categorías '!$A$4,"categoría","HOTELEROS","mes",3,"año",2010)</f>
        <v>14574</v>
      </c>
      <c r="I14" s="128">
        <f>GETPIVOTDATA("dato",'[1]Turistas por categorías '!$A$4,"categoría","EXTRAHOTELEROS","mes",3,"año",2010)</f>
        <v>0</v>
      </c>
      <c r="J14" s="128">
        <f>GETPIVOTDATA("dato",'[1]Turistas por categorías '!$A$4,"categoría","TOTAL","mes",3,"año",2010)</f>
        <v>14574</v>
      </c>
    </row>
    <row r="15" spans="3:13">
      <c r="C15" s="51" t="s">
        <v>48</v>
      </c>
      <c r="D15" s="128">
        <f>GETPIVOTDATA("dato",'[1]Turistas por categorías '!$A$4,"categoría","1*","mes",2,"año",2010)</f>
        <v>1252</v>
      </c>
      <c r="E15" s="128">
        <f>GETPIVOTDATA("dato",'[1]Turistas por categorías '!$A$4,"categoría","2*","mes",2,"año",2010)</f>
        <v>5330</v>
      </c>
      <c r="F15" s="128">
        <f>GETPIVOTDATA("dato",'[1]Turistas por categorías '!$A$4,"categoría","3 *","mes",2,"año",2010)</f>
        <v>4638</v>
      </c>
      <c r="G15" s="128">
        <f>GETPIVOTDATA("dato",'[1]Turistas por categorías '!$A$4,"categoría","4* Y 5*","mes",2,"año",2010)</f>
        <v>5539</v>
      </c>
      <c r="H15" s="128">
        <f>GETPIVOTDATA("dato",'[1]Turistas por categorías '!$A$4,"categoría","HOTELEROS","mes",2,"año",2010)</f>
        <v>16759</v>
      </c>
      <c r="I15" s="128">
        <f>GETPIVOTDATA("dato",'[1]Turistas por categorías '!$A$4,"categoría","EXTRAHOTELEROS","mes",2,"año",2010)</f>
        <v>0</v>
      </c>
      <c r="J15" s="128">
        <f>GETPIVOTDATA("dato",'[1]Turistas por categorías '!$A$4,"categoría","TOTAL","mes",2,"año",2010)</f>
        <v>16759</v>
      </c>
    </row>
    <row r="16" spans="3:13">
      <c r="C16" s="51" t="s">
        <v>49</v>
      </c>
      <c r="D16" s="128">
        <f>GETPIVOTDATA("dato",'[1]Turistas por categorías '!$A$4,"categoría","1*","mes",1,"año",2010)</f>
        <v>686</v>
      </c>
      <c r="E16" s="128">
        <f>GETPIVOTDATA("dato",'[1]Turistas por categorías '!$A$4,"categoría","2*","mes",1,"año",2010)</f>
        <v>4067</v>
      </c>
      <c r="F16" s="128">
        <f>GETPIVOTDATA("dato",'[1]Turistas por categorías '!$A$4,"categoría","3 *","mes",1,"año",2010)</f>
        <v>4031</v>
      </c>
      <c r="G16" s="128">
        <f>GETPIVOTDATA("dato",'[1]Turistas por categorías '!$A$4,"categoría","4* Y 5*","mes",1,"año",2010)</f>
        <v>4404</v>
      </c>
      <c r="H16" s="128">
        <f>GETPIVOTDATA("dato",'[1]Turistas por categorías '!$A$4,"categoría","HOTELEROS","mes",1,"año",2010)</f>
        <v>13188</v>
      </c>
      <c r="I16" s="128">
        <f>GETPIVOTDATA("dato",'[1]Turistas por categorías '!$A$4,"categoría","EXTRAHOTELEROS","mes",1,"año",2010)</f>
        <v>0</v>
      </c>
      <c r="J16" s="128">
        <f>GETPIVOTDATA("dato",'[1]Turistas por categorías '!$A$4,"categoría","TOTAL","mes",1,"año",2010)</f>
        <v>13188</v>
      </c>
    </row>
    <row r="17" spans="3:10" ht="30">
      <c r="C17" s="129" t="str">
        <f>actualizaciones!A2</f>
        <v xml:space="preserve">acumulado julio 2010 </v>
      </c>
      <c r="D17" s="130">
        <f>GETPIVOTDATA("dato",'[1]Turistas por categorías '!$A$4,"categoría","1*","año",2010)</f>
        <v>4948</v>
      </c>
      <c r="E17" s="130">
        <f>GETPIVOTDATA("dato",'[1]Turistas por categorías '!$A$4,"categoría","2*","año",2010)</f>
        <v>29823</v>
      </c>
      <c r="F17" s="130">
        <f>GETPIVOTDATA("dato",'[1]Turistas por categorías '!$A$4,"categoría","3 *","año",2010)</f>
        <v>27640</v>
      </c>
      <c r="G17" s="130">
        <f>GETPIVOTDATA("dato",'[1]Turistas por categorías '!$A$4,"categoría","4* y 5*","año",2010)</f>
        <v>30405</v>
      </c>
      <c r="H17" s="130">
        <f>GETPIVOTDATA("dato",'[1]Turistas por categorías '!$A$4,"categoría","hoteleros","año",2010)</f>
        <v>92816</v>
      </c>
      <c r="I17" s="130">
        <f>GETPIVOTDATA("dato",'[1]Turistas por categorías '!$A$4,"categoría","extrahoteleros","año",2010)</f>
        <v>0</v>
      </c>
      <c r="J17" s="130">
        <f>GETPIVOTDATA("dato",'[1]Turistas por categorías '!$A$4,"categoría","total","año",2010)</f>
        <v>92816</v>
      </c>
    </row>
    <row r="18" spans="3:10" hidden="1" outlineLevel="1">
      <c r="C18" s="51" t="s">
        <v>38</v>
      </c>
      <c r="D18" s="128">
        <f>GETPIVOTDATA("dato",'[1]Turistas por categorías '!$A$4,"categoría","1*","mes",12,"año",2009)</f>
        <v>792</v>
      </c>
      <c r="E18" s="128">
        <f>GETPIVOTDATA("dato",'[1]Turistas por categorías '!$A$4,"categoría","2*","mes",12,"año",2009)</f>
        <v>4767</v>
      </c>
      <c r="F18" s="128">
        <f>GETPIVOTDATA("dato",'[1]Turistas por categorías '!$A$4,"categoría","3 *","mes",12,"año",2009)</f>
        <v>3865</v>
      </c>
      <c r="G18" s="128">
        <f>GETPIVOTDATA("dato",'[1]Turistas por categorías '!$A$4,"categoría","4* Y 5*","mes",12,"año",2009)</f>
        <v>3662</v>
      </c>
      <c r="H18" s="128">
        <f>GETPIVOTDATA("dato",'[1]Turistas por categorías '!$A$4,"categoría","HOTELEROS","mes",12,"año",2009)</f>
        <v>13086</v>
      </c>
      <c r="I18" s="128">
        <f>GETPIVOTDATA("dato",'[1]Turistas por categorías '!$A$4,"categoría","EXTRAHOTELEROS","mes",12,"año",2009)</f>
        <v>0</v>
      </c>
      <c r="J18" s="128">
        <f>GETPIVOTDATA("dato",'[1]Turistas por categorías '!$A$4,"categoría","TOTAL","mes",12,"año",2009)</f>
        <v>13086</v>
      </c>
    </row>
    <row r="19" spans="3:10" hidden="1" outlineLevel="1">
      <c r="C19" s="51" t="s">
        <v>39</v>
      </c>
      <c r="D19" s="128">
        <f>GETPIVOTDATA("dato",'[1]Turistas por categorías '!$A$4,"categoría","1*","mes",11,"año",2009)</f>
        <v>768</v>
      </c>
      <c r="E19" s="128">
        <f>GETPIVOTDATA("dato",'[1]Turistas por categorías '!$A$4,"categoría","2*","mes",11,"año",2009)</f>
        <v>4482</v>
      </c>
      <c r="F19" s="128">
        <f>GETPIVOTDATA("dato",'[1]Turistas por categorías '!$A$4,"categoría","3 *","mes",11,"año",2009)</f>
        <v>4321</v>
      </c>
      <c r="G19" s="128">
        <f>GETPIVOTDATA("dato",'[1]Turistas por categorías '!$A$4,"categoría","4* Y 5*","mes",11,"año",2009)</f>
        <v>4419</v>
      </c>
      <c r="H19" s="128">
        <f>GETPIVOTDATA("dato",'[1]Turistas por categorías '!$A$4,"categoría","HOTELEROS","mes",11,"año",2009)</f>
        <v>13990</v>
      </c>
      <c r="I19" s="128">
        <f>GETPIVOTDATA("dato",'[1]Turistas por categorías '!$A$4,"categoría","EXTRAHOTELEROS","mes",11,"año",2009)</f>
        <v>0</v>
      </c>
      <c r="J19" s="128">
        <f>GETPIVOTDATA("dato",'[1]Turistas por categorías '!$A$4,"categoría","TOTAL","mes",11,"año",2009)</f>
        <v>13990</v>
      </c>
    </row>
    <row r="20" spans="3:10" hidden="1" outlineLevel="1">
      <c r="C20" s="51" t="s">
        <v>40</v>
      </c>
      <c r="D20" s="128">
        <f>GETPIVOTDATA("dato",'[1]Turistas por categorías '!$A$4,"categoría","1*","mes",10,"año",2009)</f>
        <v>634</v>
      </c>
      <c r="E20" s="128">
        <f>GETPIVOTDATA("dato",'[1]Turistas por categorías '!$A$4,"categoría","2*","mes",10,"año",2009)</f>
        <v>3901</v>
      </c>
      <c r="F20" s="128">
        <f>GETPIVOTDATA("dato",'[1]Turistas por categorías '!$A$4,"categoría","3 *","mes",10,"año",2009)</f>
        <v>4004</v>
      </c>
      <c r="G20" s="128">
        <f>GETPIVOTDATA("dato",'[1]Turistas por categorías '!$A$4,"categoría","4* Y 5*","mes",10,"año",2009)</f>
        <v>4270</v>
      </c>
      <c r="H20" s="128">
        <f>GETPIVOTDATA("dato",'[1]Turistas por categorías '!$A$4,"categoría","HOTELEROS","mes",10,"año",2009)</f>
        <v>12809</v>
      </c>
      <c r="I20" s="128">
        <f>GETPIVOTDATA("dato",'[1]Turistas por categorías '!$A$4,"categoría","EXTRAHOTELEROS","mes",10,"año",2009)</f>
        <v>0</v>
      </c>
      <c r="J20" s="128">
        <f>GETPIVOTDATA("dato",'[1]Turistas por categorías '!$A$4,"categoría","TOTAL","mes",10,"año",2009)</f>
        <v>12809</v>
      </c>
    </row>
    <row r="21" spans="3:10" hidden="1" outlineLevel="1">
      <c r="C21" s="51" t="s">
        <v>41</v>
      </c>
      <c r="D21" s="128">
        <f>GETPIVOTDATA("dato",'[1]Turistas por categorías '!$A$4,"categoría","1*","mes",9,"año",2009)</f>
        <v>656</v>
      </c>
      <c r="E21" s="128">
        <f>GETPIVOTDATA("dato",'[1]Turistas por categorías '!$A$4,"categoría","2*","mes",9,"año",2009)</f>
        <v>3205</v>
      </c>
      <c r="F21" s="128">
        <f>GETPIVOTDATA("dato",'[1]Turistas por categorías '!$A$4,"categoría","3 *","mes",9,"año",2009)</f>
        <v>3451</v>
      </c>
      <c r="G21" s="128">
        <f>GETPIVOTDATA("dato",'[1]Turistas por categorías '!$A$4,"categoría","4* Y 5*","mes",9,"año",2009)</f>
        <v>3811</v>
      </c>
      <c r="H21" s="128">
        <f>GETPIVOTDATA("dato",'[1]Turistas por categorías '!$A$4,"categoría","HOTELEROS","mes",9,"año",2009)</f>
        <v>11123</v>
      </c>
      <c r="I21" s="128">
        <f>GETPIVOTDATA("dato",'[1]Turistas por categorías '!$A$4,"categoría","EXTRAHOTELEROS","mes",9,"año",2009)</f>
        <v>0</v>
      </c>
      <c r="J21" s="128">
        <f>GETPIVOTDATA("dato",'[1]Turistas por categorías '!$A$4,"categoría","TOTAL","mes",9,"año",2009)</f>
        <v>11123</v>
      </c>
    </row>
    <row r="22" spans="3:10" hidden="1" outlineLevel="1">
      <c r="C22" s="51" t="s">
        <v>42</v>
      </c>
      <c r="D22" s="128">
        <f>GETPIVOTDATA("dato",'[1]Turistas por categorías '!$A$4,"categoría","1*","mes",8,"año",2009)</f>
        <v>577</v>
      </c>
      <c r="E22" s="128">
        <f>GETPIVOTDATA("dato",'[1]Turistas por categorías '!$A$4,"categoría","2*","mes",8,"año",2009)</f>
        <v>2435</v>
      </c>
      <c r="F22" s="128">
        <f>GETPIVOTDATA("dato",'[1]Turistas por categorías '!$A$4,"categoría","3 *","mes",8,"año",2009)</f>
        <v>2311</v>
      </c>
      <c r="G22" s="128">
        <f>GETPIVOTDATA("dato",'[1]Turistas por categorías '!$A$4,"categoría","4* Y 5*","mes",8,"año",2009)</f>
        <v>2454</v>
      </c>
      <c r="H22" s="128">
        <f>GETPIVOTDATA("dato",'[1]Turistas por categorías '!$A$4,"categoría","HOTELEROS","mes",8,"año",2009)</f>
        <v>7777</v>
      </c>
      <c r="I22" s="128">
        <f>GETPIVOTDATA("dato",'[1]Turistas por categorías '!$A$4,"categoría","EXTRAHOTELEROS","mes",8,"año",2009)</f>
        <v>0</v>
      </c>
      <c r="J22" s="128">
        <f>GETPIVOTDATA("dato",'[1]Turistas por categorías '!$A$4,"categoría","TOTAL","mes",8,"año",2009)</f>
        <v>7777</v>
      </c>
    </row>
    <row r="23" spans="3:10" hidden="1" outlineLevel="1">
      <c r="C23" s="51" t="s">
        <v>43</v>
      </c>
      <c r="D23" s="128">
        <f>GETPIVOTDATA("dato",'[1]Turistas por categorías '!$A$4,"categoría","1*","mes",7,"año",2009)</f>
        <v>739</v>
      </c>
      <c r="E23" s="128">
        <f>GETPIVOTDATA("dato",'[1]Turistas por categorías '!$A$4,"categoría","2*","mes",7,"año",2009)</f>
        <v>3742</v>
      </c>
      <c r="F23" s="128">
        <f>GETPIVOTDATA("dato",'[1]Turistas por categorías '!$A$4,"categoría","3 *","mes",7,"año",2009)</f>
        <v>3552</v>
      </c>
      <c r="G23" s="128">
        <f>GETPIVOTDATA("dato",'[1]Turistas por categorías '!$A$4,"categoría","4* Y 5*","mes",7,"año",2009)</f>
        <v>3857</v>
      </c>
      <c r="H23" s="128">
        <f>GETPIVOTDATA("dato",'[1]Turistas por categorías '!$A$4,"categoría","HOTELEROS","mes",7,"año",2009)</f>
        <v>11890</v>
      </c>
      <c r="I23" s="128">
        <f>GETPIVOTDATA("dato",'[1]Turistas por categorías '!$A$4,"categoría","EXTRAHOTELEROS","mes",7,"año",2009)</f>
        <v>0</v>
      </c>
      <c r="J23" s="128">
        <f>GETPIVOTDATA("dato",'[1]Turistas por categorías '!$A$4,"categoría","TOTAL","mes",7,"año",2009)</f>
        <v>11890</v>
      </c>
    </row>
    <row r="24" spans="3:10" hidden="1" outlineLevel="1">
      <c r="C24" s="51" t="s">
        <v>44</v>
      </c>
      <c r="D24" s="128">
        <f>GETPIVOTDATA("dato",'[1]Turistas por categorías '!$A$4,"categoría","1*","mes",6,"año",2009)</f>
        <v>805</v>
      </c>
      <c r="E24" s="128">
        <f>GETPIVOTDATA("dato",'[1]Turistas por categorías '!$A$4,"categoría","2*","mes",6,"año",2009)</f>
        <v>3850</v>
      </c>
      <c r="F24" s="128">
        <f>GETPIVOTDATA("dato",'[1]Turistas por categorías '!$A$4,"categoría","3 *","mes",6,"año",2009)</f>
        <v>3462</v>
      </c>
      <c r="G24" s="128">
        <f>GETPIVOTDATA("dato",'[1]Turistas por categorías '!$A$4,"categoría","4* Y 5*","mes",6,"año",2009)</f>
        <v>4633</v>
      </c>
      <c r="H24" s="128">
        <f>GETPIVOTDATA("dato",'[1]Turistas por categorías '!$A$4,"categoría","HOTELEROS","mes",6,"año",2009)</f>
        <v>12750</v>
      </c>
      <c r="I24" s="128">
        <f>GETPIVOTDATA("dato",'[1]Turistas por categorías '!$A$4,"categoría","EXTRAHOTELEROS","mes",6,"año",2009)</f>
        <v>0</v>
      </c>
      <c r="J24" s="128">
        <f>GETPIVOTDATA("dato",'[1]Turistas por categorías '!$A$4,"categoría","TOTAL","mes",6,"año",2009)</f>
        <v>12750</v>
      </c>
    </row>
    <row r="25" spans="3:10" hidden="1" outlineLevel="1">
      <c r="C25" s="51" t="s">
        <v>45</v>
      </c>
      <c r="D25" s="128">
        <f>GETPIVOTDATA("dato",'[1]Turistas por categorías '!$A$4,"categoría","1*","mes",5,"año",2009)</f>
        <v>877</v>
      </c>
      <c r="E25" s="128">
        <f>GETPIVOTDATA("dato",'[1]Turistas por categorías '!$A$4,"categoría","2*","mes",5,"año",2009)</f>
        <v>4234</v>
      </c>
      <c r="F25" s="128">
        <f>GETPIVOTDATA("dato",'[1]Turistas por categorías '!$A$4,"categoría","3 *","mes",5,"año",2009)</f>
        <v>3951</v>
      </c>
      <c r="G25" s="128">
        <f>GETPIVOTDATA("dato",'[1]Turistas por categorías '!$A$4,"categoría","4* Y 5*","mes",5,"año",2009)</f>
        <v>4412</v>
      </c>
      <c r="H25" s="128">
        <f>GETPIVOTDATA("dato",'[1]Turistas por categorías '!$A$4,"categoría","HOTELEROS","mes",5,"año",2009)</f>
        <v>13474</v>
      </c>
      <c r="I25" s="128">
        <f>GETPIVOTDATA("dato",'[1]Turistas por categorías '!$A$4,"categoría","EXTRAHOTELEROS","mes",5,"año",2009)</f>
        <v>0</v>
      </c>
      <c r="J25" s="128">
        <f>GETPIVOTDATA("dato",'[1]Turistas por categorías '!$A$4,"categoría","TOTAL","mes",5,"año",2009)</f>
        <v>13474</v>
      </c>
    </row>
    <row r="26" spans="3:10" hidden="1" outlineLevel="1">
      <c r="C26" s="51" t="s">
        <v>46</v>
      </c>
      <c r="D26" s="128">
        <f>GETPIVOTDATA("dato",'[1]Turistas por categorías '!$A$4,"categoría","1*","mes",4,"año",2009)</f>
        <v>1054</v>
      </c>
      <c r="E26" s="128">
        <f>GETPIVOTDATA("dato",'[1]Turistas por categorías '!$A$4,"categoría","2*","mes",4,"año",2009)</f>
        <v>4364</v>
      </c>
      <c r="F26" s="128">
        <f>GETPIVOTDATA("dato",'[1]Turistas por categorías '!$A$4,"categoría","3 *","mes",4,"año",2009)</f>
        <v>3635</v>
      </c>
      <c r="G26" s="128">
        <f>GETPIVOTDATA("dato",'[1]Turistas por categorías '!$A$4,"categoría","4* Y 5*","mes",4,"año",2009)</f>
        <v>4026</v>
      </c>
      <c r="H26" s="128">
        <f>GETPIVOTDATA("dato",'[1]Turistas por categorías '!$A$4,"categoría","HOTELEROS","mes",4,"año",2009)</f>
        <v>13079</v>
      </c>
      <c r="I26" s="128">
        <f>GETPIVOTDATA("dato",'[1]Turistas por categorías '!$A$4,"categoría","EXTRAHOTELEROS","mes",4,"año",2009)</f>
        <v>0</v>
      </c>
      <c r="J26" s="128">
        <f>GETPIVOTDATA("dato",'[1]Turistas por categorías '!$A$4,"categoría","TOTAL","mes",4,"año",2009)</f>
        <v>13079</v>
      </c>
    </row>
    <row r="27" spans="3:10" hidden="1" outlineLevel="1">
      <c r="C27" s="51" t="s">
        <v>47</v>
      </c>
      <c r="D27" s="128">
        <f>GETPIVOTDATA("dato",'[1]Turistas por categorías '!$A$4,"categoría","1*","mes",3,"año",2009)</f>
        <v>1071</v>
      </c>
      <c r="E27" s="128">
        <f>GETPIVOTDATA("dato",'[1]Turistas por categorías '!$A$4,"categoría","2*","mes",3,"año",2009)</f>
        <v>5187</v>
      </c>
      <c r="F27" s="128">
        <f>GETPIVOTDATA("dato",'[1]Turistas por categorías '!$A$4,"categoría","3 *","mes",3,"año",2009)</f>
        <v>4395</v>
      </c>
      <c r="G27" s="128">
        <f>GETPIVOTDATA("dato",'[1]Turistas por categorías '!$A$4,"categoría","4* Y 5*","mes",3,"año",2009)</f>
        <v>5000</v>
      </c>
      <c r="H27" s="128">
        <f>GETPIVOTDATA("dato",'[1]Turistas por categorías '!$A$4,"categoría","HOTELEROS","mes",3,"año",2009)</f>
        <v>15653</v>
      </c>
      <c r="I27" s="128">
        <f>GETPIVOTDATA("dato",'[1]Turistas por categorías '!$A$4,"categoría","EXTRAHOTELEROS","mes",3,"año",2009)</f>
        <v>0</v>
      </c>
      <c r="J27" s="128">
        <f>GETPIVOTDATA("dato",'[1]Turistas por categorías '!$A$4,"categoría","TOTAL","mes",3,"año",2009)</f>
        <v>15653</v>
      </c>
    </row>
    <row r="28" spans="3:10" hidden="1" outlineLevel="1">
      <c r="C28" s="51" t="s">
        <v>48</v>
      </c>
      <c r="D28" s="128">
        <f>GETPIVOTDATA("dato",'[1]Turistas por categorías '!$A$4,"categoría","1*","mes",2,"año",2009)</f>
        <v>1323</v>
      </c>
      <c r="E28" s="128">
        <f>GETPIVOTDATA("dato",'[1]Turistas por categorías '!$A$4,"categoría","2*","mes",2,"año",2009)</f>
        <v>4660</v>
      </c>
      <c r="F28" s="128">
        <f>GETPIVOTDATA("dato",'[1]Turistas por categorías '!$A$4,"categoría","3 *","mes",2,"año",2009)</f>
        <v>3932</v>
      </c>
      <c r="G28" s="128">
        <f>GETPIVOTDATA("dato",'[1]Turistas por categorías '!$A$4,"categoría","4* Y 5*","mes",2,"año",2009)</f>
        <v>5257</v>
      </c>
      <c r="H28" s="128">
        <f>GETPIVOTDATA("dato",'[1]Turistas por categorías '!$A$4,"categoría","HOTELEROS","mes",2,"año",2009)</f>
        <v>15172</v>
      </c>
      <c r="I28" s="128">
        <f>GETPIVOTDATA("dato",'[1]Turistas por categorías '!$A$4,"categoría","EXTRAHOTELEROS","mes",2,"año",2009)</f>
        <v>0</v>
      </c>
      <c r="J28" s="128">
        <f>GETPIVOTDATA("dato",'[1]Turistas por categorías '!$A$4,"categoría","TOTAL","mes",2,"año",2009)</f>
        <v>15172</v>
      </c>
    </row>
    <row r="29" spans="3:10" hidden="1" outlineLevel="1">
      <c r="C29" s="51" t="s">
        <v>49</v>
      </c>
      <c r="D29" s="128">
        <f>GETPIVOTDATA("dato",'[1]Turistas por categorías '!$A$4,"categoría","1*","mes",1,"año",2009)</f>
        <v>1036</v>
      </c>
      <c r="E29" s="128">
        <f>GETPIVOTDATA("dato",'[1]Turistas por categorías '!$A$4,"categoría","2*","mes",1,"año",2009)</f>
        <v>4036</v>
      </c>
      <c r="F29" s="128">
        <f>GETPIVOTDATA("dato",'[1]Turistas por categorías '!$A$4,"categoría","3 *","mes",1,"año",2009)</f>
        <v>3568</v>
      </c>
      <c r="G29" s="128">
        <f>GETPIVOTDATA("dato",'[1]Turistas por categorías '!$A$4,"categoría","4* Y 5*","mes",1,"año",2009)</f>
        <v>4930</v>
      </c>
      <c r="H29" s="128">
        <f>GETPIVOTDATA("dato",'[1]Turistas por categorías '!$A$4,"categoría","HOTELEROS","mes",1,"año",2009)</f>
        <v>13570</v>
      </c>
      <c r="I29" s="128">
        <f>GETPIVOTDATA("dato",'[1]Turistas por categorías '!$A$4,"categoría","EXTRAHOTELEROS","mes",1,"año",2009)</f>
        <v>0</v>
      </c>
      <c r="J29" s="128">
        <f>GETPIVOTDATA("dato",'[1]Turistas por categorías '!$A$4,"categoría","TOTAL","mes",1,"año",2009)</f>
        <v>13570</v>
      </c>
    </row>
    <row r="30" spans="3:10" collapsed="1">
      <c r="C30" s="163">
        <v>2009</v>
      </c>
      <c r="D30" s="132">
        <f>GETPIVOTDATA("dato",'[1]Turistas por categorías '!$A$4,"categoría","1*","año",2009)</f>
        <v>10332</v>
      </c>
      <c r="E30" s="132">
        <f>GETPIVOTDATA("dato",'[1]Turistas por categorías '!$A$4,"categoría","2*","año",2009)</f>
        <v>48863</v>
      </c>
      <c r="F30" s="132">
        <f>GETPIVOTDATA("dato",'[1]Turistas por categorías '!$A$4,"categoría","3 *","año",2009)</f>
        <v>44447</v>
      </c>
      <c r="G30" s="132">
        <f>GETPIVOTDATA("dato",'[1]Turistas por categorías '!$A$4,"categoría","4* Y 5*","año",2009)</f>
        <v>50731</v>
      </c>
      <c r="H30" s="132">
        <f>GETPIVOTDATA("dato",'[1]Turistas por categorías '!$A$4,"categoría","hoteleros","año",2009)</f>
        <v>154373</v>
      </c>
      <c r="I30" s="132">
        <f>GETPIVOTDATA("dato",'[1]Turistas por categorías '!$A$4,"categoría","extrahoteleros","año",2009)</f>
        <v>0</v>
      </c>
      <c r="J30" s="132">
        <f>GETPIVOTDATA("dato",'[1]Turistas por categorías '!$A$4,"categoría","total","año",2009)</f>
        <v>154373</v>
      </c>
    </row>
    <row r="31" spans="3:10" hidden="1" outlineLevel="1">
      <c r="C31" s="51" t="s">
        <v>38</v>
      </c>
      <c r="D31" s="128">
        <f>GETPIVOTDATA("dato",'[1]Turistas por categorías '!$A$4,"categoría","1*","mes",12,"año",2008)</f>
        <v>1692</v>
      </c>
      <c r="E31" s="128">
        <f>GETPIVOTDATA("dato",'[1]Turistas por categorías '!$A$4,"categoría","2*","mes",12,"año",2008)</f>
        <v>5978</v>
      </c>
      <c r="F31" s="128">
        <f>GETPIVOTDATA("dato",'[1]Turistas por categorías '!$A$4,"categoría","3 *","mes",12,"año",2008)</f>
        <v>3671</v>
      </c>
      <c r="G31" s="128">
        <f>GETPIVOTDATA("dato",'[1]Turistas por categorías '!$A$4,"categoría","4* Y 5*","mes",12,"año",2008)</f>
        <v>4791</v>
      </c>
      <c r="H31" s="128">
        <f>GETPIVOTDATA("dato",'[1]Turistas por categorías '!$A$4,"categoría","HOTELEROS","mes",12,"año",2008)</f>
        <v>16132</v>
      </c>
      <c r="I31" s="128">
        <f>GETPIVOTDATA("dato",'[1]Turistas por categorías '!$A$4,"categoría","EXTRAHOTELEROS","mes",12,"año",2008)</f>
        <v>0</v>
      </c>
      <c r="J31" s="128">
        <f>GETPIVOTDATA("dato",'[1]Turistas por categorías '!$A$4,"categoría","TOTAL","mes",12,"año",2008)</f>
        <v>16132</v>
      </c>
    </row>
    <row r="32" spans="3:10" hidden="1" outlineLevel="1">
      <c r="C32" s="51" t="s">
        <v>39</v>
      </c>
      <c r="D32" s="128">
        <f>GETPIVOTDATA("dato",'[1]Turistas por categorías '!$A$4,"categoría","1*","mes",11,"año",2008)</f>
        <v>1563</v>
      </c>
      <c r="E32" s="128">
        <f>GETPIVOTDATA("dato",'[1]Turistas por categorías '!$A$4,"categoría","2*","mes",11,"año",2008)</f>
        <v>6351</v>
      </c>
      <c r="F32" s="128">
        <f>GETPIVOTDATA("dato",'[1]Turistas por categorías '!$A$4,"categoría","3 *","mes",11,"año",2008)</f>
        <v>4279</v>
      </c>
      <c r="G32" s="128">
        <f>GETPIVOTDATA("dato",'[1]Turistas por categorías '!$A$4,"categoría","4* Y 5*","mes",11,"año",2008)</f>
        <v>5650</v>
      </c>
      <c r="H32" s="128">
        <f>GETPIVOTDATA("dato",'[1]Turistas por categorías '!$A$4,"categoría","HOTELEROS","mes",11,"año",2008)</f>
        <v>17843</v>
      </c>
      <c r="I32" s="128">
        <f>GETPIVOTDATA("dato",'[1]Turistas por categorías '!$A$4,"categoría","EXTRAHOTELEROS","mes",11,"año",2008)</f>
        <v>0</v>
      </c>
      <c r="J32" s="128">
        <f>GETPIVOTDATA("dato",'[1]Turistas por categorías '!$A$4,"categoría","TOTAL","mes",11,"año",2008)</f>
        <v>17843</v>
      </c>
    </row>
    <row r="33" spans="3:10" hidden="1" outlineLevel="1">
      <c r="C33" s="51" t="s">
        <v>40</v>
      </c>
      <c r="D33" s="128">
        <f>GETPIVOTDATA("dato",'[1]Turistas por categorías '!$A$4,"categoría","1*","mes",10,"año",2008)</f>
        <v>1798</v>
      </c>
      <c r="E33" s="128">
        <f>GETPIVOTDATA("dato",'[1]Turistas por categorías '!$A$4,"categoría","2*","mes",10,"año",2008)</f>
        <v>6903</v>
      </c>
      <c r="F33" s="128">
        <f>GETPIVOTDATA("dato",'[1]Turistas por categorías '!$A$4,"categoría","3 *","mes",10,"año",2008)</f>
        <v>4544</v>
      </c>
      <c r="G33" s="128">
        <f>GETPIVOTDATA("dato",'[1]Turistas por categorías '!$A$4,"categoría","4* Y 5*","mes",10,"año",2008)</f>
        <v>5461</v>
      </c>
      <c r="H33" s="128">
        <f>GETPIVOTDATA("dato",'[1]Turistas por categorías '!$A$4,"categoría","HOTELEROS","mes",10,"año",2008)</f>
        <v>18706</v>
      </c>
      <c r="I33" s="128">
        <f>GETPIVOTDATA("dato",'[1]Turistas por categorías '!$A$4,"categoría","EXTRAHOTELEROS","mes",10,"año",2008)</f>
        <v>0</v>
      </c>
      <c r="J33" s="128">
        <f>GETPIVOTDATA("dato",'[1]Turistas por categorías '!$A$4,"categoría","TOTAL","mes",10,"año",2008)</f>
        <v>18706</v>
      </c>
    </row>
    <row r="34" spans="3:10" hidden="1" outlineLevel="1">
      <c r="C34" s="51" t="s">
        <v>41</v>
      </c>
      <c r="D34" s="128">
        <f>GETPIVOTDATA("dato",'[1]Turistas por categorías '!$A$4,"categoría","1*","mes",9,"año",2008)</f>
        <v>1397</v>
      </c>
      <c r="E34" s="128">
        <f>GETPIVOTDATA("dato",'[1]Turistas por categorías '!$A$4,"categoría","2*","mes",9,"año",2008)</f>
        <v>5318</v>
      </c>
      <c r="F34" s="128">
        <f>GETPIVOTDATA("dato",'[1]Turistas por categorías '!$A$4,"categoría","3 *","mes",9,"año",2008)</f>
        <v>3955</v>
      </c>
      <c r="G34" s="128">
        <f>GETPIVOTDATA("dato",'[1]Turistas por categorías '!$A$4,"categoría","4* Y 5*","mes",9,"año",2008)</f>
        <v>4464</v>
      </c>
      <c r="H34" s="128">
        <f>GETPIVOTDATA("dato",'[1]Turistas por categorías '!$A$4,"categoría","HOTELEROS","mes",9,"año",2008)</f>
        <v>15134</v>
      </c>
      <c r="I34" s="128">
        <f>GETPIVOTDATA("dato",'[1]Turistas por categorías '!$A$4,"categoría","EXTRAHOTELEROS","mes",9,"año",2008)</f>
        <v>0</v>
      </c>
      <c r="J34" s="128">
        <f>GETPIVOTDATA("dato",'[1]Turistas por categorías '!$A$4,"categoría","TOTAL","mes",9,"año",2008)</f>
        <v>15134</v>
      </c>
    </row>
    <row r="35" spans="3:10" hidden="1" outlineLevel="1">
      <c r="C35" s="51" t="s">
        <v>42</v>
      </c>
      <c r="D35" s="128">
        <f>GETPIVOTDATA("dato",'[1]Turistas por categorías '!$A$4,"categoría","1*","mes",8,"año",2008)</f>
        <v>1277</v>
      </c>
      <c r="E35" s="128">
        <f>GETPIVOTDATA("dato",'[1]Turistas por categorías '!$A$4,"categoría","2*","mes",8,"año",2008)</f>
        <v>3654</v>
      </c>
      <c r="F35" s="128">
        <f>GETPIVOTDATA("dato",'[1]Turistas por categorías '!$A$4,"categoría","3 *","mes",8,"año",2008)</f>
        <v>2975</v>
      </c>
      <c r="G35" s="128">
        <f>GETPIVOTDATA("dato",'[1]Turistas por categorías '!$A$4,"categoría","4* Y 5*","mes",8,"año",2008)</f>
        <v>4402</v>
      </c>
      <c r="H35" s="128">
        <f>GETPIVOTDATA("dato",'[1]Turistas por categorías '!$A$4,"categoría","HOTELEROS","mes",8,"año",2008)</f>
        <v>12308</v>
      </c>
      <c r="I35" s="128">
        <f>GETPIVOTDATA("dato",'[1]Turistas por categorías '!$A$4,"categoría","EXTRAHOTELEROS","mes",8,"año",2008)</f>
        <v>0</v>
      </c>
      <c r="J35" s="128">
        <f>GETPIVOTDATA("dato",'[1]Turistas por categorías '!$A$4,"categoría","TOTAL","mes",8,"año",2008)</f>
        <v>12308</v>
      </c>
    </row>
    <row r="36" spans="3:10" hidden="1" outlineLevel="1">
      <c r="C36" s="51" t="s">
        <v>43</v>
      </c>
      <c r="D36" s="128">
        <f>GETPIVOTDATA("dato",'[1]Turistas por categorías '!$A$4,"categoría","1*","mes",7,"año",2008)</f>
        <v>1170</v>
      </c>
      <c r="E36" s="128">
        <f>GETPIVOTDATA("dato",'[1]Turistas por categorías '!$A$4,"categoría","2*","mes",7,"año",2008)</f>
        <v>5970</v>
      </c>
      <c r="F36" s="128">
        <f>GETPIVOTDATA("dato",'[1]Turistas por categorías '!$A$4,"categoría","3 *","mes",7,"año",2008)</f>
        <v>3604</v>
      </c>
      <c r="G36" s="128">
        <f>GETPIVOTDATA("dato",'[1]Turistas por categorías '!$A$4,"categoría","4* Y 5*","mes",7,"año",2008)</f>
        <v>5593</v>
      </c>
      <c r="H36" s="128">
        <f>GETPIVOTDATA("dato",'[1]Turistas por categorías '!$A$4,"categoría","HOTELEROS","mes",7,"año",2008)</f>
        <v>16337</v>
      </c>
      <c r="I36" s="128">
        <f>GETPIVOTDATA("dato",'[1]Turistas por categorías '!$A$4,"categoría","EXTRAHOTELEROS","mes",7,"año",2008)</f>
        <v>0</v>
      </c>
      <c r="J36" s="128">
        <f>GETPIVOTDATA("dato",'[1]Turistas por categorías '!$A$4,"categoría","TOTAL","mes",7,"año",2008)</f>
        <v>16337</v>
      </c>
    </row>
    <row r="37" spans="3:10" hidden="1" outlineLevel="1">
      <c r="C37" s="51" t="s">
        <v>44</v>
      </c>
      <c r="D37" s="128">
        <f>GETPIVOTDATA("dato",'[1]Turistas por categorías '!$A$4,"categoría","1*","mes",6,"año",2008)</f>
        <v>1086</v>
      </c>
      <c r="E37" s="128">
        <f>GETPIVOTDATA("dato",'[1]Turistas por categorías '!$A$4,"categoría","2*","mes",6,"año",2008)</f>
        <v>5713</v>
      </c>
      <c r="F37" s="128">
        <f>GETPIVOTDATA("dato",'[1]Turistas por categorías '!$A$4,"categoría","3 *","mes",6,"año",2008)</f>
        <v>3573</v>
      </c>
      <c r="G37" s="128">
        <f>GETPIVOTDATA("dato",'[1]Turistas por categorías '!$A$4,"categoría","4* Y 5*","mes",6,"año",2008)</f>
        <v>5068</v>
      </c>
      <c r="H37" s="128">
        <f>GETPIVOTDATA("dato",'[1]Turistas por categorías '!$A$4,"categoría","HOTELEROS","mes",6,"año",2008)</f>
        <v>15440</v>
      </c>
      <c r="I37" s="128">
        <f>GETPIVOTDATA("dato",'[1]Turistas por categorías '!$A$4,"categoría","EXTRAHOTELEROS","mes",6,"año",2008)</f>
        <v>0</v>
      </c>
      <c r="J37" s="128">
        <f>GETPIVOTDATA("dato",'[1]Turistas por categorías '!$A$4,"categoría","TOTAL","mes",6,"año",2008)</f>
        <v>15440</v>
      </c>
    </row>
    <row r="38" spans="3:10" hidden="1" outlineLevel="1">
      <c r="C38" s="51" t="s">
        <v>45</v>
      </c>
      <c r="D38" s="128">
        <f>GETPIVOTDATA("dato",'[1]Turistas por categorías '!$A$4,"categoría","1*","mes",5,"año",2008)</f>
        <v>1379</v>
      </c>
      <c r="E38" s="128">
        <f>GETPIVOTDATA("dato",'[1]Turistas por categorías '!$A$4,"categoría","2*","mes",5,"año",2008)</f>
        <v>6427</v>
      </c>
      <c r="F38" s="128">
        <f>GETPIVOTDATA("dato",'[1]Turistas por categorías '!$A$4,"categoría","3 *","mes",5,"año",2008)</f>
        <v>3790</v>
      </c>
      <c r="G38" s="128">
        <f>GETPIVOTDATA("dato",'[1]Turistas por categorías '!$A$4,"categoría","4* Y 5*","mes",5,"año",2008)</f>
        <v>5841</v>
      </c>
      <c r="H38" s="128">
        <f>GETPIVOTDATA("dato",'[1]Turistas por categorías '!$A$4,"categoría","HOTELEROS","mes",5,"año",2008)</f>
        <v>17437</v>
      </c>
      <c r="I38" s="128">
        <f>GETPIVOTDATA("dato",'[1]Turistas por categorías '!$A$4,"categoría","EXTRAHOTELEROS","mes",5,"año",2008)</f>
        <v>0</v>
      </c>
      <c r="J38" s="128">
        <f>GETPIVOTDATA("dato",'[1]Turistas por categorías '!$A$4,"categoría","TOTAL","mes",5,"año",2008)</f>
        <v>17437</v>
      </c>
    </row>
    <row r="39" spans="3:10" hidden="1" outlineLevel="1">
      <c r="C39" s="51" t="s">
        <v>46</v>
      </c>
      <c r="D39" s="128">
        <f>GETPIVOTDATA("dato",'[1]Turistas por categorías '!$A$4,"categoría","1*","mes",4,"año",2008)</f>
        <v>1381</v>
      </c>
      <c r="E39" s="128">
        <f>GETPIVOTDATA("dato",'[1]Turistas por categorías '!$A$4,"categoría","2*","mes",4,"año",2008)</f>
        <v>6551</v>
      </c>
      <c r="F39" s="128">
        <f>GETPIVOTDATA("dato",'[1]Turistas por categorías '!$A$4,"categoría","3 *","mes",4,"año",2008)</f>
        <v>4154</v>
      </c>
      <c r="G39" s="128">
        <f>GETPIVOTDATA("dato",'[1]Turistas por categorías '!$A$4,"categoría","4* Y 5*","mes",4,"año",2008)</f>
        <v>5507</v>
      </c>
      <c r="H39" s="128">
        <f>GETPIVOTDATA("dato",'[1]Turistas por categorías '!$A$4,"categoría","HOTELEROS","mes",4,"año",2008)</f>
        <v>17593</v>
      </c>
      <c r="I39" s="128">
        <f>GETPIVOTDATA("dato",'[1]Turistas por categorías '!$A$4,"categoría","EXTRAHOTELEROS","mes",4,"año",2008)</f>
        <v>0</v>
      </c>
      <c r="J39" s="128">
        <f>GETPIVOTDATA("dato",'[1]Turistas por categorías '!$A$4,"categoría","TOTAL","mes",4,"año",2008)</f>
        <v>17593</v>
      </c>
    </row>
    <row r="40" spans="3:10" hidden="1" outlineLevel="1">
      <c r="C40" s="51" t="s">
        <v>47</v>
      </c>
      <c r="D40" s="128">
        <f>GETPIVOTDATA("dato",'[1]Turistas por categorías '!$A$4,"categoría","1*","mes",3,"año",2008)</f>
        <v>1494</v>
      </c>
      <c r="E40" s="128">
        <f>GETPIVOTDATA("dato",'[1]Turistas por categorías '!$A$4,"categoría","2*","mes",3,"año",2008)</f>
        <v>6270</v>
      </c>
      <c r="F40" s="128">
        <f>GETPIVOTDATA("dato",'[1]Turistas por categorías '!$A$4,"categoría","3 *","mes",3,"año",2008)</f>
        <v>3896</v>
      </c>
      <c r="G40" s="128">
        <f>GETPIVOTDATA("dato",'[1]Turistas por categorías '!$A$4,"categoría","4* Y 5*","mes",3,"año",2008)</f>
        <v>4891</v>
      </c>
      <c r="H40" s="128">
        <f>GETPIVOTDATA("dato",'[1]Turistas por categorías '!$A$4,"categoría","HOTELEROS","mes",3,"año",2008)</f>
        <v>16551</v>
      </c>
      <c r="I40" s="128">
        <f>GETPIVOTDATA("dato",'[1]Turistas por categorías '!$A$4,"categoría","EXTRAHOTELEROS","mes",3,"año",2008)</f>
        <v>0</v>
      </c>
      <c r="J40" s="128">
        <f>GETPIVOTDATA("dato",'[1]Turistas por categorías '!$A$4,"categoría","TOTAL","mes",3,"año",2008)</f>
        <v>16551</v>
      </c>
    </row>
    <row r="41" spans="3:10" hidden="1" outlineLevel="1">
      <c r="C41" s="51" t="s">
        <v>48</v>
      </c>
      <c r="D41" s="128">
        <f>GETPIVOTDATA("dato",'[1]Turistas por categorías '!$A$4,"categoría","1*","mes",2,"año",2008)</f>
        <v>1682</v>
      </c>
      <c r="E41" s="128">
        <f>GETPIVOTDATA("dato",'[1]Turistas por categorías '!$A$4,"categoría","2*","mes",2,"año",2008)</f>
        <v>7266</v>
      </c>
      <c r="F41" s="128">
        <f>GETPIVOTDATA("dato",'[1]Turistas por categorías '!$A$4,"categoría","3 *","mes",2,"año",2008)</f>
        <v>4250</v>
      </c>
      <c r="G41" s="128">
        <f>GETPIVOTDATA("dato",'[1]Turistas por categorías '!$A$4,"categoría","4* Y 5*","mes",2,"año",2008)</f>
        <v>6157</v>
      </c>
      <c r="H41" s="128">
        <f>GETPIVOTDATA("dato",'[1]Turistas por categorías '!$A$4,"categoría","HOTELEROS","mes",2,"año",2008)</f>
        <v>19355</v>
      </c>
      <c r="I41" s="128">
        <f>GETPIVOTDATA("dato",'[1]Turistas por categorías '!$A$4,"categoría","EXTRAHOTELEROS","mes",2,"año",2008)</f>
        <v>0</v>
      </c>
      <c r="J41" s="128">
        <f>GETPIVOTDATA("dato",'[1]Turistas por categorías '!$A$4,"categoría","TOTAL","mes",2,"año",2008)</f>
        <v>19355</v>
      </c>
    </row>
    <row r="42" spans="3:10" hidden="1" outlineLevel="1">
      <c r="C42" s="51" t="s">
        <v>49</v>
      </c>
      <c r="D42" s="128">
        <f>GETPIVOTDATA("dato",'[1]Turistas por categorías '!$A$4,"categoría","1*","mes",1,"año",2008)</f>
        <v>1477</v>
      </c>
      <c r="E42" s="128">
        <f>GETPIVOTDATA("dato",'[1]Turistas por categorías '!$A$4,"categoría","2*","mes",1,"año",2008)</f>
        <v>6214</v>
      </c>
      <c r="F42" s="128">
        <f>GETPIVOTDATA("dato",'[1]Turistas por categorías '!$A$4,"categoría","3 *","mes",1,"año",2008)</f>
        <v>3864</v>
      </c>
      <c r="G42" s="128">
        <f>GETPIVOTDATA("dato",'[1]Turistas por categorías '!$A$4,"categoría","4* Y 5*","mes",1,"año",2008)</f>
        <v>5427</v>
      </c>
      <c r="H42" s="128">
        <f>GETPIVOTDATA("dato",'[1]Turistas por categorías '!$A$4,"categoría","HOTELEROS","mes",1,"año",2008)</f>
        <v>16982</v>
      </c>
      <c r="I42" s="128">
        <f>GETPIVOTDATA("dato",'[1]Turistas por categorías '!$A$4,"categoría","EXTRAHOTELEROS","mes",1,"año",2008)</f>
        <v>0</v>
      </c>
      <c r="J42" s="128">
        <f>GETPIVOTDATA("dato",'[1]Turistas por categorías '!$A$4,"categoría","TOTAL","mes",1,"año",2008)</f>
        <v>16982</v>
      </c>
    </row>
    <row r="43" spans="3:10" collapsed="1">
      <c r="C43" s="164">
        <v>2008</v>
      </c>
      <c r="D43" s="134">
        <f>GETPIVOTDATA("dato",'[1]Turistas por categorías '!$A$4,"categoría","1*","año",2008)</f>
        <v>17396</v>
      </c>
      <c r="E43" s="134">
        <f>GETPIVOTDATA("dato",'[1]Turistas por categorías '!$A$4,"categoría","2*","año",2008)</f>
        <v>72615</v>
      </c>
      <c r="F43" s="134">
        <f>GETPIVOTDATA("dato",'[1]Turistas por categorías '!$A$4,"categoría","3 *","año",2008)</f>
        <v>46555</v>
      </c>
      <c r="G43" s="134">
        <f>GETPIVOTDATA("dato",'[1]Turistas por categorías '!$A$4,"categoría","4* Y 5*","año",2008)</f>
        <v>63252</v>
      </c>
      <c r="H43" s="134">
        <f>GETPIVOTDATA("dato",'[1]Turistas por categorías '!$A$4,"categoría","hoteleros","año",2008)</f>
        <v>199818</v>
      </c>
      <c r="I43" s="134">
        <f>GETPIVOTDATA("dato",'[1]Turistas por categorías '!$A$4,"categoría","extrahoteleros","año",2008)</f>
        <v>0</v>
      </c>
      <c r="J43" s="134">
        <f>GETPIVOTDATA("dato",'[1]Turistas por categorías '!$A$4,"categoría","total","año",2008)</f>
        <v>199818</v>
      </c>
    </row>
    <row r="44" spans="3:10" hidden="1" outlineLevel="1">
      <c r="C44" s="51" t="s">
        <v>38</v>
      </c>
      <c r="D44" s="128">
        <f>GETPIVOTDATA("dato",'[1]Turistas por categorías '!$A$4,"categoría","1*","mes",12,"año",2007)</f>
        <v>1592</v>
      </c>
      <c r="E44" s="128">
        <f>GETPIVOTDATA("dato",'[1]Turistas por categorías '!$A$4,"categoría","2*","mes",12,"año",2007)</f>
        <v>6681</v>
      </c>
      <c r="F44" s="128">
        <f>GETPIVOTDATA("dato",'[1]Turistas por categorías '!$A$4,"categoría","3 *","mes",12,"año",2007)</f>
        <v>4318</v>
      </c>
      <c r="G44" s="128">
        <f>GETPIVOTDATA("dato",'[1]Turistas por categorías '!$A$4,"categoría","4* Y 5*","mes",12,"año",2007)</f>
        <v>4303</v>
      </c>
      <c r="H44" s="128">
        <f>GETPIVOTDATA("dato",'[1]Turistas por categorías '!$A$4,"categoría","HOTELEROS","mes",12,"año",2007)</f>
        <v>16894</v>
      </c>
      <c r="I44" s="128">
        <f>GETPIVOTDATA("dato",'[1]Turistas por categorías '!$A$4,"categoría","EXTRAHOTELEROS","mes",12,"año",2007)</f>
        <v>0</v>
      </c>
      <c r="J44" s="128">
        <f>GETPIVOTDATA("dato",'[1]Turistas por categorías '!$A$4,"categoría","TOTAL","mes",12,"año",2007)</f>
        <v>16894</v>
      </c>
    </row>
    <row r="45" spans="3:10" hidden="1" outlineLevel="1">
      <c r="C45" s="51" t="s">
        <v>39</v>
      </c>
      <c r="D45" s="128">
        <f>GETPIVOTDATA("dato",'[1]Turistas por categorías '!$A$4,"categoría","1*","mes",11,"año",2007)</f>
        <v>1625</v>
      </c>
      <c r="E45" s="128">
        <f>GETPIVOTDATA("dato",'[1]Turistas por categorías '!$A$4,"categoría","2*","mes",11,"año",2007)</f>
        <v>7387</v>
      </c>
      <c r="F45" s="128">
        <f>GETPIVOTDATA("dato",'[1]Turistas por categorías '!$A$4,"categoría","3 *","mes",11,"año",2007)</f>
        <v>5214</v>
      </c>
      <c r="G45" s="128">
        <f>GETPIVOTDATA("dato",'[1]Turistas por categorías '!$A$4,"categoría","4* Y 5*","mes",11,"año",2007)</f>
        <v>4683</v>
      </c>
      <c r="H45" s="128">
        <f>GETPIVOTDATA("dato",'[1]Turistas por categorías '!$A$4,"categoría","HOTELEROS","mes",11,"año",2007)</f>
        <v>18909</v>
      </c>
      <c r="I45" s="128">
        <f>GETPIVOTDATA("dato",'[1]Turistas por categorías '!$A$4,"categoría","EXTRAHOTELEROS","mes",11,"año",2007)</f>
        <v>0</v>
      </c>
      <c r="J45" s="128">
        <f>GETPIVOTDATA("dato",'[1]Turistas por categorías '!$A$4,"categoría","TOTAL","mes",11,"año",2007)</f>
        <v>18909</v>
      </c>
    </row>
    <row r="46" spans="3:10" hidden="1" outlineLevel="1">
      <c r="C46" s="51" t="s">
        <v>40</v>
      </c>
      <c r="D46" s="128">
        <f>GETPIVOTDATA("dato",'[1]Turistas por categorías '!$A$4,"categoría","1*","mes",10,"año",2007)</f>
        <v>1526</v>
      </c>
      <c r="E46" s="128">
        <f>GETPIVOTDATA("dato",'[1]Turistas por categorías '!$A$4,"categoría","2*","mes",10,"año",2007)</f>
        <v>6836</v>
      </c>
      <c r="F46" s="128">
        <f>GETPIVOTDATA("dato",'[1]Turistas por categorías '!$A$4,"categoría","3 *","mes",10,"año",2007)</f>
        <v>4748</v>
      </c>
      <c r="G46" s="128">
        <f>GETPIVOTDATA("dato",'[1]Turistas por categorías '!$A$4,"categoría","4* Y 5*","mes",10,"año",2007)</f>
        <v>4236</v>
      </c>
      <c r="H46" s="128">
        <f>GETPIVOTDATA("dato",'[1]Turistas por categorías '!$A$4,"categoría","HOTELEROS","mes",10,"año",2007)</f>
        <v>17346</v>
      </c>
      <c r="I46" s="128">
        <f>GETPIVOTDATA("dato",'[1]Turistas por categorías '!$A$4,"categoría","EXTRAHOTELEROS","mes",10,"año",2007)</f>
        <v>0</v>
      </c>
      <c r="J46" s="128">
        <f>GETPIVOTDATA("dato",'[1]Turistas por categorías '!$A$4,"categoría","TOTAL","mes",10,"año",2007)</f>
        <v>17346</v>
      </c>
    </row>
    <row r="47" spans="3:10" hidden="1" outlineLevel="1">
      <c r="C47" s="51" t="s">
        <v>41</v>
      </c>
      <c r="D47" s="128">
        <f>GETPIVOTDATA("dato",'[1]Turistas por categorías '!$A$4,"categoría","1*","mes",9,"año",2007)</f>
        <v>1332</v>
      </c>
      <c r="E47" s="128">
        <f>GETPIVOTDATA("dato",'[1]Turistas por categorías '!$A$4,"categoría","2*","mes",9,"año",2007)</f>
        <v>5628</v>
      </c>
      <c r="F47" s="128">
        <f>GETPIVOTDATA("dato",'[1]Turistas por categorías '!$A$4,"categoría","3 *","mes",9,"año",2007)</f>
        <v>3765</v>
      </c>
      <c r="G47" s="128">
        <f>GETPIVOTDATA("dato",'[1]Turistas por categorías '!$A$4,"categoría","4* Y 5*","mes",9,"año",2007)</f>
        <v>3340</v>
      </c>
      <c r="H47" s="128">
        <f>GETPIVOTDATA("dato",'[1]Turistas por categorías '!$A$4,"categoría","HOTELEROS","mes",9,"año",2007)</f>
        <v>14065</v>
      </c>
      <c r="I47" s="128">
        <f>GETPIVOTDATA("dato",'[1]Turistas por categorías '!$A$4,"categoría","EXTRAHOTELEROS","mes",9,"año",2007)</f>
        <v>0</v>
      </c>
      <c r="J47" s="128">
        <f>GETPIVOTDATA("dato",'[1]Turistas por categorías '!$A$4,"categoría","TOTAL","mes",9,"año",2007)</f>
        <v>14065</v>
      </c>
    </row>
    <row r="48" spans="3:10" hidden="1" outlineLevel="1">
      <c r="C48" s="51" t="s">
        <v>42</v>
      </c>
      <c r="D48" s="128">
        <f>GETPIVOTDATA("dato",'[1]Turistas por categorías '!$A$4,"categoría","1*","mes",8,"año",2007)</f>
        <v>1254</v>
      </c>
      <c r="E48" s="128">
        <f>GETPIVOTDATA("dato",'[1]Turistas por categorías '!$A$4,"categoría","2*","mes",8,"año",2007)</f>
        <v>3348</v>
      </c>
      <c r="F48" s="128">
        <f>GETPIVOTDATA("dato",'[1]Turistas por categorías '!$A$4,"categoría","3 *","mes",8,"año",2007)</f>
        <v>2827</v>
      </c>
      <c r="G48" s="128">
        <f>GETPIVOTDATA("dato",'[1]Turistas por categorías '!$A$4,"categoría","4* Y 5*","mes",8,"año",2007)</f>
        <v>2538</v>
      </c>
      <c r="H48" s="128">
        <f>GETPIVOTDATA("dato",'[1]Turistas por categorías '!$A$4,"categoría","HOTELEROS","mes",8,"año",2007)</f>
        <v>9967</v>
      </c>
      <c r="I48" s="128">
        <f>GETPIVOTDATA("dato",'[1]Turistas por categorías '!$A$4,"categoría","EXTRAHOTELEROS","mes",8,"año",2007)</f>
        <v>0</v>
      </c>
      <c r="J48" s="128">
        <f>GETPIVOTDATA("dato",'[1]Turistas por categorías '!$A$4,"categoría","TOTAL","mes",8,"año",2007)</f>
        <v>9967</v>
      </c>
    </row>
    <row r="49" spans="3:10" hidden="1" outlineLevel="1">
      <c r="C49" s="51" t="s">
        <v>43</v>
      </c>
      <c r="D49" s="128">
        <f>GETPIVOTDATA("dato",'[1]Turistas por categorías '!$A$4,"categoría","1*","mes",7,"año",2007)</f>
        <v>1477</v>
      </c>
      <c r="E49" s="128">
        <f>GETPIVOTDATA("dato",'[1]Turistas por categorías '!$A$4,"categoría","2*","mes",7,"año",2007)</f>
        <v>4521</v>
      </c>
      <c r="F49" s="128">
        <f>GETPIVOTDATA("dato",'[1]Turistas por categorías '!$A$4,"categoría","3 *","mes",7,"año",2007)</f>
        <v>4042</v>
      </c>
      <c r="G49" s="128">
        <f>GETPIVOTDATA("dato",'[1]Turistas por categorías '!$A$4,"categoría","4* Y 5*","mes",7,"año",2007)</f>
        <v>4320</v>
      </c>
      <c r="H49" s="128">
        <f>GETPIVOTDATA("dato",'[1]Turistas por categorías '!$A$4,"categoría","HOTELEROS","mes",7,"año",2007)</f>
        <v>14360</v>
      </c>
      <c r="I49" s="128">
        <f>GETPIVOTDATA("dato",'[1]Turistas por categorías '!$A$4,"categoría","EXTRAHOTELEROS","mes",7,"año",2007)</f>
        <v>0</v>
      </c>
      <c r="J49" s="128">
        <f>GETPIVOTDATA("dato",'[1]Turistas por categorías '!$A$4,"categoría","TOTAL","mes",7,"año",2007)</f>
        <v>14360</v>
      </c>
    </row>
    <row r="50" spans="3:10" hidden="1" outlineLevel="1">
      <c r="C50" s="51" t="s">
        <v>44</v>
      </c>
      <c r="D50" s="128">
        <f>GETPIVOTDATA("dato",'[1]Turistas por categorías '!$A$4,"categoría","1*","mes",6,"año",2007)</f>
        <v>1400</v>
      </c>
      <c r="E50" s="128">
        <f>GETPIVOTDATA("dato",'[1]Turistas por categorías '!$A$4,"categoría","2*","mes",6,"año",2007)</f>
        <v>2913</v>
      </c>
      <c r="F50" s="128">
        <f>GETPIVOTDATA("dato",'[1]Turistas por categorías '!$A$4,"categoría","3 *","mes",6,"año",2007)</f>
        <v>3848</v>
      </c>
      <c r="G50" s="128">
        <f>GETPIVOTDATA("dato",'[1]Turistas por categorías '!$A$4,"categoría","4* Y 5*","mes",6,"año",2007)</f>
        <v>5010</v>
      </c>
      <c r="H50" s="128">
        <f>GETPIVOTDATA("dato",'[1]Turistas por categorías '!$A$4,"categoría","HOTELEROS","mes",6,"año",2007)</f>
        <v>13171</v>
      </c>
      <c r="I50" s="128">
        <f>GETPIVOTDATA("dato",'[1]Turistas por categorías '!$A$4,"categoría","EXTRAHOTELEROS","mes",6,"año",2007)</f>
        <v>0</v>
      </c>
      <c r="J50" s="128">
        <f>GETPIVOTDATA("dato",'[1]Turistas por categorías '!$A$4,"categoría","TOTAL","mes",6,"año",2007)</f>
        <v>13171</v>
      </c>
    </row>
    <row r="51" spans="3:10" hidden="1" outlineLevel="1">
      <c r="C51" s="51" t="s">
        <v>45</v>
      </c>
      <c r="D51" s="128">
        <f>GETPIVOTDATA("dato",'[1]Turistas por categorías '!$A$4,"categoría","1*","mes",5,"año",2007)</f>
        <v>1422</v>
      </c>
      <c r="E51" s="128">
        <f>GETPIVOTDATA("dato",'[1]Turistas por categorías '!$A$4,"categoría","2*","mes",5,"año",2007)</f>
        <v>4631</v>
      </c>
      <c r="F51" s="128">
        <f>GETPIVOTDATA("dato",'[1]Turistas por categorías '!$A$4,"categoría","3 *","mes",5,"año",2007)</f>
        <v>3830</v>
      </c>
      <c r="G51" s="128">
        <f>GETPIVOTDATA("dato",'[1]Turistas por categorías '!$A$4,"categoría","4* Y 5*","mes",5,"año",2007)</f>
        <v>4843</v>
      </c>
      <c r="H51" s="128">
        <f>GETPIVOTDATA("dato",'[1]Turistas por categorías '!$A$4,"categoría","HOTELEROS","mes",5,"año",2007)</f>
        <v>14726</v>
      </c>
      <c r="I51" s="128">
        <f>GETPIVOTDATA("dato",'[1]Turistas por categorías '!$A$4,"categoría","EXTRAHOTELEROS","mes",5,"año",2007)</f>
        <v>0</v>
      </c>
      <c r="J51" s="128">
        <f>GETPIVOTDATA("dato",'[1]Turistas por categorías '!$A$4,"categoría","TOTAL","mes",5,"año",2007)</f>
        <v>14726</v>
      </c>
    </row>
    <row r="52" spans="3:10" hidden="1" outlineLevel="1">
      <c r="C52" s="51" t="s">
        <v>46</v>
      </c>
      <c r="D52" s="128">
        <f>GETPIVOTDATA("dato",'[1]Turistas por categorías '!$A$4,"categoría","1*","mes",4,"año",2007)</f>
        <v>1515</v>
      </c>
      <c r="E52" s="128">
        <f>GETPIVOTDATA("dato",'[1]Turistas por categorías '!$A$4,"categoría","2*","mes",4,"año",2007)</f>
        <v>4813</v>
      </c>
      <c r="F52" s="128">
        <f>GETPIVOTDATA("dato",'[1]Turistas por categorías '!$A$4,"categoría","3 *","mes",4,"año",2007)</f>
        <v>4196</v>
      </c>
      <c r="G52" s="128">
        <f>GETPIVOTDATA("dato",'[1]Turistas por categorías '!$A$4,"categoría","4* Y 5*","mes",4,"año",2007)</f>
        <v>4968</v>
      </c>
      <c r="H52" s="128">
        <f>GETPIVOTDATA("dato",'[1]Turistas por categorías '!$A$4,"categoría","HOTELEROS","mes",4,"año",2007)</f>
        <v>15492</v>
      </c>
      <c r="I52" s="128">
        <f>GETPIVOTDATA("dato",'[1]Turistas por categorías '!$A$4,"categoría","EXTRAHOTELEROS","mes",4,"año",2007)</f>
        <v>0</v>
      </c>
      <c r="J52" s="128">
        <f>GETPIVOTDATA("dato",'[1]Turistas por categorías '!$A$4,"categoría","TOTAL","mes",4,"año",2007)</f>
        <v>15492</v>
      </c>
    </row>
    <row r="53" spans="3:10" hidden="1" outlineLevel="1">
      <c r="C53" s="51" t="s">
        <v>47</v>
      </c>
      <c r="D53" s="128">
        <f>GETPIVOTDATA("dato",'[1]Turistas por categorías '!$A$4,"categoría","1*","mes",3,"año",2007)</f>
        <v>1862</v>
      </c>
      <c r="E53" s="128">
        <f>GETPIVOTDATA("dato",'[1]Turistas por categorías '!$A$4,"categoría","2*","mes",3,"año",2007)</f>
        <v>6530</v>
      </c>
      <c r="F53" s="128">
        <f>GETPIVOTDATA("dato",'[1]Turistas por categorías '!$A$4,"categoría","3 *","mes",3,"año",2007)</f>
        <v>4661</v>
      </c>
      <c r="G53" s="128">
        <f>GETPIVOTDATA("dato",'[1]Turistas por categorías '!$A$4,"categoría","4* Y 5*","mes",3,"año",2007)</f>
        <v>5953</v>
      </c>
      <c r="H53" s="128">
        <f>GETPIVOTDATA("dato",'[1]Turistas por categorías '!$A$4,"categoría","HOTELEROS","mes",3,"año",2007)</f>
        <v>19006</v>
      </c>
      <c r="I53" s="128">
        <f>GETPIVOTDATA("dato",'[1]Turistas por categorías '!$A$4,"categoría","EXTRAHOTELEROS","mes",3,"año",2007)</f>
        <v>0</v>
      </c>
      <c r="J53" s="128">
        <f>GETPIVOTDATA("dato",'[1]Turistas por categorías '!$A$4,"categoría","TOTAL","mes",3,"año",2007)</f>
        <v>19006</v>
      </c>
    </row>
    <row r="54" spans="3:10" hidden="1" outlineLevel="1">
      <c r="C54" s="51" t="s">
        <v>48</v>
      </c>
      <c r="D54" s="128">
        <f>GETPIVOTDATA("dato",'[1]Turistas por categorías '!$A$4,"categoría","1*","mes",2,"año",2007)</f>
        <v>1719</v>
      </c>
      <c r="E54" s="128">
        <f>GETPIVOTDATA("dato",'[1]Turistas por categorías '!$A$4,"categoría","2*","mes",2,"año",2007)</f>
        <v>4938</v>
      </c>
      <c r="F54" s="128">
        <f>GETPIVOTDATA("dato",'[1]Turistas por categorías '!$A$4,"categoría","3 *","mes",2,"año",2007)</f>
        <v>3691</v>
      </c>
      <c r="G54" s="128">
        <f>GETPIVOTDATA("dato",'[1]Turistas por categorías '!$A$4,"categoría","4* Y 5*","mes",2,"año",2007)</f>
        <v>4874</v>
      </c>
      <c r="H54" s="128">
        <f>GETPIVOTDATA("dato",'[1]Turistas por categorías '!$A$4,"categoría","HOTELEROS","mes",2,"año",2007)</f>
        <v>15222</v>
      </c>
      <c r="I54" s="128">
        <f>GETPIVOTDATA("dato",'[1]Turistas por categorías '!$A$4,"categoría","EXTRAHOTELEROS","mes",2,"año",2007)</f>
        <v>0</v>
      </c>
      <c r="J54" s="128">
        <f>GETPIVOTDATA("dato",'[1]Turistas por categorías '!$A$4,"categoría","TOTAL","mes",2,"año",2007)</f>
        <v>15222</v>
      </c>
    </row>
    <row r="55" spans="3:10" hidden="1" outlineLevel="1">
      <c r="C55" s="51" t="s">
        <v>49</v>
      </c>
      <c r="D55" s="128">
        <f>GETPIVOTDATA("dato",'[1]Turistas por categorías '!$A$4,"categoría","1*","mes",1,"año",2007)</f>
        <v>1566</v>
      </c>
      <c r="E55" s="128">
        <f>GETPIVOTDATA("dato",'[1]Turistas por categorías '!$A$4,"categoría","2*","mes",1,"año",2007)</f>
        <v>4542</v>
      </c>
      <c r="F55" s="128">
        <f>GETPIVOTDATA("dato",'[1]Turistas por categorías '!$A$4,"categoría","3 *","mes",1,"año",2007)</f>
        <v>3389</v>
      </c>
      <c r="G55" s="128">
        <f>GETPIVOTDATA("dato",'[1]Turistas por categorías '!$A$4,"categoría","4* Y 5*","mes",1,"año",2007)</f>
        <v>5010</v>
      </c>
      <c r="H55" s="128">
        <f>GETPIVOTDATA("dato",'[1]Turistas por categorías '!$A$4,"categoría","HOTELEROS","mes",1,"año",2007)</f>
        <v>14507</v>
      </c>
      <c r="I55" s="128">
        <f>GETPIVOTDATA("dato",'[1]Turistas por categorías '!$A$4,"categoría","EXTRAHOTELEROS","mes",1,"año",2007)</f>
        <v>0</v>
      </c>
      <c r="J55" s="128">
        <f>GETPIVOTDATA("dato",'[1]Turistas por categorías '!$A$4,"categoría","TOTAL","mes",1,"año",2007)</f>
        <v>14507</v>
      </c>
    </row>
    <row r="56" spans="3:10" collapsed="1">
      <c r="C56" s="164">
        <v>2007</v>
      </c>
      <c r="D56" s="134">
        <f>GETPIVOTDATA("dato",'[1]Turistas por categorías '!$A$4,"categoría","1*","año",2007)</f>
        <v>18290</v>
      </c>
      <c r="E56" s="134">
        <f>GETPIVOTDATA("dato",'[1]Turistas por categorías '!$A$4,"categoría","2*","año",2007)</f>
        <v>62768</v>
      </c>
      <c r="F56" s="134">
        <f>GETPIVOTDATA("dato",'[1]Turistas por categorías '!$A$4,"categoría","3 *","año",2007)</f>
        <v>48529</v>
      </c>
      <c r="G56" s="134">
        <f>GETPIVOTDATA("dato",'[1]Turistas por categorías '!$A$4,"categoría","4* Y 5*","año",2007)</f>
        <v>54078</v>
      </c>
      <c r="H56" s="134">
        <f>GETPIVOTDATA("dato",'[1]Turistas por categorías '!$A$4,"categoría","hoteleros","año",2007)</f>
        <v>183665</v>
      </c>
      <c r="I56" s="134">
        <f>GETPIVOTDATA("dato",'[1]Turistas por categorías '!$A$4,"categoría","extrahoteleros","año",2007)</f>
        <v>0</v>
      </c>
      <c r="J56" s="134">
        <f>GETPIVOTDATA("dato",'[1]Turistas por categorías '!$A$4,"categoría","total","año",2007)</f>
        <v>183665</v>
      </c>
    </row>
    <row r="57" spans="3:10" hidden="1" outlineLevel="1">
      <c r="C57" s="51" t="s">
        <v>38</v>
      </c>
      <c r="D57" s="128">
        <f>GETPIVOTDATA("dato",'[1]Turistas por categorías '!$A$4,"categoría","1*","mes",12,"año",2006)</f>
        <v>1488</v>
      </c>
      <c r="E57" s="128">
        <f>GETPIVOTDATA("dato",'[1]Turistas por categorías '!$A$4,"categoría","2*","mes",12,"año",2006)</f>
        <v>6242</v>
      </c>
      <c r="F57" s="128">
        <f>GETPIVOTDATA("dato",'[1]Turistas por categorías '!$A$4,"categoría","3 *","mes",12,"año",2006)</f>
        <v>3722</v>
      </c>
      <c r="G57" s="128">
        <f>GETPIVOTDATA("dato",'[1]Turistas por categorías '!$A$4,"categoría","4* Y 5*","mes",12,"año",2006)</f>
        <v>5377</v>
      </c>
      <c r="H57" s="128">
        <f>GETPIVOTDATA("dato",'[1]Turistas por categorías '!$A$4,"categoría","HOTELEROS","mes",12,"año",2006)</f>
        <v>16829</v>
      </c>
      <c r="I57" s="128">
        <f>GETPIVOTDATA("dato",'[1]Turistas por categorías '!$A$4,"categoría","EXTRAHOTELEROS","mes",12,"año",2006)</f>
        <v>0</v>
      </c>
      <c r="J57" s="128">
        <f>GETPIVOTDATA("dato",'[1]Turistas por categorías '!$A$4,"categoría","TOTAL","mes",12,"año",2006)</f>
        <v>16829</v>
      </c>
    </row>
    <row r="58" spans="3:10" hidden="1" outlineLevel="1">
      <c r="C58" s="51" t="s">
        <v>39</v>
      </c>
      <c r="D58" s="128">
        <f>GETPIVOTDATA("dato",'[1]Turistas por categorías '!$A$4,"categoría","1*","mes",11,"año",2006)</f>
        <v>1478</v>
      </c>
      <c r="E58" s="128">
        <f>GETPIVOTDATA("dato",'[1]Turistas por categorías '!$A$4,"categoría","2*","mes",11,"año",2006)</f>
        <v>6497</v>
      </c>
      <c r="F58" s="128">
        <f>GETPIVOTDATA("dato",'[1]Turistas por categorías '!$A$4,"categoría","3 *","mes",11,"año",2006)</f>
        <v>3879</v>
      </c>
      <c r="G58" s="128">
        <f>GETPIVOTDATA("dato",'[1]Turistas por categorías '!$A$4,"categoría","4* Y 5*","mes",11,"año",2006)</f>
        <v>6233</v>
      </c>
      <c r="H58" s="128">
        <f>GETPIVOTDATA("dato",'[1]Turistas por categorías '!$A$4,"categoría","HOTELEROS","mes",11,"año",2006)</f>
        <v>18087</v>
      </c>
      <c r="I58" s="128">
        <f>GETPIVOTDATA("dato",'[1]Turistas por categorías '!$A$4,"categoría","EXTRAHOTELEROS","mes",11,"año",2006)</f>
        <v>0</v>
      </c>
      <c r="J58" s="128">
        <f>GETPIVOTDATA("dato",'[1]Turistas por categorías '!$A$4,"categoría","TOTAL","mes",11,"año",2006)</f>
        <v>18087</v>
      </c>
    </row>
    <row r="59" spans="3:10" hidden="1" outlineLevel="1">
      <c r="C59" s="51" t="s">
        <v>40</v>
      </c>
      <c r="D59" s="128">
        <f>GETPIVOTDATA("dato",'[1]Turistas por categorías '!$A$4,"categoría","1*","mes",10,"año",2006)</f>
        <v>1699</v>
      </c>
      <c r="E59" s="128">
        <f>GETPIVOTDATA("dato",'[1]Turistas por categorías '!$A$4,"categoría","2*","mes",10,"año",2006)</f>
        <v>5676</v>
      </c>
      <c r="F59" s="128">
        <f>GETPIVOTDATA("dato",'[1]Turistas por categorías '!$A$4,"categoría","3 *","mes",10,"año",2006)</f>
        <v>2884</v>
      </c>
      <c r="G59" s="128">
        <f>GETPIVOTDATA("dato",'[1]Turistas por categorías '!$A$4,"categoría","4* Y 5*","mes",10,"año",2006)</f>
        <v>5472</v>
      </c>
      <c r="H59" s="128">
        <f>GETPIVOTDATA("dato",'[1]Turistas por categorías '!$A$4,"categoría","HOTELEROS","mes",10,"año",2006)</f>
        <v>15731</v>
      </c>
      <c r="I59" s="128">
        <f>GETPIVOTDATA("dato",'[1]Turistas por categorías '!$A$4,"categoría","EXTRAHOTELEROS","mes",10,"año",2006)</f>
        <v>0</v>
      </c>
      <c r="J59" s="128">
        <f>GETPIVOTDATA("dato",'[1]Turistas por categorías '!$A$4,"categoría","TOTAL","mes",10,"año",2006)</f>
        <v>15731</v>
      </c>
    </row>
    <row r="60" spans="3:10" hidden="1" outlineLevel="1">
      <c r="C60" s="51" t="s">
        <v>41</v>
      </c>
      <c r="D60" s="128">
        <f>GETPIVOTDATA("dato",'[1]Turistas por categorías '!$A$4,"categoría","1*","mes",9,"año",2006)</f>
        <v>1414</v>
      </c>
      <c r="E60" s="128">
        <f>GETPIVOTDATA("dato",'[1]Turistas por categorías '!$A$4,"categoría","2*","mes",9,"año",2006)</f>
        <v>4981</v>
      </c>
      <c r="F60" s="128">
        <f>GETPIVOTDATA("dato",'[1]Turistas por categorías '!$A$4,"categoría","3 *","mes",9,"año",2006)</f>
        <v>2958</v>
      </c>
      <c r="G60" s="128">
        <f>GETPIVOTDATA("dato",'[1]Turistas por categorías '!$A$4,"categoría","4* Y 5*","mes",9,"año",2006)</f>
        <v>5050</v>
      </c>
      <c r="H60" s="128">
        <f>GETPIVOTDATA("dato",'[1]Turistas por categorías '!$A$4,"categoría","HOTELEROS","mes",9,"año",2006)</f>
        <v>14403</v>
      </c>
      <c r="I60" s="128">
        <f>GETPIVOTDATA("dato",'[1]Turistas por categorías '!$A$4,"categoría","EXTRAHOTELEROS","mes",9,"año",2006)</f>
        <v>0</v>
      </c>
      <c r="J60" s="128">
        <f>GETPIVOTDATA("dato",'[1]Turistas por categorías '!$A$4,"categoría","TOTAL","mes",9,"año",2006)</f>
        <v>14403</v>
      </c>
    </row>
    <row r="61" spans="3:10" hidden="1" outlineLevel="1">
      <c r="C61" s="51" t="s">
        <v>42</v>
      </c>
      <c r="D61" s="128">
        <f>GETPIVOTDATA("dato",'[1]Turistas por categorías '!$A$4,"categoría","1*","mes",8,"año",2006)</f>
        <v>1375</v>
      </c>
      <c r="E61" s="128">
        <f>GETPIVOTDATA("dato",'[1]Turistas por categorías '!$A$4,"categoría","2*","mes",8,"año",2006)</f>
        <v>4390</v>
      </c>
      <c r="F61" s="128">
        <f>GETPIVOTDATA("dato",'[1]Turistas por categorías '!$A$4,"categoría","3 *","mes",8,"año",2006)</f>
        <v>2015</v>
      </c>
      <c r="G61" s="128">
        <f>GETPIVOTDATA("dato",'[1]Turistas por categorías '!$A$4,"categoría","4* Y 5*","mes",8,"año",2006)</f>
        <v>3451</v>
      </c>
      <c r="H61" s="128">
        <f>GETPIVOTDATA("dato",'[1]Turistas por categorías '!$A$4,"categoría","HOTELEROS","mes",8,"año",2006)</f>
        <v>11231</v>
      </c>
      <c r="I61" s="128">
        <f>GETPIVOTDATA("dato",'[1]Turistas por categorías '!$A$4,"categoría","EXTRAHOTELEROS","mes",8,"año",2006)</f>
        <v>0</v>
      </c>
      <c r="J61" s="128">
        <f>GETPIVOTDATA("dato",'[1]Turistas por categorías '!$A$4,"categoría","TOTAL","mes",8,"año",2006)</f>
        <v>11231</v>
      </c>
    </row>
    <row r="62" spans="3:10" hidden="1" outlineLevel="1">
      <c r="C62" s="51" t="s">
        <v>43</v>
      </c>
      <c r="D62" s="128">
        <f>GETPIVOTDATA("dato",'[1]Turistas por categorías '!$A$4,"categoría","1*","mes",7,"año",2006)</f>
        <v>1470</v>
      </c>
      <c r="E62" s="128">
        <f>GETPIVOTDATA("dato",'[1]Turistas por categorías '!$A$4,"categoría","2*","mes",7,"año",2006)</f>
        <v>5234</v>
      </c>
      <c r="F62" s="128">
        <f>GETPIVOTDATA("dato",'[1]Turistas por categorías '!$A$4,"categoría","3 *","mes",7,"año",2006)</f>
        <v>3081</v>
      </c>
      <c r="G62" s="128">
        <f>GETPIVOTDATA("dato",'[1]Turistas por categorías '!$A$4,"categoría","4* Y 5*","mes",7,"año",2006)</f>
        <v>4973</v>
      </c>
      <c r="H62" s="128">
        <f>GETPIVOTDATA("dato",'[1]Turistas por categorías '!$A$4,"categoría","HOTELEROS","mes",7,"año",2006)</f>
        <v>14758</v>
      </c>
      <c r="I62" s="128">
        <f>GETPIVOTDATA("dato",'[1]Turistas por categorías '!$A$4,"categoría","EXTRAHOTELEROS","mes",7,"año",2006)</f>
        <v>0</v>
      </c>
      <c r="J62" s="128">
        <f>GETPIVOTDATA("dato",'[1]Turistas por categorías '!$A$4,"categoría","TOTAL","mes",7,"año",2006)</f>
        <v>14758</v>
      </c>
    </row>
    <row r="63" spans="3:10" hidden="1" outlineLevel="1">
      <c r="C63" s="51" t="s">
        <v>44</v>
      </c>
      <c r="D63" s="128">
        <f>GETPIVOTDATA("dato",'[1]Turistas por categorías '!$A$4,"categoría","1*","mes",6,"año",2006)</f>
        <v>1395</v>
      </c>
      <c r="E63" s="128">
        <f>GETPIVOTDATA("dato",'[1]Turistas por categorías '!$A$4,"categoría","2*","mes",6,"año",2006)</f>
        <v>4875</v>
      </c>
      <c r="F63" s="128">
        <f>GETPIVOTDATA("dato",'[1]Turistas por categorías '!$A$4,"categoría","3 *","mes",6,"año",2006)</f>
        <v>4029</v>
      </c>
      <c r="G63" s="128">
        <f>GETPIVOTDATA("dato",'[1]Turistas por categorías '!$A$4,"categoría","4* Y 5*","mes",6,"año",2006)</f>
        <v>5448</v>
      </c>
      <c r="H63" s="128">
        <f>GETPIVOTDATA("dato",'[1]Turistas por categorías '!$A$4,"categoría","HOTELEROS","mes",6,"año",2006)</f>
        <v>15747</v>
      </c>
      <c r="I63" s="128">
        <f>GETPIVOTDATA("dato",'[1]Turistas por categorías '!$A$4,"categoría","EXTRAHOTELEROS","mes",6,"año",2006)</f>
        <v>0</v>
      </c>
      <c r="J63" s="128">
        <f>GETPIVOTDATA("dato",'[1]Turistas por categorías '!$A$4,"categoría","TOTAL","mes",6,"año",2006)</f>
        <v>15747</v>
      </c>
    </row>
    <row r="64" spans="3:10" hidden="1" outlineLevel="1">
      <c r="C64" s="51" t="s">
        <v>45</v>
      </c>
      <c r="D64" s="128">
        <f>GETPIVOTDATA("dato",'[1]Turistas por categorías '!$A$4,"categoría","1*","mes",5,"año",2006)</f>
        <v>948</v>
      </c>
      <c r="E64" s="128">
        <f>GETPIVOTDATA("dato",'[1]Turistas por categorías '!$A$4,"categoría","2*","mes",5,"año",2006)</f>
        <v>4858</v>
      </c>
      <c r="F64" s="128">
        <f>GETPIVOTDATA("dato",'[1]Turistas por categorías '!$A$4,"categoría","3 *","mes",5,"año",2006)</f>
        <v>3833</v>
      </c>
      <c r="G64" s="128">
        <f>GETPIVOTDATA("dato",'[1]Turistas por categorías '!$A$4,"categoría","4* Y 5*","mes",5,"año",2006)</f>
        <v>5112</v>
      </c>
      <c r="H64" s="128">
        <f>GETPIVOTDATA("dato",'[1]Turistas por categorías '!$A$4,"categoría","HOTELEROS","mes",5,"año",2006)</f>
        <v>14751</v>
      </c>
      <c r="I64" s="128">
        <f>GETPIVOTDATA("dato",'[1]Turistas por categorías '!$A$4,"categoría","EXTRAHOTELEROS","mes",5,"año",2006)</f>
        <v>0</v>
      </c>
      <c r="J64" s="128">
        <f>GETPIVOTDATA("dato",'[1]Turistas por categorías '!$A$4,"categoría","TOTAL","mes",5,"año",2006)</f>
        <v>14751</v>
      </c>
    </row>
    <row r="65" spans="3:10" hidden="1" outlineLevel="1">
      <c r="C65" s="51" t="s">
        <v>46</v>
      </c>
      <c r="D65" s="128">
        <f>GETPIVOTDATA("dato",'[1]Turistas por categorías '!$A$4,"categoría","1*","mes",4,"año",2006)</f>
        <v>690</v>
      </c>
      <c r="E65" s="128">
        <f>GETPIVOTDATA("dato",'[1]Turistas por categorías '!$A$4,"categoría","2*","mes",4,"año",2006)</f>
        <v>4542</v>
      </c>
      <c r="F65" s="128">
        <f>GETPIVOTDATA("dato",'[1]Turistas por categorías '!$A$4,"categoría","3 *","mes",4,"año",2006)</f>
        <v>3739</v>
      </c>
      <c r="G65" s="128">
        <f>GETPIVOTDATA("dato",'[1]Turistas por categorías '!$A$4,"categoría","4* Y 5*","mes",4,"año",2006)</f>
        <v>4878</v>
      </c>
      <c r="H65" s="128">
        <f>GETPIVOTDATA("dato",'[1]Turistas por categorías '!$A$4,"categoría","HOTELEROS","mes",4,"año",2006)</f>
        <v>13849</v>
      </c>
      <c r="I65" s="128">
        <f>GETPIVOTDATA("dato",'[1]Turistas por categorías '!$A$4,"categoría","EXTRAHOTELEROS","mes",4,"año",2006)</f>
        <v>0</v>
      </c>
      <c r="J65" s="128">
        <f>GETPIVOTDATA("dato",'[1]Turistas por categorías '!$A$4,"categoría","TOTAL","mes",4,"año",2006)</f>
        <v>13849</v>
      </c>
    </row>
    <row r="66" spans="3:10" hidden="1" outlineLevel="1">
      <c r="C66" s="51" t="s">
        <v>47</v>
      </c>
      <c r="D66" s="128">
        <f>GETPIVOTDATA("dato",'[1]Turistas por categorías '!$A$4,"categoría","1*","mes",3,"año",2006)</f>
        <v>1073</v>
      </c>
      <c r="E66" s="128">
        <f>GETPIVOTDATA("dato",'[1]Turistas por categorías '!$A$4,"categoría","2*","mes",3,"año",2006)</f>
        <v>5744</v>
      </c>
      <c r="F66" s="128">
        <f>GETPIVOTDATA("dato",'[1]Turistas por categorías '!$A$4,"categoría","3 *","mes",3,"año",2006)</f>
        <v>4490</v>
      </c>
      <c r="G66" s="128">
        <f>GETPIVOTDATA("dato",'[1]Turistas por categorías '!$A$4,"categoría","4* Y 5*","mes",3,"año",2006)</f>
        <v>6122</v>
      </c>
      <c r="H66" s="128">
        <f>GETPIVOTDATA("dato",'[1]Turistas por categorías '!$A$4,"categoría","HOTELEROS","mes",3,"año",2006)</f>
        <v>17429</v>
      </c>
      <c r="I66" s="128">
        <f>GETPIVOTDATA("dato",'[1]Turistas por categorías '!$A$4,"categoría","EXTRAHOTELEROS","mes",3,"año",2006)</f>
        <v>0</v>
      </c>
      <c r="J66" s="128">
        <f>GETPIVOTDATA("dato",'[1]Turistas por categorías '!$A$4,"categoría","TOTAL","mes",3,"año",2006)</f>
        <v>17429</v>
      </c>
    </row>
    <row r="67" spans="3:10" hidden="1" outlineLevel="1">
      <c r="C67" s="51" t="s">
        <v>48</v>
      </c>
      <c r="D67" s="128">
        <f>GETPIVOTDATA("dato",'[1]Turistas por categorías '!$A$4,"categoría","1*","mes",2,"año",2006)</f>
        <v>1028</v>
      </c>
      <c r="E67" s="128">
        <f>GETPIVOTDATA("dato",'[1]Turistas por categorías '!$A$4,"categoría","2*","mes",2,"año",2006)</f>
        <v>5280</v>
      </c>
      <c r="F67" s="128">
        <f>GETPIVOTDATA("dato",'[1]Turistas por categorías '!$A$4,"categoría","3 *","mes",2,"año",2006)</f>
        <v>3842</v>
      </c>
      <c r="G67" s="128">
        <f>GETPIVOTDATA("dato",'[1]Turistas por categorías '!$A$4,"categoría","4* Y 5*","mes",2,"año",2006)</f>
        <v>5542</v>
      </c>
      <c r="H67" s="128">
        <f>GETPIVOTDATA("dato",'[1]Turistas por categorías '!$A$4,"categoría","HOTELEROS","mes",2,"año",2006)</f>
        <v>15692</v>
      </c>
      <c r="I67" s="128">
        <f>GETPIVOTDATA("dato",'[1]Turistas por categorías '!$A$4,"categoría","EXTRAHOTELEROS","mes",2,"año",2006)</f>
        <v>0</v>
      </c>
      <c r="J67" s="128">
        <f>GETPIVOTDATA("dato",'[1]Turistas por categorías '!$A$4,"categoría","TOTAL","mes",2,"año",2006)</f>
        <v>15692</v>
      </c>
    </row>
    <row r="68" spans="3:10" hidden="1" outlineLevel="1">
      <c r="C68" s="51" t="s">
        <v>49</v>
      </c>
      <c r="D68" s="128">
        <f>GETPIVOTDATA("dato",'[1]Turistas por categorías '!$A$4,"categoría","1*","mes",1,"año",2006)</f>
        <v>1007</v>
      </c>
      <c r="E68" s="128">
        <f>GETPIVOTDATA("dato",'[1]Turistas por categorías '!$A$4,"categoría","2*","mes",1,"año",2006)</f>
        <v>4719</v>
      </c>
      <c r="F68" s="128">
        <f>GETPIVOTDATA("dato",'[1]Turistas por categorías '!$A$4,"categoría","3 *","mes",1,"año",2006)</f>
        <v>3589</v>
      </c>
      <c r="G68" s="128">
        <f>GETPIVOTDATA("dato",'[1]Turistas por categorías '!$A$4,"categoría","4* Y 5*","mes",1,"año",2006)</f>
        <v>4951</v>
      </c>
      <c r="H68" s="128">
        <f>GETPIVOTDATA("dato",'[1]Turistas por categorías '!$A$4,"categoría","HOTELEROS","mes",1,"año",2006)</f>
        <v>14266</v>
      </c>
      <c r="I68" s="128">
        <f>GETPIVOTDATA("dato",'[1]Turistas por categorías '!$A$4,"categoría","EXTRAHOTELEROS","mes",1,"año",2006)</f>
        <v>0</v>
      </c>
      <c r="J68" s="128">
        <f>GETPIVOTDATA("dato",'[1]Turistas por categorías '!$A$4,"categoría","TOTAL","mes",1,"año",2006)</f>
        <v>14266</v>
      </c>
    </row>
    <row r="69" spans="3:10" collapsed="1">
      <c r="C69" s="164">
        <v>2006</v>
      </c>
      <c r="D69" s="134">
        <f>GETPIVOTDATA("dato",'[1]Turistas por categorías '!$A$4,"categoría","1*","año",2006)</f>
        <v>15065</v>
      </c>
      <c r="E69" s="134">
        <f>GETPIVOTDATA("dato",'[1]Turistas por categorías '!$A$4,"categoría","2*","año",2006)</f>
        <v>63038</v>
      </c>
      <c r="F69" s="134">
        <f>GETPIVOTDATA("dato",'[1]Turistas por categorías '!$A$4,"categoría","3 *","año",2006)</f>
        <v>42061</v>
      </c>
      <c r="G69" s="134">
        <f>GETPIVOTDATA("dato",'[1]Turistas por categorías '!$A$4,"categoría","4* Y 5*","año",2006)</f>
        <v>62609</v>
      </c>
      <c r="H69" s="134">
        <f>GETPIVOTDATA("dato",'[1]Turistas por categorías '!$A$4,"categoría","hoteleros","año",2006)</f>
        <v>182773</v>
      </c>
      <c r="I69" s="134">
        <f>GETPIVOTDATA("dato",'[1]Turistas por categorías '!$A$4,"categoría","extrahoteleros","año",2006)</f>
        <v>0</v>
      </c>
      <c r="J69" s="134">
        <f>GETPIVOTDATA("dato",'[1]Turistas por categorías '!$A$4,"categoría","total","año",2006)</f>
        <v>182773</v>
      </c>
    </row>
    <row r="70" spans="3:10">
      <c r="C70" s="165" t="s">
        <v>33</v>
      </c>
      <c r="D70" s="165"/>
      <c r="E70" s="165"/>
      <c r="F70" s="165"/>
      <c r="G70" s="165"/>
      <c r="H70" s="165"/>
      <c r="I70" s="165"/>
      <c r="J70" s="165"/>
    </row>
  </sheetData>
  <mergeCells count="2">
    <mergeCell ref="C3:J3"/>
    <mergeCell ref="C70:J70"/>
  </mergeCells>
  <hyperlinks>
    <hyperlink ref="L4" location="'grafica evolucion por categoria'!A1" tooltip="GRAFICA" display="GRAFICA"/>
    <hyperlink ref="M4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34">
    <tabColor theme="4" tint="-0.499984740745262"/>
    <pageSetUpPr autoPageBreaks="0" fitToPage="1"/>
  </sheetPr>
  <dimension ref="D6:N84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14" t="s">
        <v>9</v>
      </c>
      <c r="E6" s="14"/>
      <c r="F6" s="14"/>
      <c r="G6" s="14"/>
    </row>
    <row r="7" spans="4:7" ht="15" customHeight="1">
      <c r="D7" s="15"/>
      <c r="E7" s="1"/>
      <c r="F7" s="1"/>
      <c r="G7" s="1"/>
    </row>
    <row r="8" spans="4:7" ht="24.95" customHeight="1">
      <c r="D8" s="1"/>
      <c r="E8" s="16" t="s">
        <v>10</v>
      </c>
      <c r="F8" s="6"/>
      <c r="G8" s="6"/>
    </row>
    <row r="9" spans="4:7" ht="15" customHeight="1">
      <c r="D9" s="1"/>
      <c r="E9" s="1"/>
      <c r="F9" s="17"/>
      <c r="G9" s="1"/>
    </row>
    <row r="10" spans="4:7" ht="15" customHeight="1">
      <c r="D10" s="1"/>
      <c r="E10" s="1"/>
      <c r="F10" s="18" t="s">
        <v>11</v>
      </c>
      <c r="G10" s="1"/>
    </row>
    <row r="11" spans="4:7" ht="20.100000000000001" customHeight="1">
      <c r="D11" s="1"/>
      <c r="E11" s="1"/>
      <c r="F11" s="18" t="s">
        <v>12</v>
      </c>
      <c r="G11" s="1"/>
    </row>
    <row r="12" spans="4:7" ht="20.100000000000001" customHeight="1">
      <c r="D12" s="1"/>
      <c r="E12" s="1"/>
      <c r="F12" s="18" t="s">
        <v>13</v>
      </c>
      <c r="G12" s="1"/>
    </row>
    <row r="13" spans="4:7" ht="20.100000000000001" customHeight="1">
      <c r="D13" s="1"/>
      <c r="E13" s="1"/>
      <c r="F13" s="18" t="s">
        <v>14</v>
      </c>
      <c r="G13" s="1"/>
    </row>
    <row r="14" spans="4:7" ht="20.100000000000001" customHeight="1">
      <c r="D14" s="1"/>
      <c r="E14" s="1"/>
      <c r="F14" s="19" t="s">
        <v>15</v>
      </c>
      <c r="G14" s="1"/>
    </row>
    <row r="15" spans="4:7" ht="20.100000000000001" customHeight="1">
      <c r="D15" s="1"/>
      <c r="E15" s="1"/>
      <c r="F15" s="19" t="s">
        <v>16</v>
      </c>
      <c r="G15" s="1"/>
    </row>
    <row r="16" spans="4:7" ht="20.100000000000001" customHeight="1">
      <c r="D16" s="1"/>
      <c r="E16" s="1"/>
      <c r="F16" s="17"/>
      <c r="G16" s="1"/>
    </row>
    <row r="17" spans="4:7" ht="20.100000000000001" customHeight="1">
      <c r="D17" s="1"/>
      <c r="E17" s="16" t="s">
        <v>17</v>
      </c>
      <c r="F17" s="6"/>
      <c r="G17" s="6"/>
    </row>
    <row r="18" spans="4:7" ht="20.100000000000001" customHeight="1">
      <c r="D18" s="1"/>
      <c r="E18" s="1"/>
      <c r="F18" s="17"/>
      <c r="G18" s="1"/>
    </row>
    <row r="19" spans="4:7" ht="20.100000000000001" customHeight="1">
      <c r="D19" s="1"/>
      <c r="E19" s="1"/>
      <c r="F19" s="19" t="s">
        <v>18</v>
      </c>
      <c r="G19" s="1"/>
    </row>
    <row r="20" spans="4:7" ht="20.100000000000001" customHeight="1">
      <c r="D20" s="1"/>
      <c r="E20" s="1"/>
      <c r="F20" s="20"/>
      <c r="G20" s="1"/>
    </row>
    <row r="21" spans="4:7" ht="15" customHeight="1">
      <c r="D21" s="21"/>
    </row>
    <row r="22" spans="4:7" ht="15" customHeight="1">
      <c r="D22" s="11" t="s">
        <v>8</v>
      </c>
      <c r="E22" s="11"/>
      <c r="F22" s="11"/>
      <c r="G22" s="11"/>
    </row>
    <row r="23" spans="4:7" ht="24.95" customHeight="1">
      <c r="D23" s="12"/>
      <c r="E23" s="12"/>
      <c r="F23" s="12"/>
      <c r="G23" s="12"/>
    </row>
    <row r="24" spans="4:7" ht="15" customHeight="1"/>
    <row r="25" spans="4:7" ht="15" customHeight="1"/>
    <row r="26" spans="4:7" ht="20.100000000000001" customHeight="1">
      <c r="E26" s="22"/>
      <c r="F26" s="23"/>
    </row>
    <row r="27" spans="4:7" ht="20.100000000000001" hidden="1" customHeight="1"/>
    <row r="28" spans="4:7" ht="20.100000000000001" customHeight="1">
      <c r="D28" s="21"/>
    </row>
    <row r="29" spans="4:7" ht="20.100000000000001" customHeight="1"/>
    <row r="30" spans="4:7" ht="15" customHeight="1"/>
    <row r="31" spans="4:7" ht="15" customHeight="1"/>
    <row r="32" spans="4:7" ht="15" customHeight="1"/>
    <row r="33" spans="4:14" ht="15" customHeight="1">
      <c r="D33" s="21"/>
      <c r="H33" s="12"/>
      <c r="I33" s="12"/>
      <c r="J33" s="12"/>
      <c r="K33" s="12"/>
      <c r="L33" s="12"/>
      <c r="M33" s="12"/>
      <c r="N33" s="12"/>
    </row>
    <row r="34" spans="4:14" ht="15" customHeight="1"/>
    <row r="35" spans="4:14" ht="20.100000000000001" customHeight="1"/>
    <row r="36" spans="4:14" ht="15" customHeight="1"/>
    <row r="37" spans="4:14" ht="15" customHeight="1"/>
    <row r="38" spans="4:14" ht="15" customHeight="1"/>
    <row r="39" spans="4:14" ht="15" customHeight="1"/>
    <row r="40" spans="4:14" ht="15" customHeight="1"/>
    <row r="41" spans="4:14" ht="15" customHeight="1"/>
    <row r="42" spans="4:14" ht="15" customHeight="1"/>
    <row r="43" spans="4:14" ht="15" customHeight="1"/>
    <row r="44" spans="4:14" ht="15" customHeight="1"/>
    <row r="45" spans="4:14" ht="15" customHeight="1"/>
    <row r="46" spans="4:14" ht="15" customHeight="1"/>
    <row r="47" spans="4:14" ht="15" customHeight="1"/>
    <row r="48" spans="4:14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</sheetData>
  <mergeCells count="2">
    <mergeCell ref="D6:G6"/>
    <mergeCell ref="D22:G22"/>
  </mergeCells>
  <hyperlinks>
    <hyperlink ref="F10" location="'Menú tipología de establecimien'!A1" tooltip="Tipología de establecimiento" display="Tipología de establecimiento"/>
    <hyperlink ref="F11" location="'Menú zonas y tipología'!A1" tooltip="Zonas y tipología de establecimiento" display="Zonas turísticas y tipología de establecimiento"/>
    <hyperlink ref="F12" location="'Menú categoría-tipología'!A1" tooltip="Tipología y categoría de establecimiento" display="Tipología y categoría de los establecimientos"/>
    <hyperlink ref="F13" location="'Menú nacionalidades'!A1" tooltip="Nacionalidad" display="Nacionalidades"/>
    <hyperlink ref="F14" location="'Alojados evol mensual'!A1" tooltip="Evolución mensual " display="Evolución mensual "/>
    <hyperlink ref="F19" location="'Gráfico alojados mensual'!A1" tooltip="Evolución mensual de turistas alojados" display="Evolución mensual de turistas alojados"/>
    <hyperlink ref="F15" location="'tablas turistas por Temporada'!A1" tooltip="Temporada" display="Temporad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I13" sqref="I13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60" t="s">
        <v>52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I13" sqref="I1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60" t="s">
        <v>52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I13" sqref="I1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60" t="s">
        <v>52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2:I57"/>
  <sheetViews>
    <sheetView showGridLines="0" showRowColHeaders="0" zoomScaleNormal="100" workbookViewId="0">
      <selection activeCell="I13" sqref="I13"/>
    </sheetView>
  </sheetViews>
  <sheetFormatPr baseColWidth="10" defaultRowHeight="15" outlineLevelRow="1"/>
  <cols>
    <col min="1" max="1" width="17.7109375" customWidth="1"/>
  </cols>
  <sheetData>
    <row r="2" spans="2:9" ht="45" customHeight="1"/>
    <row r="3" spans="2:9" ht="36.75" customHeight="1">
      <c r="B3" s="159" t="s">
        <v>119</v>
      </c>
      <c r="C3" s="159"/>
      <c r="D3" s="159"/>
      <c r="E3" s="159"/>
      <c r="F3" s="159"/>
      <c r="G3" s="159"/>
      <c r="H3" s="159"/>
      <c r="I3" s="159"/>
    </row>
    <row r="4" spans="2:9" ht="45">
      <c r="B4" s="160"/>
      <c r="C4" s="127" t="s">
        <v>112</v>
      </c>
      <c r="D4" s="127" t="s">
        <v>113</v>
      </c>
      <c r="E4" s="127" t="s">
        <v>114</v>
      </c>
      <c r="F4" s="127" t="s">
        <v>115</v>
      </c>
      <c r="G4" s="161" t="s">
        <v>120</v>
      </c>
      <c r="H4" s="161" t="s">
        <v>36</v>
      </c>
      <c r="I4" s="162" t="s">
        <v>37</v>
      </c>
    </row>
    <row r="5" spans="2:9" hidden="1">
      <c r="B5" s="51" t="s">
        <v>38</v>
      </c>
      <c r="C5" s="166" t="str">
        <f>IFERROR('tablas turistas por categorías '!D5/'tablas turistas por categorías '!D18-1,"-")</f>
        <v>-</v>
      </c>
      <c r="D5" s="166" t="str">
        <f>IFERROR('tablas turistas por categorías '!E5/'tablas turistas por categorías '!E18-1,"-")</f>
        <v>-</v>
      </c>
      <c r="E5" s="166" t="str">
        <f>IFERROR('tablas turistas por categorías '!F5/'tablas turistas por categorías '!F18-1,"-")</f>
        <v>-</v>
      </c>
      <c r="F5" s="166" t="str">
        <f>IFERROR('tablas turistas por categorías '!G5/'tablas turistas por categorías '!G18-1,"-")</f>
        <v>-</v>
      </c>
      <c r="G5" s="166" t="str">
        <f>IFERROR('tablas turistas por categorías '!H5/'tablas turistas por categorías '!H18-1,"-")</f>
        <v>-</v>
      </c>
      <c r="H5" s="166" t="str">
        <f>IFERROR('tablas turistas por categorías '!I5/'tablas turistas por categorías '!I18-1,"-")</f>
        <v>-</v>
      </c>
      <c r="I5" s="166" t="str">
        <f>IFERROR('tablas turistas por categorías '!J5/'tablas turistas por categorías '!J18-1,"-")</f>
        <v>-</v>
      </c>
    </row>
    <row r="6" spans="2:9" hidden="1">
      <c r="B6" s="51" t="s">
        <v>39</v>
      </c>
      <c r="C6" s="166" t="str">
        <f>IFERROR('tablas turistas por categorías '!D6/'tablas turistas por categorías '!D19-1,"-")</f>
        <v>-</v>
      </c>
      <c r="D6" s="166" t="str">
        <f>IFERROR('tablas turistas por categorías '!E6/'tablas turistas por categorías '!E19-1,"-")</f>
        <v>-</v>
      </c>
      <c r="E6" s="166" t="str">
        <f>IFERROR('tablas turistas por categorías '!F6/'tablas turistas por categorías '!F19-1,"-")</f>
        <v>-</v>
      </c>
      <c r="F6" s="166" t="str">
        <f>IFERROR('tablas turistas por categorías '!G6/'tablas turistas por categorías '!G19-1,"-")</f>
        <v>-</v>
      </c>
      <c r="G6" s="166" t="str">
        <f>IFERROR('tablas turistas por categorías '!H6/'tablas turistas por categorías '!H19-1,"-")</f>
        <v>-</v>
      </c>
      <c r="H6" s="166" t="str">
        <f>IFERROR('tablas turistas por categorías '!I6/'tablas turistas por categorías '!I19-1,"-")</f>
        <v>-</v>
      </c>
      <c r="I6" s="166" t="str">
        <f>IFERROR('tablas turistas por categorías '!J6/'tablas turistas por categorías '!J19-1,"-")</f>
        <v>-</v>
      </c>
    </row>
    <row r="7" spans="2:9" hidden="1">
      <c r="B7" s="51" t="s">
        <v>40</v>
      </c>
      <c r="C7" s="166" t="str">
        <f>IFERROR('tablas turistas por categorías '!D7/'tablas turistas por categorías '!D20-1,"-")</f>
        <v>-</v>
      </c>
      <c r="D7" s="166" t="str">
        <f>IFERROR('tablas turistas por categorías '!E7/'tablas turistas por categorías '!E20-1,"-")</f>
        <v>-</v>
      </c>
      <c r="E7" s="166" t="str">
        <f>IFERROR('tablas turistas por categorías '!F7/'tablas turistas por categorías '!F20-1,"-")</f>
        <v>-</v>
      </c>
      <c r="F7" s="166" t="str">
        <f>IFERROR('tablas turistas por categorías '!G7/'tablas turistas por categorías '!G20-1,"-")</f>
        <v>-</v>
      </c>
      <c r="G7" s="166" t="str">
        <f>IFERROR('tablas turistas por categorías '!H7/'tablas turistas por categorías '!H20-1,"-")</f>
        <v>-</v>
      </c>
      <c r="H7" s="166" t="str">
        <f>IFERROR('tablas turistas por categorías '!I7/'tablas turistas por categorías '!I20-1,"-")</f>
        <v>-</v>
      </c>
      <c r="I7" s="166" t="str">
        <f>IFERROR('tablas turistas por categorías '!J7/'tablas turistas por categorías '!J20-1,"-")</f>
        <v>-</v>
      </c>
    </row>
    <row r="8" spans="2:9" hidden="1">
      <c r="B8" s="51" t="s">
        <v>41</v>
      </c>
      <c r="C8" s="166" t="str">
        <f>IFERROR('tablas turistas por categorías '!D8/'tablas turistas por categorías '!D21-1,"-")</f>
        <v>-</v>
      </c>
      <c r="D8" s="166" t="str">
        <f>IFERROR('tablas turistas por categorías '!E8/'tablas turistas por categorías '!E21-1,"-")</f>
        <v>-</v>
      </c>
      <c r="E8" s="166" t="str">
        <f>IFERROR('tablas turistas por categorías '!F8/'tablas turistas por categorías '!F21-1,"-")</f>
        <v>-</v>
      </c>
      <c r="F8" s="166" t="str">
        <f>IFERROR('tablas turistas por categorías '!G8/'tablas turistas por categorías '!G21-1,"-")</f>
        <v>-</v>
      </c>
      <c r="G8" s="166" t="str">
        <f>IFERROR('tablas turistas por categorías '!H8/'tablas turistas por categorías '!H21-1,"-")</f>
        <v>-</v>
      </c>
      <c r="H8" s="166" t="str">
        <f>IFERROR('tablas turistas por categorías '!I8/'tablas turistas por categorías '!I21-1,"-")</f>
        <v>-</v>
      </c>
      <c r="I8" s="166" t="str">
        <f>IFERROR('tablas turistas por categorías '!J8/'tablas turistas por categorías '!J21-1,"-")</f>
        <v>-</v>
      </c>
    </row>
    <row r="9" spans="2:9" hidden="1">
      <c r="B9" s="51" t="s">
        <v>42</v>
      </c>
      <c r="C9" s="166" t="str">
        <f>IFERROR('tablas turistas por categorías '!D9/'tablas turistas por categorías '!D22-1,"-")</f>
        <v>-</v>
      </c>
      <c r="D9" s="166" t="str">
        <f>IFERROR('tablas turistas por categorías '!E9/'tablas turistas por categorías '!E22-1,"-")</f>
        <v>-</v>
      </c>
      <c r="E9" s="166" t="str">
        <f>IFERROR('tablas turistas por categorías '!F9/'tablas turistas por categorías '!F22-1,"-")</f>
        <v>-</v>
      </c>
      <c r="F9" s="166" t="str">
        <f>IFERROR('tablas turistas por categorías '!G9/'tablas turistas por categorías '!G22-1,"-")</f>
        <v>-</v>
      </c>
      <c r="G9" s="166" t="str">
        <f>IFERROR('tablas turistas por categorías '!H9/'tablas turistas por categorías '!H22-1,"-")</f>
        <v>-</v>
      </c>
      <c r="H9" s="166" t="str">
        <f>IFERROR('tablas turistas por categorías '!I9/'tablas turistas por categorías '!I22-1,"-")</f>
        <v>-</v>
      </c>
      <c r="I9" s="166" t="str">
        <f>IFERROR('tablas turistas por categorías '!J9/'tablas turistas por categorías '!J22-1,"-")</f>
        <v>-</v>
      </c>
    </row>
    <row r="10" spans="2:9">
      <c r="B10" s="51" t="s">
        <v>43</v>
      </c>
      <c r="C10" s="166">
        <f>IFERROR('tablas turistas por categorías '!D10/'tablas turistas por categorías '!D23-1,"-")</f>
        <v>-0.31393775372124488</v>
      </c>
      <c r="D10" s="166">
        <f>IFERROR('tablas turistas por categorías '!E10/'tablas turistas por categorías '!E23-1,"-")</f>
        <v>-5.9326563335114879E-2</v>
      </c>
      <c r="E10" s="166">
        <f>IFERROR('tablas turistas por categorías '!F10/'tablas turistas por categorías '!F23-1,"-")</f>
        <v>-0.12443693693693691</v>
      </c>
      <c r="F10" s="166">
        <f>IFERROR('tablas turistas por categorías '!G10/'tablas turistas por categorías '!G23-1,"-")</f>
        <v>-9.9299974073113861E-2</v>
      </c>
      <c r="G10" s="166">
        <f>IFERROR('tablas turistas por categorías '!H10/'tablas turistas por categorías '!H23-1,"-")</f>
        <v>-0.10756938603868793</v>
      </c>
      <c r="H10" s="166" t="str">
        <f>IFERROR('tablas turistas por categorías '!I10/'tablas turistas por categorías '!I23-1,"-")</f>
        <v>-</v>
      </c>
      <c r="I10" s="166">
        <f>IFERROR('tablas turistas por categorías '!J10/'tablas turistas por categorías '!J23-1,"-")</f>
        <v>-0.10756938603868793</v>
      </c>
    </row>
    <row r="11" spans="2:9">
      <c r="B11" s="51" t="s">
        <v>44</v>
      </c>
      <c r="C11" s="166">
        <f>IFERROR('tablas turistas por categorías '!D11/'tablas turistas por categorías '!D24-1,"-")</f>
        <v>-0.35776397515527947</v>
      </c>
      <c r="D11" s="166">
        <f>IFERROR('tablas turistas por categorías '!E11/'tablas turistas por categorías '!E24-1,"-")</f>
        <v>0.11454545454545451</v>
      </c>
      <c r="E11" s="166">
        <f>IFERROR('tablas turistas por categorías '!F11/'tablas turistas por categorías '!F24-1,"-")</f>
        <v>0.19757365684575401</v>
      </c>
      <c r="F11" s="166">
        <f>IFERROR('tablas turistas por categorías '!G11/'tablas turistas por categorías '!G24-1,"-")</f>
        <v>-0.19533779408590546</v>
      </c>
      <c r="G11" s="166">
        <f>IFERROR('tablas turistas por categorías '!H11/'tablas turistas por categorías '!H24-1,"-")</f>
        <v>-5.3333333333333011E-3</v>
      </c>
      <c r="H11" s="166" t="str">
        <f>IFERROR('tablas turistas por categorías '!I11/'tablas turistas por categorías '!I24-1,"-")</f>
        <v>-</v>
      </c>
      <c r="I11" s="166">
        <f>IFERROR('tablas turistas por categorías '!J11/'tablas turistas por categorías '!J24-1,"-")</f>
        <v>-5.3333333333333011E-3</v>
      </c>
    </row>
    <row r="12" spans="2:9">
      <c r="B12" s="51" t="s">
        <v>45</v>
      </c>
      <c r="C12" s="166">
        <f>IFERROR('tablas turistas por categorías '!D12/'tablas turistas por categorías '!D25-1,"-")</f>
        <v>-0.36374002280501705</v>
      </c>
      <c r="D12" s="166">
        <f>IFERROR('tablas turistas por categorías '!E12/'tablas turistas por categorías '!E25-1,"-")</f>
        <v>-3.3065658951346277E-2</v>
      </c>
      <c r="E12" s="166">
        <f>IFERROR('tablas turistas por categorías '!F12/'tablas turistas por categorías '!F25-1,"-")</f>
        <v>-2.6828650974436874E-2</v>
      </c>
      <c r="F12" s="166">
        <f>IFERROR('tablas turistas por categorías '!G12/'tablas turistas por categorías '!G25-1,"-")</f>
        <v>-0.11378059836808707</v>
      </c>
      <c r="G12" s="166">
        <f>IFERROR('tablas turistas por categorías '!H12/'tablas turistas por categorías '!H25-1,"-")</f>
        <v>-7.918955024491614E-2</v>
      </c>
      <c r="H12" s="166" t="str">
        <f>IFERROR('tablas turistas por categorías '!I12/'tablas turistas por categorías '!I25-1,"-")</f>
        <v>-</v>
      </c>
      <c r="I12" s="166">
        <f>IFERROR('tablas turistas por categorías '!J12/'tablas turistas por categorías '!J25-1,"-")</f>
        <v>-7.918955024491614E-2</v>
      </c>
    </row>
    <row r="13" spans="2:9">
      <c r="B13" s="51" t="s">
        <v>46</v>
      </c>
      <c r="C13" s="166">
        <f>IFERROR('tablas turistas por categorías '!D13/'tablas turistas por categorías '!D26-1,"-")</f>
        <v>-0.43358633776091082</v>
      </c>
      <c r="D13" s="166">
        <f>IFERROR('tablas turistas por categorías '!E13/'tablas turistas por categorías '!E26-1,"-")</f>
        <v>-8.799266727772681E-2</v>
      </c>
      <c r="E13" s="166">
        <f>IFERROR('tablas turistas por categorías '!F13/'tablas turistas por categorías '!F26-1,"-")</f>
        <v>4.0440165061898181E-2</v>
      </c>
      <c r="F13" s="166">
        <f>IFERROR('tablas turistas por categorías '!G13/'tablas turistas por categorías '!G26-1,"-")</f>
        <v>5.216095380029806E-2</v>
      </c>
      <c r="G13" s="166">
        <f>IFERROR('tablas turistas por categorías '!H13/'tablas turistas por categorías '!H26-1,"-")</f>
        <v>-3.7005887300252338E-2</v>
      </c>
      <c r="H13" s="166" t="str">
        <f>IFERROR('tablas turistas por categorías '!I13/'tablas turistas por categorías '!I26-1,"-")</f>
        <v>-</v>
      </c>
      <c r="I13" s="166">
        <f>IFERROR('tablas turistas por categorías '!J13/'tablas turistas por categorías '!J26-1,"-")</f>
        <v>-3.7005887300252338E-2</v>
      </c>
    </row>
    <row r="14" spans="2:9">
      <c r="B14" s="51" t="s">
        <v>47</v>
      </c>
      <c r="C14" s="166">
        <f>IFERROR('tablas turistas por categorías '!D14/'tablas turistas por categorías '!D27-1,"-")</f>
        <v>-0.22408963585434172</v>
      </c>
      <c r="D14" s="166">
        <f>IFERROR('tablas turistas por categorías '!E14/'tablas turistas por categorías '!E27-1,"-")</f>
        <v>-0.12454212454212454</v>
      </c>
      <c r="E14" s="166">
        <f>IFERROR('tablas turistas por categorías '!F14/'tablas turistas por categorías '!F27-1,"-")</f>
        <v>-6.9852104664391401E-2</v>
      </c>
      <c r="F14" s="166">
        <f>IFERROR('tablas turistas por categorías '!G14/'tablas turistas por categorías '!G27-1,"-")</f>
        <v>2.2799999999999931E-2</v>
      </c>
      <c r="G14" s="166">
        <f>IFERROR('tablas turistas por categorías '!H14/'tablas turistas por categorías '!H27-1,"-")</f>
        <v>-6.8932473008369022E-2</v>
      </c>
      <c r="H14" s="166" t="str">
        <f>IFERROR('tablas turistas por categorías '!I14/'tablas turistas por categorías '!I27-1,"-")</f>
        <v>-</v>
      </c>
      <c r="I14" s="166">
        <f>IFERROR('tablas turistas por categorías '!J14/'tablas turistas por categorías '!J27-1,"-")</f>
        <v>-6.8932473008369022E-2</v>
      </c>
    </row>
    <row r="15" spans="2:9">
      <c r="B15" s="51" t="s">
        <v>48</v>
      </c>
      <c r="C15" s="166">
        <f>IFERROR('tablas turistas por categorías '!D15/'tablas turistas por categorías '!D28-1,"-")</f>
        <v>-5.3665910808767925E-2</v>
      </c>
      <c r="D15" s="166">
        <f>IFERROR('tablas turistas por categorías '!E15/'tablas turistas por categorías '!E28-1,"-")</f>
        <v>0.14377682403433467</v>
      </c>
      <c r="E15" s="166">
        <f>IFERROR('tablas turistas por categorías '!F15/'tablas turistas por categorías '!F28-1,"-")</f>
        <v>0.17955239064089512</v>
      </c>
      <c r="F15" s="166">
        <f>IFERROR('tablas turistas por categorías '!G15/'tablas turistas por categorías '!G28-1,"-")</f>
        <v>5.3642762031576918E-2</v>
      </c>
      <c r="G15" s="166">
        <f>IFERROR('tablas turistas por categorías '!H15/'tablas turistas por categorías '!H28-1,"-")</f>
        <v>0.10460058001581851</v>
      </c>
      <c r="H15" s="166" t="str">
        <f>IFERROR('tablas turistas por categorías '!I15/'tablas turistas por categorías '!I28-1,"-")</f>
        <v>-</v>
      </c>
      <c r="I15" s="166">
        <f>IFERROR('tablas turistas por categorías '!J15/'tablas turistas por categorías '!J28-1,"-")</f>
        <v>0.10460058001581851</v>
      </c>
    </row>
    <row r="16" spans="2:9">
      <c r="B16" s="51" t="s">
        <v>49</v>
      </c>
      <c r="C16" s="166">
        <f>IFERROR('tablas turistas por categorías '!D16/'tablas turistas por categorías '!D29-1,"-")</f>
        <v>-0.33783783783783783</v>
      </c>
      <c r="D16" s="166">
        <f>IFERROR('tablas turistas por categorías '!E16/'tablas turistas por categorías '!E29-1,"-")</f>
        <v>7.6808721506442801E-3</v>
      </c>
      <c r="E16" s="166">
        <f>IFERROR('tablas turistas por categorías '!F16/'tablas turistas por categorías '!F29-1,"-")</f>
        <v>0.12976457399103136</v>
      </c>
      <c r="F16" s="166">
        <f>IFERROR('tablas turistas por categorías '!G16/'tablas turistas por categorías '!G29-1,"-")</f>
        <v>-0.10669371196754562</v>
      </c>
      <c r="G16" s="166">
        <f>IFERROR('tablas turistas por categorías '!H16/'tablas turistas por categorías '!H29-1,"-")</f>
        <v>-2.8150331613854052E-2</v>
      </c>
      <c r="H16" s="166" t="str">
        <f>IFERROR('tablas turistas por categorías '!I16/'tablas turistas por categorías '!I29-1,"-")</f>
        <v>-</v>
      </c>
      <c r="I16" s="166">
        <f>IFERROR('tablas turistas por categorías '!J16/'tablas turistas por categorías '!J29-1,"-")</f>
        <v>-2.8150331613854052E-2</v>
      </c>
    </row>
    <row r="17" spans="2:9" ht="30">
      <c r="B17" s="140" t="s">
        <v>55</v>
      </c>
      <c r="C17" s="167">
        <f>IFERROR(('tablas turistas por categorías '!D14+'tablas turistas por categorías '!D15+'tablas turistas por categorías '!D16+'tablas turistas por categorías '!D13+'tablas turistas por categorías '!D12+'tablas turistas por categorías '!D11+'tablas turistas por categorías '!D10)/('tablas turistas por categorías '!D27+'tablas turistas por categorías '!D28+'tablas turistas por categorías '!D29+'tablas turistas por categorías '!D26+'tablas turistas por categorías '!D25+'tablas turistas por categorías '!D24+'tablas turistas por categorías '!D23)-1,"-")</f>
        <v>-0.28341781317885595</v>
      </c>
      <c r="D17" s="167">
        <f>IFERROR(('tablas turistas por categorías '!E14+'tablas turistas por categorías '!E15+'tablas turistas por categorías '!E16+'tablas turistas por categorías '!E13+'tablas turistas por categorías '!E12+'tablas turistas por categorías '!E11+'tablas turistas por categorías '!E10)/('tablas turistas por categorías '!E27+'tablas turistas por categorías '!E28+'tablas turistas por categorías '!E29+'tablas turistas por categorías '!E26+'tablas turistas por categorías '!E25+'tablas turistas por categorías '!E24+'tablas turistas por categorías '!E23)-1,"-")</f>
        <v>-8.3131047783726597E-3</v>
      </c>
      <c r="E17" s="167">
        <f>IFERROR(('tablas turistas por categorías '!F14+'tablas turistas por categorías '!F15+'tablas turistas por categorías '!F16+'tablas turistas por categorías '!F13+'tablas turistas por categorías '!F12+'tablas turistas por categorías '!F11+'tablas turistas por categorías '!F10)/('tablas turistas por categorías '!F27+'tablas turistas por categorías '!F28+'tablas turistas por categorías '!F29+'tablas turistas por categorías '!F26+'tablas turistas por categorías '!F25+'tablas turistas por categorías '!F24+'tablas turistas por categorías '!F23)-1,"-")</f>
        <v>4.3215701075674628E-2</v>
      </c>
      <c r="F17" s="167">
        <f>IFERROR(('tablas turistas por categorías '!G14+'tablas turistas por categorías '!G15+'tablas turistas por categorías '!G16+'tablas turistas por categorías '!G13+'tablas turistas por categorías '!G12+'tablas turistas por categorías '!G11+'tablas turistas por categorías '!G10)/('tablas turistas por categorías '!G27+'tablas turistas por categorías '!G28+'tablas turistas por categorías '!G29+'tablas turistas por categorías '!G26+'tablas turistas por categorías '!G25+'tablas turistas por categorías '!G24+'tablas turistas por categorías '!G23)-1,"-")</f>
        <v>-5.3246146660439031E-2</v>
      </c>
      <c r="G17" s="167">
        <f>IFERROR(('tablas turistas por categorías '!H14+'tablas turistas por categorías '!H15+'tablas turistas por categorías '!H16+'tablas turistas por categorías '!H13+'tablas turistas por categorías '!H12+'tablas turistas por categorías '!H11+'tablas turistas por categorías '!H10)/('tablas turistas por categorías '!H27+'tablas turistas por categorías '!H28+'tablas turistas por categorías '!H29+'tablas turistas por categorías '!H26+'tablas turistas por categorías '!H25+'tablas turistas por categorías '!H24+'tablas turistas por categorías '!H23)-1,"-")</f>
        <v>-2.8999455998660939E-2</v>
      </c>
      <c r="H17" s="167" t="str">
        <f>IFERROR(('tablas turistas por categorías '!I14+'tablas turistas por categorías '!I15+'tablas turistas por categorías '!I16+'tablas turistas por categorías '!I13+'tablas turistas por categorías '!I12+'tablas turistas por categorías '!I11+'tablas turistas por categorías '!I10)/('tablas turistas por categorías '!I27+'tablas turistas por categorías '!I28+'tablas turistas por categorías '!I29+'tablas turistas por categorías '!I26+'tablas turistas por categorías '!I25+'tablas turistas por categorías '!I24+'tablas turistas por categorías '!I23)-1,"-")</f>
        <v>-</v>
      </c>
      <c r="I17" s="167">
        <f>IFERROR(('tablas turistas por categorías '!J14+'tablas turistas por categorías '!J15+'tablas turistas por categorías '!J16+'tablas turistas por categorías '!J13+'tablas turistas por categorías '!J12+'tablas turistas por categorías '!J11+'tablas turistas por categorías '!J10)/('tablas turistas por categorías '!J27+'tablas turistas por categorías '!J28+'tablas turistas por categorías '!J29+'tablas turistas por categorías '!J26+'tablas turistas por categorías '!J25+'tablas turistas por categorías '!J24+'tablas turistas por categorías '!J23)-1,"-")</f>
        <v>-2.8999455998660939E-2</v>
      </c>
    </row>
    <row r="18" spans="2:9" hidden="1" outlineLevel="1">
      <c r="B18" s="51" t="s">
        <v>38</v>
      </c>
      <c r="C18" s="166">
        <f>IFERROR('tablas turistas por categorías '!D18/'tablas turistas por categorías '!D31-1,"-")</f>
        <v>-0.53191489361702127</v>
      </c>
      <c r="D18" s="166">
        <f>IFERROR('tablas turistas por categorías '!E18/'tablas turistas por categorías '!E31-1,"-")</f>
        <v>-0.20257611241217799</v>
      </c>
      <c r="E18" s="166">
        <f>IFERROR('tablas turistas por categorías '!F18/'tablas turistas por categorías '!F31-1,"-")</f>
        <v>5.2846635794061569E-2</v>
      </c>
      <c r="F18" s="166">
        <f>IFERROR('tablas turistas por categorías '!G18/'tablas turistas por categorías '!G31-1,"-")</f>
        <v>-0.23565017741598826</v>
      </c>
      <c r="G18" s="166">
        <f>IFERROR('tablas turistas por categorías '!H18/'tablas turistas por categorías '!H31-1,"-")</f>
        <v>-0.18881725762459711</v>
      </c>
      <c r="H18" s="166" t="str">
        <f>IFERROR('tablas turistas por categorías '!I18/'tablas turistas por categorías '!I31-1,"-")</f>
        <v>-</v>
      </c>
      <c r="I18" s="166">
        <f>IFERROR('tablas turistas por categorías '!J18/'tablas turistas por categorías '!J31-1,"-")</f>
        <v>-0.18881725762459711</v>
      </c>
    </row>
    <row r="19" spans="2:9" hidden="1" outlineLevel="1">
      <c r="B19" s="51" t="s">
        <v>39</v>
      </c>
      <c r="C19" s="166">
        <f>IFERROR('tablas turistas por categorías '!D19/'tablas turistas por categorías '!D32-1,"-")</f>
        <v>-0.50863723608445299</v>
      </c>
      <c r="D19" s="166">
        <f>IFERROR('tablas turistas por categorías '!E19/'tablas turistas por categorías '!E32-1,"-")</f>
        <v>-0.2942843646669816</v>
      </c>
      <c r="E19" s="166">
        <f>IFERROR('tablas turistas por categorías '!F19/'tablas turistas por categorías '!F32-1,"-")</f>
        <v>9.8153774246318992E-3</v>
      </c>
      <c r="F19" s="166">
        <f>IFERROR('tablas turistas por categorías '!G19/'tablas turistas por categorías '!G32-1,"-")</f>
        <v>-0.21787610619469022</v>
      </c>
      <c r="G19" s="166">
        <f>IFERROR('tablas turistas por categorías '!H19/'tablas turistas por categorías '!H32-1,"-")</f>
        <v>-0.21593902370677576</v>
      </c>
      <c r="H19" s="166" t="str">
        <f>IFERROR('tablas turistas por categorías '!I19/'tablas turistas por categorías '!I32-1,"-")</f>
        <v>-</v>
      </c>
      <c r="I19" s="166">
        <f>IFERROR('tablas turistas por categorías '!J19/'tablas turistas por categorías '!J32-1,"-")</f>
        <v>-0.21593902370677576</v>
      </c>
    </row>
    <row r="20" spans="2:9" hidden="1" outlineLevel="1">
      <c r="B20" s="51" t="s">
        <v>40</v>
      </c>
      <c r="C20" s="166">
        <f>IFERROR('tablas turistas por categorías '!D20/'tablas turistas por categorías '!D33-1,"-")</f>
        <v>-0.64738598442714124</v>
      </c>
      <c r="D20" s="166">
        <f>IFERROR('tablas turistas por categorías '!E20/'tablas turistas por categorías '!E33-1,"-")</f>
        <v>-0.43488338403592641</v>
      </c>
      <c r="E20" s="166">
        <f>IFERROR('tablas turistas por categorías '!F20/'tablas turistas por categorías '!F33-1,"-")</f>
        <v>-0.11883802816901412</v>
      </c>
      <c r="F20" s="166">
        <f>IFERROR('tablas turistas por categorías '!G20/'tablas turistas por categorías '!G33-1,"-")</f>
        <v>-0.21809192455594217</v>
      </c>
      <c r="G20" s="166">
        <f>IFERROR('tablas turistas por categorías '!H20/'tablas turistas por categorías '!H33-1,"-")</f>
        <v>-0.31524644499091203</v>
      </c>
      <c r="H20" s="166" t="str">
        <f>IFERROR('tablas turistas por categorías '!I20/'tablas turistas por categorías '!I33-1,"-")</f>
        <v>-</v>
      </c>
      <c r="I20" s="166">
        <f>IFERROR('tablas turistas por categorías '!J20/'tablas turistas por categorías '!J33-1,"-")</f>
        <v>-0.31524644499091203</v>
      </c>
    </row>
    <row r="21" spans="2:9" hidden="1" outlineLevel="1">
      <c r="B21" s="51" t="s">
        <v>41</v>
      </c>
      <c r="C21" s="166">
        <f>IFERROR('tablas turistas por categorías '!D21/'tablas turistas por categorías '!D34-1,"-")</f>
        <v>-0.5304223335719398</v>
      </c>
      <c r="D21" s="166">
        <f>IFERROR('tablas turistas por categorías '!E21/'tablas turistas por categorías '!E34-1,"-")</f>
        <v>-0.3973298232418202</v>
      </c>
      <c r="E21" s="166">
        <f>IFERROR('tablas turistas por categorías '!F21/'tablas turistas por categorías '!F34-1,"-")</f>
        <v>-0.12743362831858407</v>
      </c>
      <c r="F21" s="166">
        <f>IFERROR('tablas turistas por categorías '!G21/'tablas turistas por categorías '!G34-1,"-")</f>
        <v>-0.14628136200716846</v>
      </c>
      <c r="G21" s="166">
        <f>IFERROR('tablas turistas por categorías '!H21/'tablas turistas por categorías '!H34-1,"-")</f>
        <v>-0.2650323774283071</v>
      </c>
      <c r="H21" s="166" t="str">
        <f>IFERROR('tablas turistas por categorías '!I21/'tablas turistas por categorías '!I34-1,"-")</f>
        <v>-</v>
      </c>
      <c r="I21" s="166">
        <f>IFERROR('tablas turistas por categorías '!J21/'tablas turistas por categorías '!J34-1,"-")</f>
        <v>-0.2650323774283071</v>
      </c>
    </row>
    <row r="22" spans="2:9" hidden="1" outlineLevel="1">
      <c r="B22" s="51" t="s">
        <v>42</v>
      </c>
      <c r="C22" s="166">
        <f>IFERROR('tablas turistas por categorías '!D22/'tablas turistas por categorías '!D35-1,"-")</f>
        <v>-0.54815974941268597</v>
      </c>
      <c r="D22" s="166">
        <f>IFERROR('tablas turistas por categorías '!E22/'tablas turistas por categorías '!E35-1,"-")</f>
        <v>-0.33360700602079918</v>
      </c>
      <c r="E22" s="166">
        <f>IFERROR('tablas turistas por categorías '!F22/'tablas turistas por categorías '!F35-1,"-")</f>
        <v>-0.22319327731092442</v>
      </c>
      <c r="F22" s="166">
        <f>IFERROR('tablas turistas por categorías '!G22/'tablas turistas por categorías '!G35-1,"-")</f>
        <v>-0.44252612448886874</v>
      </c>
      <c r="G22" s="166">
        <f>IFERROR('tablas turistas por categorías '!H22/'tablas turistas por categorías '!H35-1,"-")</f>
        <v>-0.36813454663633405</v>
      </c>
      <c r="H22" s="166" t="str">
        <f>IFERROR('tablas turistas por categorías '!I22/'tablas turistas por categorías '!I35-1,"-")</f>
        <v>-</v>
      </c>
      <c r="I22" s="166">
        <f>IFERROR('tablas turistas por categorías '!J22/'tablas turistas por categorías '!J35-1,"-")</f>
        <v>-0.36813454663633405</v>
      </c>
    </row>
    <row r="23" spans="2:9" hidden="1" outlineLevel="1">
      <c r="B23" s="51" t="s">
        <v>43</v>
      </c>
      <c r="C23" s="166">
        <f>IFERROR('tablas turistas por categorías '!D23/'tablas turistas por categorías '!D36-1,"-")</f>
        <v>-0.3683760683760684</v>
      </c>
      <c r="D23" s="166">
        <f>IFERROR('tablas turistas por categorías '!E23/'tablas turistas por categorías '!E36-1,"-")</f>
        <v>-0.37319932998324956</v>
      </c>
      <c r="E23" s="166">
        <f>IFERROR('tablas turistas por categorías '!F23/'tablas turistas por categorías '!F36-1,"-")</f>
        <v>-1.442841287458374E-2</v>
      </c>
      <c r="F23" s="166">
        <f>IFERROR('tablas turistas por categorías '!G23/'tablas turistas por categorías '!G36-1,"-")</f>
        <v>-0.31038798498122655</v>
      </c>
      <c r="G23" s="166">
        <f>IFERROR('tablas turistas por categorías '!H23/'tablas turistas por categorías '!H36-1,"-")</f>
        <v>-0.27220419905735449</v>
      </c>
      <c r="H23" s="166" t="str">
        <f>IFERROR('tablas turistas por categorías '!I23/'tablas turistas por categorías '!I36-1,"-")</f>
        <v>-</v>
      </c>
      <c r="I23" s="166">
        <f>IFERROR('tablas turistas por categorías '!J23/'tablas turistas por categorías '!J36-1,"-")</f>
        <v>-0.27220419905735449</v>
      </c>
    </row>
    <row r="24" spans="2:9" hidden="1" outlineLevel="1">
      <c r="B24" s="51" t="s">
        <v>44</v>
      </c>
      <c r="C24" s="166">
        <f>IFERROR('tablas turistas por categorías '!D24/'tablas turistas por categorías '!D37-1,"-")</f>
        <v>-0.25874769797421726</v>
      </c>
      <c r="D24" s="166">
        <f>IFERROR('tablas turistas por categorías '!E24/'tablas turistas por categorías '!E37-1,"-")</f>
        <v>-0.32609837213373005</v>
      </c>
      <c r="E24" s="166">
        <f>IFERROR('tablas turistas por categorías '!F24/'tablas turistas por categorías '!F37-1,"-")</f>
        <v>-3.1066330814441656E-2</v>
      </c>
      <c r="F24" s="166">
        <f>IFERROR('tablas turistas por categorías '!G24/'tablas turistas por categorías '!G37-1,"-")</f>
        <v>-8.5832675611681175E-2</v>
      </c>
      <c r="G24" s="166">
        <f>IFERROR('tablas turistas por categorías '!H24/'tablas turistas por categorías '!H37-1,"-")</f>
        <v>-0.17422279792746109</v>
      </c>
      <c r="H24" s="166" t="str">
        <f>IFERROR('tablas turistas por categorías '!I24/'tablas turistas por categorías '!I37-1,"-")</f>
        <v>-</v>
      </c>
      <c r="I24" s="166">
        <f>IFERROR('tablas turistas por categorías '!J24/'tablas turistas por categorías '!J37-1,"-")</f>
        <v>-0.17422279792746109</v>
      </c>
    </row>
    <row r="25" spans="2:9" hidden="1" outlineLevel="1">
      <c r="B25" s="51" t="s">
        <v>45</v>
      </c>
      <c r="C25" s="166">
        <f>IFERROR('tablas turistas por categorías '!D25/'tablas turistas por categorías '!D38-1,"-")</f>
        <v>-0.36403190717911527</v>
      </c>
      <c r="D25" s="166">
        <f>IFERROR('tablas turistas por categorías '!E25/'tablas turistas por categorías '!E38-1,"-")</f>
        <v>-0.34121674187023499</v>
      </c>
      <c r="E25" s="166">
        <f>IFERROR('tablas turistas por categorías '!F25/'tablas turistas por categorías '!F38-1,"-")</f>
        <v>4.2480211081794117E-2</v>
      </c>
      <c r="F25" s="166">
        <f>IFERROR('tablas turistas por categorías '!G25/'tablas turistas por categorías '!G38-1,"-")</f>
        <v>-0.24464988871768534</v>
      </c>
      <c r="G25" s="166">
        <f>IFERROR('tablas turistas por categorías '!H25/'tablas turistas por categorías '!H38-1,"-")</f>
        <v>-0.22727533405975797</v>
      </c>
      <c r="H25" s="166" t="str">
        <f>IFERROR('tablas turistas por categorías '!I25/'tablas turistas por categorías '!I38-1,"-")</f>
        <v>-</v>
      </c>
      <c r="I25" s="166">
        <f>IFERROR('tablas turistas por categorías '!J25/'tablas turistas por categorías '!J38-1,"-")</f>
        <v>-0.22727533405975797</v>
      </c>
    </row>
    <row r="26" spans="2:9" hidden="1" outlineLevel="1">
      <c r="B26" s="51" t="s">
        <v>46</v>
      </c>
      <c r="C26" s="166">
        <f>IFERROR('tablas turistas por categorías '!D26/'tablas turistas por categorías '!D39-1,"-")</f>
        <v>-0.23678493845039827</v>
      </c>
      <c r="D26" s="166">
        <f>IFERROR('tablas turistas por categorías '!E26/'tablas turistas por categorías '!E39-1,"-")</f>
        <v>-0.33384216150206081</v>
      </c>
      <c r="E26" s="166">
        <f>IFERROR('tablas turistas por categorías '!F26/'tablas turistas por categorías '!F39-1,"-")</f>
        <v>-0.12493981704381318</v>
      </c>
      <c r="F26" s="166">
        <f>IFERROR('tablas turistas por categorías '!G26/'tablas turistas por categorías '!G39-1,"-")</f>
        <v>-0.26893045215180678</v>
      </c>
      <c r="G26" s="166">
        <f>IFERROR('tablas turistas por categorías '!H26/'tablas turistas por categorías '!H39-1,"-")</f>
        <v>-0.25657932132097994</v>
      </c>
      <c r="H26" s="166" t="str">
        <f>IFERROR('tablas turistas por categorías '!I26/'tablas turistas por categorías '!I39-1,"-")</f>
        <v>-</v>
      </c>
      <c r="I26" s="166">
        <f>IFERROR('tablas turistas por categorías '!J26/'tablas turistas por categorías '!J39-1,"-")</f>
        <v>-0.25657932132097994</v>
      </c>
    </row>
    <row r="27" spans="2:9" hidden="1" outlineLevel="1">
      <c r="B27" s="51" t="s">
        <v>47</v>
      </c>
      <c r="C27" s="166">
        <f>IFERROR('tablas turistas por categorías '!D27/'tablas turistas por categorías '!D40-1,"-")</f>
        <v>-0.2831325301204819</v>
      </c>
      <c r="D27" s="166">
        <f>IFERROR('tablas turistas por categorías '!E27/'tablas turistas por categorías '!E40-1,"-")</f>
        <v>-0.17272727272727273</v>
      </c>
      <c r="E27" s="166">
        <f>IFERROR('tablas turistas por categorías '!F27/'tablas turistas por categorías '!F40-1,"-")</f>
        <v>0.12808008213552369</v>
      </c>
      <c r="F27" s="166">
        <f>IFERROR('tablas turistas por categorías '!G27/'tablas turistas por categorías '!G40-1,"-")</f>
        <v>2.2285831118380672E-2</v>
      </c>
      <c r="G27" s="166">
        <f>IFERROR('tablas turistas por categorías '!H27/'tablas turistas por categorías '!H40-1,"-")</f>
        <v>-5.4256540390308694E-2</v>
      </c>
      <c r="H27" s="166" t="str">
        <f>IFERROR('tablas turistas por categorías '!I27/'tablas turistas por categorías '!I40-1,"-")</f>
        <v>-</v>
      </c>
      <c r="I27" s="166">
        <f>IFERROR('tablas turistas por categorías '!J27/'tablas turistas por categorías '!J40-1,"-")</f>
        <v>-5.4256540390308694E-2</v>
      </c>
    </row>
    <row r="28" spans="2:9" hidden="1" outlineLevel="1">
      <c r="B28" s="51" t="s">
        <v>48</v>
      </c>
      <c r="C28" s="166">
        <f>IFERROR('tablas turistas por categorías '!D28/'tablas turistas por categorías '!D41-1,"-")</f>
        <v>-0.21343638525564801</v>
      </c>
      <c r="D28" s="166">
        <f>IFERROR('tablas turistas por categorías '!E28/'tablas turistas por categorías '!E41-1,"-")</f>
        <v>-0.35865675750068815</v>
      </c>
      <c r="E28" s="166">
        <f>IFERROR('tablas turistas por categorías '!F28/'tablas turistas por categorías '!F41-1,"-")</f>
        <v>-7.4823529411764733E-2</v>
      </c>
      <c r="F28" s="166">
        <f>IFERROR('tablas turistas por categorías '!G28/'tablas turistas por categorías '!G41-1,"-")</f>
        <v>-0.14617508526879974</v>
      </c>
      <c r="G28" s="166">
        <f>IFERROR('tablas turistas por categorías '!H28/'tablas turistas por categorías '!H41-1,"-")</f>
        <v>-0.21611986566778607</v>
      </c>
      <c r="H28" s="166" t="str">
        <f>IFERROR('tablas turistas por categorías '!I28/'tablas turistas por categorías '!I41-1,"-")</f>
        <v>-</v>
      </c>
      <c r="I28" s="166">
        <f>IFERROR('tablas turistas por categorías '!J28/'tablas turistas por categorías '!J41-1,"-")</f>
        <v>-0.21611986566778607</v>
      </c>
    </row>
    <row r="29" spans="2:9" hidden="1" outlineLevel="1">
      <c r="B29" s="51" t="s">
        <v>49</v>
      </c>
      <c r="C29" s="166">
        <f>IFERROR('tablas turistas por categorías '!D29/'tablas turistas por categorías '!D42-1,"-")</f>
        <v>-0.29857819905213268</v>
      </c>
      <c r="D29" s="166">
        <f>IFERROR('tablas turistas por categorías '!E29/'tablas turistas por categorías '!E42-1,"-")</f>
        <v>-0.35049887351142583</v>
      </c>
      <c r="E29" s="166">
        <f>IFERROR('tablas turistas por categorías '!F29/'tablas turistas por categorías '!F42-1,"-")</f>
        <v>-7.660455486542439E-2</v>
      </c>
      <c r="F29" s="166">
        <f>IFERROR('tablas turistas por categorías '!G29/'tablas turistas por categorías '!G42-1,"-")</f>
        <v>-9.1579141330385139E-2</v>
      </c>
      <c r="G29" s="166">
        <f>IFERROR('tablas turistas por categorías '!H29/'tablas turistas por categorías '!H42-1,"-")</f>
        <v>-0.20091861971499236</v>
      </c>
      <c r="H29" s="166" t="str">
        <f>IFERROR('tablas turistas por categorías '!I29/'tablas turistas por categorías '!I42-1,"-")</f>
        <v>-</v>
      </c>
      <c r="I29" s="166">
        <f>IFERROR('tablas turistas por categorías '!J29/'tablas turistas por categorías '!J42-1,"-")</f>
        <v>-0.20091861971499236</v>
      </c>
    </row>
    <row r="30" spans="2:9" collapsed="1">
      <c r="B30" s="163">
        <v>2009</v>
      </c>
      <c r="C30" s="168">
        <f>IFERROR('tablas turistas por categorías '!D30/'tablas turistas por categorías '!D43-1,"-")</f>
        <v>-0.40607036100252936</v>
      </c>
      <c r="D30" s="168">
        <f>IFERROR('tablas turistas por categorías '!E30/'tablas turistas por categorías '!E43-1,"-")</f>
        <v>-0.32709495283343659</v>
      </c>
      <c r="E30" s="168">
        <f>IFERROR('tablas turistas por categorías '!F30/'tablas turistas por categorías '!F43-1,"-")</f>
        <v>-4.5279776608312727E-2</v>
      </c>
      <c r="F30" s="168">
        <f>IFERROR('tablas turistas por categorías '!G30/'tablas turistas por categorías '!G43-1,"-")</f>
        <v>-0.19795421488648579</v>
      </c>
      <c r="G30" s="168">
        <f>IFERROR('tablas turistas por categorías '!H30/'tablas turistas por categorías '!H43-1,"-")</f>
        <v>-0.22743196308640867</v>
      </c>
      <c r="H30" s="168" t="str">
        <f>IFERROR('tablas turistas por categorías '!I30/'tablas turistas por categorías '!I43-1,"-")</f>
        <v>-</v>
      </c>
      <c r="I30" s="168">
        <f>IFERROR('tablas turistas por categorías '!J30/'tablas turistas por categorías '!J43-1,"-")</f>
        <v>-0.22743196308640867</v>
      </c>
    </row>
    <row r="31" spans="2:9" hidden="1" outlineLevel="1">
      <c r="B31" s="51" t="s">
        <v>38</v>
      </c>
      <c r="C31" s="166">
        <f>IFERROR('tablas turistas por categorías '!D31/'tablas turistas por categorías '!D44-1,"-")</f>
        <v>6.2814070351758788E-2</v>
      </c>
      <c r="D31" s="166">
        <f>IFERROR('tablas turistas por categorías '!E31/'tablas turistas por categorías '!E44-1,"-")</f>
        <v>-0.10522376889687168</v>
      </c>
      <c r="E31" s="166">
        <f>IFERROR('tablas turistas por categorías '!F31/'tablas turistas por categorías '!F44-1,"-")</f>
        <v>-0.14983788791106989</v>
      </c>
      <c r="F31" s="166">
        <f>IFERROR('tablas turistas por categorías '!G31/'tablas turistas por categorías '!G44-1,"-")</f>
        <v>0.1134092493609109</v>
      </c>
      <c r="G31" s="166">
        <f>IFERROR('tablas turistas por categorías '!H31/'tablas turistas por categorías '!H44-1,"-")</f>
        <v>-4.5104770924588644E-2</v>
      </c>
      <c r="H31" s="166" t="str">
        <f>IFERROR('tablas turistas por categorías '!I31/'tablas turistas por categorías '!I44-1,"-")</f>
        <v>-</v>
      </c>
      <c r="I31" s="166">
        <f>IFERROR('tablas turistas por categorías '!J31/'tablas turistas por categorías '!J44-1,"-")</f>
        <v>-4.5104770924588644E-2</v>
      </c>
    </row>
    <row r="32" spans="2:9" hidden="1" outlineLevel="1">
      <c r="B32" s="51" t="s">
        <v>39</v>
      </c>
      <c r="C32" s="166">
        <f>IFERROR('tablas turistas por categorías '!D32/'tablas turistas por categorías '!D45-1,"-")</f>
        <v>-3.8153846153846205E-2</v>
      </c>
      <c r="D32" s="166">
        <f>IFERROR('tablas turistas por categorías '!E32/'tablas turistas por categorías '!E45-1,"-")</f>
        <v>-0.14024637877352109</v>
      </c>
      <c r="E32" s="166">
        <f>IFERROR('tablas turistas por categorías '!F32/'tablas turistas por categorías '!F45-1,"-")</f>
        <v>-0.17932489451476796</v>
      </c>
      <c r="F32" s="166">
        <f>IFERROR('tablas turistas por categorías '!G32/'tablas turistas por categorías '!G45-1,"-")</f>
        <v>0.2064915652359598</v>
      </c>
      <c r="G32" s="166">
        <f>IFERROR('tablas turistas por categorías '!H32/'tablas turistas por categorías '!H45-1,"-")</f>
        <v>-5.6375271034956875E-2</v>
      </c>
      <c r="H32" s="166" t="str">
        <f>IFERROR('tablas turistas por categorías '!I32/'tablas turistas por categorías '!I45-1,"-")</f>
        <v>-</v>
      </c>
      <c r="I32" s="166">
        <f>IFERROR('tablas turistas por categorías '!J32/'tablas turistas por categorías '!J45-1,"-")</f>
        <v>-5.6375271034956875E-2</v>
      </c>
    </row>
    <row r="33" spans="2:9" hidden="1" outlineLevel="1">
      <c r="B33" s="51" t="s">
        <v>40</v>
      </c>
      <c r="C33" s="166">
        <f>IFERROR('tablas turistas por categorías '!D33/'tablas turistas por categorías '!D46-1,"-")</f>
        <v>0.17824377457404972</v>
      </c>
      <c r="D33" s="166">
        <f>IFERROR('tablas turistas por categorías '!E33/'tablas turistas por categorías '!E46-1,"-")</f>
        <v>9.8010532475132361E-3</v>
      </c>
      <c r="E33" s="166">
        <f>IFERROR('tablas turistas por categorías '!F33/'tablas turistas por categorías '!F46-1,"-")</f>
        <v>-4.2965459140690831E-2</v>
      </c>
      <c r="F33" s="166">
        <f>IFERROR('tablas turistas por categorías '!G33/'tablas turistas por categorías '!G46-1,"-")</f>
        <v>0.28918791312559011</v>
      </c>
      <c r="G33" s="166">
        <f>IFERROR('tablas turistas por categorías '!H33/'tablas turistas por categorías '!H46-1,"-")</f>
        <v>7.8404243053153522E-2</v>
      </c>
      <c r="H33" s="166" t="str">
        <f>IFERROR('tablas turistas por categorías '!I33/'tablas turistas por categorías '!I46-1,"-")</f>
        <v>-</v>
      </c>
      <c r="I33" s="166">
        <f>IFERROR('tablas turistas por categorías '!J33/'tablas turistas por categorías '!J46-1,"-")</f>
        <v>7.8404243053153522E-2</v>
      </c>
    </row>
    <row r="34" spans="2:9" hidden="1" outlineLevel="1">
      <c r="B34" s="51" t="s">
        <v>41</v>
      </c>
      <c r="C34" s="166">
        <f>IFERROR('tablas turistas por categorías '!D34/'tablas turistas por categorías '!D47-1,"-")</f>
        <v>4.8798798798798781E-2</v>
      </c>
      <c r="D34" s="166">
        <f>IFERROR('tablas turistas por categorías '!E34/'tablas turistas por categorías '!E47-1,"-")</f>
        <v>-5.5081734186211762E-2</v>
      </c>
      <c r="E34" s="166">
        <f>IFERROR('tablas turistas por categorías '!F34/'tablas turistas por categorías '!F47-1,"-")</f>
        <v>5.0464807436918946E-2</v>
      </c>
      <c r="F34" s="166">
        <f>IFERROR('tablas turistas por categorías '!G34/'tablas turistas por categorías '!G47-1,"-")</f>
        <v>0.33652694610778444</v>
      </c>
      <c r="G34" s="166">
        <f>IFERROR('tablas turistas por categorías '!H34/'tablas turistas por categorías '!H47-1,"-")</f>
        <v>7.6004265908282909E-2</v>
      </c>
      <c r="H34" s="166" t="str">
        <f>IFERROR('tablas turistas por categorías '!I34/'tablas turistas por categorías '!I47-1,"-")</f>
        <v>-</v>
      </c>
      <c r="I34" s="166">
        <f>IFERROR('tablas turistas por categorías '!J34/'tablas turistas por categorías '!J47-1,"-")</f>
        <v>7.6004265908282909E-2</v>
      </c>
    </row>
    <row r="35" spans="2:9" hidden="1" outlineLevel="1">
      <c r="B35" s="51" t="s">
        <v>42</v>
      </c>
      <c r="C35" s="166">
        <f>IFERROR('tablas turistas por categorías '!D35/'tablas turistas por categorías '!D48-1,"-")</f>
        <v>1.8341307814992103E-2</v>
      </c>
      <c r="D35" s="166">
        <f>IFERROR('tablas turistas por categorías '!E35/'tablas turistas por categorías '!E48-1,"-")</f>
        <v>9.139784946236551E-2</v>
      </c>
      <c r="E35" s="166">
        <f>IFERROR('tablas turistas por categorías '!F35/'tablas turistas por categorías '!F48-1,"-")</f>
        <v>5.2352316943756527E-2</v>
      </c>
      <c r="F35" s="166">
        <f>IFERROR('tablas turistas por categorías '!G35/'tablas turistas por categorías '!G48-1,"-")</f>
        <v>0.73443656422379822</v>
      </c>
      <c r="G35" s="166">
        <f>IFERROR('tablas turistas por categorías '!H35/'tablas turistas por categorías '!H48-1,"-")</f>
        <v>0.23487508778970612</v>
      </c>
      <c r="H35" s="166" t="str">
        <f>IFERROR('tablas turistas por categorías '!I35/'tablas turistas por categorías '!I48-1,"-")</f>
        <v>-</v>
      </c>
      <c r="I35" s="166">
        <f>IFERROR('tablas turistas por categorías '!J35/'tablas turistas por categorías '!J48-1,"-")</f>
        <v>0.23487508778970612</v>
      </c>
    </row>
    <row r="36" spans="2:9" hidden="1" outlineLevel="1">
      <c r="B36" s="51" t="s">
        <v>43</v>
      </c>
      <c r="C36" s="166">
        <f>IFERROR('tablas turistas por categorías '!D36/'tablas turistas por categorías '!D49-1,"-")</f>
        <v>-0.20785375761679081</v>
      </c>
      <c r="D36" s="166">
        <f>IFERROR('tablas turistas por categorías '!E36/'tablas turistas por categorías '!E49-1,"-")</f>
        <v>0.32050431320504313</v>
      </c>
      <c r="E36" s="166">
        <f>IFERROR('tablas turistas por categorías '!F36/'tablas turistas por categorías '!F49-1,"-")</f>
        <v>-0.10836219693221183</v>
      </c>
      <c r="F36" s="166">
        <f>IFERROR('tablas turistas por categorías '!G36/'tablas turistas por categorías '!G49-1,"-")</f>
        <v>0.29467592592592595</v>
      </c>
      <c r="G36" s="166">
        <f>IFERROR('tablas turistas por categorías '!H36/'tablas turistas por categorías '!H49-1,"-")</f>
        <v>0.13767409470752079</v>
      </c>
      <c r="H36" s="166" t="str">
        <f>IFERROR('tablas turistas por categorías '!I36/'tablas turistas por categorías '!I49-1,"-")</f>
        <v>-</v>
      </c>
      <c r="I36" s="166">
        <f>IFERROR('tablas turistas por categorías '!J36/'tablas turistas por categorías '!J49-1,"-")</f>
        <v>0.13767409470752079</v>
      </c>
    </row>
    <row r="37" spans="2:9" hidden="1" outlineLevel="1">
      <c r="B37" s="51" t="s">
        <v>44</v>
      </c>
      <c r="C37" s="166">
        <f>IFERROR('tablas turistas por categorías '!D37/'tablas turistas por categorías '!D50-1,"-")</f>
        <v>-0.22428571428571431</v>
      </c>
      <c r="D37" s="166">
        <f>IFERROR('tablas turistas por categorías '!E37/'tablas turistas por categorías '!E50-1,"-")</f>
        <v>0.96120837624442146</v>
      </c>
      <c r="E37" s="166">
        <f>IFERROR('tablas turistas por categorías '!F37/'tablas turistas por categorías '!F50-1,"-")</f>
        <v>-7.1465696465696449E-2</v>
      </c>
      <c r="F37" s="166">
        <f>IFERROR('tablas turistas por categorías '!G37/'tablas turistas por categorías '!G50-1,"-")</f>
        <v>1.1576846307385313E-2</v>
      </c>
      <c r="G37" s="166">
        <f>IFERROR('tablas turistas por categorías '!H37/'tablas turistas por categorías '!H50-1,"-")</f>
        <v>0.17227241667299364</v>
      </c>
      <c r="H37" s="166" t="str">
        <f>IFERROR('tablas turistas por categorías '!I37/'tablas turistas por categorías '!I50-1,"-")</f>
        <v>-</v>
      </c>
      <c r="I37" s="166">
        <f>IFERROR('tablas turistas por categorías '!J37/'tablas turistas por categorías '!J50-1,"-")</f>
        <v>0.17227241667299364</v>
      </c>
    </row>
    <row r="38" spans="2:9" hidden="1" outlineLevel="1">
      <c r="B38" s="51" t="s">
        <v>45</v>
      </c>
      <c r="C38" s="166">
        <f>IFERROR('tablas turistas por categorías '!D38/'tablas turistas por categorías '!D51-1,"-")</f>
        <v>-3.0239099859353025E-2</v>
      </c>
      <c r="D38" s="166">
        <f>IFERROR('tablas turistas por categorías '!E38/'tablas turistas por categorías '!E51-1,"-")</f>
        <v>0.38782120492334271</v>
      </c>
      <c r="E38" s="166">
        <f>IFERROR('tablas turistas por categorías '!F38/'tablas turistas por categorías '!F51-1,"-")</f>
        <v>-1.0443864229765065E-2</v>
      </c>
      <c r="F38" s="166">
        <f>IFERROR('tablas turistas por categorías '!G38/'tablas turistas por categorías '!G51-1,"-")</f>
        <v>0.20607061738591792</v>
      </c>
      <c r="G38" s="166">
        <f>IFERROR('tablas turistas por categorías '!H38/'tablas turistas por categorías '!H51-1,"-")</f>
        <v>0.18409615645796551</v>
      </c>
      <c r="H38" s="166" t="str">
        <f>IFERROR('tablas turistas por categorías '!I38/'tablas turistas por categorías '!I51-1,"-")</f>
        <v>-</v>
      </c>
      <c r="I38" s="166">
        <f>IFERROR('tablas turistas por categorías '!J38/'tablas turistas por categorías '!J51-1,"-")</f>
        <v>0.18409615645796551</v>
      </c>
    </row>
    <row r="39" spans="2:9" hidden="1" outlineLevel="1">
      <c r="B39" s="51" t="s">
        <v>46</v>
      </c>
      <c r="C39" s="166">
        <f>IFERROR('tablas turistas por categorías '!D39/'tablas turistas por categorías '!D52-1,"-")</f>
        <v>-8.8448844884488453E-2</v>
      </c>
      <c r="D39" s="166">
        <f>IFERROR('tablas turistas por categorías '!E39/'tablas turistas por categorías '!E52-1,"-")</f>
        <v>0.36110533970496572</v>
      </c>
      <c r="E39" s="166">
        <f>IFERROR('tablas turistas por categorías '!F39/'tablas turistas por categorías '!F52-1,"-")</f>
        <v>-1.0009532888465178E-2</v>
      </c>
      <c r="F39" s="166">
        <f>IFERROR('tablas turistas por categorías '!G39/'tablas turistas por categorías '!G52-1,"-")</f>
        <v>0.10849436392914646</v>
      </c>
      <c r="G39" s="166">
        <f>IFERROR('tablas turistas por categorías '!H39/'tablas turistas por categorías '!H52-1,"-")</f>
        <v>0.13561838368190027</v>
      </c>
      <c r="H39" s="166" t="str">
        <f>IFERROR('tablas turistas por categorías '!I39/'tablas turistas por categorías '!I52-1,"-")</f>
        <v>-</v>
      </c>
      <c r="I39" s="166">
        <f>IFERROR('tablas turistas por categorías '!J39/'tablas turistas por categorías '!J52-1,"-")</f>
        <v>0.13561838368190027</v>
      </c>
    </row>
    <row r="40" spans="2:9" hidden="1" outlineLevel="1">
      <c r="B40" s="51" t="s">
        <v>47</v>
      </c>
      <c r="C40" s="166">
        <f>IFERROR('tablas turistas por categorías '!D40/'tablas turistas por categorías '!D53-1,"-")</f>
        <v>-0.19763694951664879</v>
      </c>
      <c r="D40" s="166">
        <f>IFERROR('tablas turistas por categorías '!E40/'tablas turistas por categorías '!E53-1,"-")</f>
        <v>-3.9816232771822335E-2</v>
      </c>
      <c r="E40" s="166">
        <f>IFERROR('tablas turistas por categorías '!F40/'tablas turistas por categorías '!F53-1,"-")</f>
        <v>-0.16412786955588932</v>
      </c>
      <c r="F40" s="166">
        <f>IFERROR('tablas turistas por categorías '!G40/'tablas turistas por categorías '!G53-1,"-")</f>
        <v>-0.1783974466655468</v>
      </c>
      <c r="G40" s="166">
        <f>IFERROR('tablas turistas por categorías '!H40/'tablas turistas por categorías '!H53-1,"-")</f>
        <v>-0.12916973587288227</v>
      </c>
      <c r="H40" s="166" t="str">
        <f>IFERROR('tablas turistas por categorías '!I40/'tablas turistas por categorías '!I53-1,"-")</f>
        <v>-</v>
      </c>
      <c r="I40" s="166">
        <f>IFERROR('tablas turistas por categorías '!J40/'tablas turistas por categorías '!J53-1,"-")</f>
        <v>-0.12916973587288227</v>
      </c>
    </row>
    <row r="41" spans="2:9" hidden="1" outlineLevel="1">
      <c r="B41" s="51" t="s">
        <v>48</v>
      </c>
      <c r="C41" s="166">
        <f>IFERROR('tablas turistas por categorías '!D41/'tablas turistas por categorías '!D54-1,"-")</f>
        <v>-2.1524141942990127E-2</v>
      </c>
      <c r="D41" s="166">
        <f>IFERROR('tablas turistas por categorías '!E41/'tablas turistas por categorías '!E54-1,"-")</f>
        <v>0.47144592952612396</v>
      </c>
      <c r="E41" s="166">
        <f>IFERROR('tablas turistas por categorías '!F41/'tablas turistas por categorías '!F54-1,"-")</f>
        <v>0.15144947168788936</v>
      </c>
      <c r="F41" s="166">
        <f>IFERROR('tablas turistas por categorías '!G41/'tablas turistas por categorías '!G54-1,"-")</f>
        <v>0.26323348379154687</v>
      </c>
      <c r="G41" s="166">
        <f>IFERROR('tablas turistas por categorías '!H41/'tablas turistas por categorías '!H54-1,"-")</f>
        <v>0.27151491262646177</v>
      </c>
      <c r="H41" s="166" t="str">
        <f>IFERROR('tablas turistas por categorías '!I41/'tablas turistas por categorías '!I54-1,"-")</f>
        <v>-</v>
      </c>
      <c r="I41" s="166">
        <f>IFERROR('tablas turistas por categorías '!J41/'tablas turistas por categorías '!J54-1,"-")</f>
        <v>0.27151491262646177</v>
      </c>
    </row>
    <row r="42" spans="2:9" hidden="1" outlineLevel="1">
      <c r="B42" s="51" t="s">
        <v>49</v>
      </c>
      <c r="C42" s="166">
        <f>IFERROR('tablas turistas por categorías '!D42/'tablas turistas por categorías '!D55-1,"-")</f>
        <v>-5.6832694763729208E-2</v>
      </c>
      <c r="D42" s="166">
        <f>IFERROR('tablas turistas por categorías '!E42/'tablas turistas por categorías '!E55-1,"-")</f>
        <v>0.36811977102597981</v>
      </c>
      <c r="E42" s="166">
        <f>IFERROR('tablas turistas por categorías '!F42/'tablas turistas por categorías '!F55-1,"-")</f>
        <v>0.14015933903806443</v>
      </c>
      <c r="F42" s="166">
        <f>IFERROR('tablas turistas por categorías '!G42/'tablas turistas por categorías '!G55-1,"-")</f>
        <v>8.3233532934131826E-2</v>
      </c>
      <c r="G42" s="166">
        <f>IFERROR('tablas turistas por categorías '!H42/'tablas turistas por categorías '!H55-1,"-")</f>
        <v>0.17060729303095057</v>
      </c>
      <c r="H42" s="166" t="str">
        <f>IFERROR('tablas turistas por categorías '!I42/'tablas turistas por categorías '!I55-1,"-")</f>
        <v>-</v>
      </c>
      <c r="I42" s="166">
        <f>IFERROR('tablas turistas por categorías '!J42/'tablas turistas por categorías '!J55-1,"-")</f>
        <v>0.17060729303095057</v>
      </c>
    </row>
    <row r="43" spans="2:9" collapsed="1">
      <c r="B43" s="164">
        <v>2008</v>
      </c>
      <c r="C43" s="169">
        <f>IFERROR('tablas turistas por categorías '!D43/'tablas turistas por categorías '!D56-1,"-")</f>
        <v>-4.8879168944778617E-2</v>
      </c>
      <c r="D43" s="169">
        <f>IFERROR('tablas turistas por categorías '!E43/'tablas turistas por categorías '!E56-1,"-")</f>
        <v>0.15687930155493235</v>
      </c>
      <c r="E43" s="169">
        <f>IFERROR('tablas turistas por categorías '!F43/'tablas turistas por categorías '!F56-1,"-")</f>
        <v>-4.067670877207441E-2</v>
      </c>
      <c r="F43" s="169">
        <f>IFERROR('tablas turistas por categorías '!G43/'tablas turistas por categorías '!G56-1,"-")</f>
        <v>0.1696438477754354</v>
      </c>
      <c r="G43" s="169">
        <f>IFERROR('tablas turistas por categorías '!H43/'tablas turistas por categorías '!H56-1,"-")</f>
        <v>8.7948166498788449E-2</v>
      </c>
      <c r="H43" s="169" t="str">
        <f>IFERROR('tablas turistas por categorías '!I43/'tablas turistas por categorías '!I56-1,"-")</f>
        <v>-</v>
      </c>
      <c r="I43" s="169">
        <f>IFERROR('tablas turistas por categorías '!J43/'tablas turistas por categorías '!J56-1,"-")</f>
        <v>8.7948166498788449E-2</v>
      </c>
    </row>
    <row r="44" spans="2:9" hidden="1" outlineLevel="1">
      <c r="B44" s="51" t="s">
        <v>38</v>
      </c>
      <c r="C44" s="166">
        <f>IFERROR('tablas turistas por categorías '!D44/'tablas turistas por categorías '!D57-1,"-")</f>
        <v>6.9892473118279508E-2</v>
      </c>
      <c r="D44" s="166">
        <f>IFERROR('tablas turistas por categorías '!E44/'tablas turistas por categorías '!E57-1,"-")</f>
        <v>7.0330022428708672E-2</v>
      </c>
      <c r="E44" s="166">
        <f>IFERROR('tablas turistas por categorías '!F44/'tablas turistas por categorías '!F57-1,"-")</f>
        <v>0.1601289629231597</v>
      </c>
      <c r="F44" s="166">
        <f>IFERROR('tablas turistas por categorías '!G44/'tablas turistas por categorías '!G57-1,"-")</f>
        <v>-0.19973963176492471</v>
      </c>
      <c r="G44" s="166">
        <f>IFERROR('tablas turistas por categorías '!H44/'tablas turistas por categorías '!H57-1,"-")</f>
        <v>3.8623804147601692E-3</v>
      </c>
      <c r="H44" s="166" t="str">
        <f>IFERROR('tablas turistas por categorías '!I44/'tablas turistas por categorías '!I57-1,"-")</f>
        <v>-</v>
      </c>
      <c r="I44" s="166">
        <f>IFERROR('tablas turistas por categorías '!J44/'tablas turistas por categorías '!J57-1,"-")</f>
        <v>3.8623804147601692E-3</v>
      </c>
    </row>
    <row r="45" spans="2:9" hidden="1" outlineLevel="1">
      <c r="B45" s="51" t="s">
        <v>39</v>
      </c>
      <c r="C45" s="166">
        <f>IFERROR('tablas turistas por categorías '!D45/'tablas turistas por categorías '!D58-1,"-")</f>
        <v>9.9458728010825448E-2</v>
      </c>
      <c r="D45" s="166">
        <f>IFERROR('tablas turistas por categorías '!E45/'tablas turistas por categorías '!E58-1,"-")</f>
        <v>0.13698630136986312</v>
      </c>
      <c r="E45" s="166">
        <f>IFERROR('tablas turistas por categorías '!F45/'tablas turistas por categorías '!F58-1,"-")</f>
        <v>0.34416086620262965</v>
      </c>
      <c r="F45" s="166">
        <f>IFERROR('tablas turistas por categorías '!G45/'tablas turistas por categorías '!G58-1,"-")</f>
        <v>-0.24867639980747636</v>
      </c>
      <c r="G45" s="166">
        <f>IFERROR('tablas turistas por categorías '!H45/'tablas turistas por categorías '!H58-1,"-")</f>
        <v>4.5447006137004475E-2</v>
      </c>
      <c r="H45" s="166" t="str">
        <f>IFERROR('tablas turistas por categorías '!I45/'tablas turistas por categorías '!I58-1,"-")</f>
        <v>-</v>
      </c>
      <c r="I45" s="166">
        <f>IFERROR('tablas turistas por categorías '!J45/'tablas turistas por categorías '!J58-1,"-")</f>
        <v>4.5447006137004475E-2</v>
      </c>
    </row>
    <row r="46" spans="2:9" hidden="1" outlineLevel="1">
      <c r="B46" s="51" t="s">
        <v>40</v>
      </c>
      <c r="C46" s="166">
        <f>IFERROR('tablas turistas por categorías '!D46/'tablas turistas por categorías '!D59-1,"-")</f>
        <v>-0.10182460270747495</v>
      </c>
      <c r="D46" s="166">
        <f>IFERROR('tablas turistas por categorías '!E46/'tablas turistas por categorías '!E59-1,"-")</f>
        <v>0.20436927413671602</v>
      </c>
      <c r="E46" s="166">
        <f>IFERROR('tablas turistas por categorías '!F46/'tablas turistas por categorías '!F59-1,"-")</f>
        <v>0.64632454923717053</v>
      </c>
      <c r="F46" s="166">
        <f>IFERROR('tablas turistas por categorías '!G46/'tablas turistas por categorías '!G59-1,"-")</f>
        <v>-0.22587719298245612</v>
      </c>
      <c r="G46" s="166">
        <f>IFERROR('tablas turistas por categorías '!H46/'tablas turistas por categorías '!H59-1,"-")</f>
        <v>0.10266353060835298</v>
      </c>
      <c r="H46" s="166" t="str">
        <f>IFERROR('tablas turistas por categorías '!I46/'tablas turistas por categorías '!I59-1,"-")</f>
        <v>-</v>
      </c>
      <c r="I46" s="166">
        <f>IFERROR('tablas turistas por categorías '!J46/'tablas turistas por categorías '!J59-1,"-")</f>
        <v>0.10266353060835298</v>
      </c>
    </row>
    <row r="47" spans="2:9" hidden="1" outlineLevel="1">
      <c r="B47" s="51" t="s">
        <v>41</v>
      </c>
      <c r="C47" s="166">
        <f>IFERROR('tablas turistas por categorías '!D47/'tablas turistas por categorías '!D60-1,"-")</f>
        <v>-5.7991513437057995E-2</v>
      </c>
      <c r="D47" s="166">
        <f>IFERROR('tablas turistas por categorías '!E47/'tablas turistas por categorías '!E60-1,"-")</f>
        <v>0.12989359566352143</v>
      </c>
      <c r="E47" s="166">
        <f>IFERROR('tablas turistas por categorías '!F47/'tablas turistas por categorías '!F60-1,"-")</f>
        <v>0.27281947261663286</v>
      </c>
      <c r="F47" s="166">
        <f>IFERROR('tablas turistas por categorías '!G47/'tablas turistas por categorías '!G60-1,"-")</f>
        <v>-0.33861386138613858</v>
      </c>
      <c r="G47" s="166">
        <f>IFERROR('tablas turistas por categorías '!H47/'tablas turistas por categorías '!H60-1,"-")</f>
        <v>-2.3467333194473361E-2</v>
      </c>
      <c r="H47" s="166" t="str">
        <f>IFERROR('tablas turistas por categorías '!I47/'tablas turistas por categorías '!I60-1,"-")</f>
        <v>-</v>
      </c>
      <c r="I47" s="166">
        <f>IFERROR('tablas turistas por categorías '!J47/'tablas turistas por categorías '!J60-1,"-")</f>
        <v>-2.3467333194473361E-2</v>
      </c>
    </row>
    <row r="48" spans="2:9" hidden="1" outlineLevel="1">
      <c r="B48" s="51" t="s">
        <v>42</v>
      </c>
      <c r="C48" s="166">
        <f>IFERROR('tablas turistas por categorías '!D48/'tablas turistas por categorías '!D61-1,"-")</f>
        <v>-8.7999999999999967E-2</v>
      </c>
      <c r="D48" s="166">
        <f>IFERROR('tablas turistas por categorías '!E48/'tablas turistas por categorías '!E61-1,"-")</f>
        <v>-0.23735763097949891</v>
      </c>
      <c r="E48" s="166">
        <f>IFERROR('tablas turistas por categorías '!F48/'tablas turistas por categorías '!F61-1,"-")</f>
        <v>0.4029776674937966</v>
      </c>
      <c r="F48" s="166">
        <f>IFERROR('tablas turistas por categorías '!G48/'tablas turistas por categorías '!G61-1,"-")</f>
        <v>-0.2645609968125181</v>
      </c>
      <c r="G48" s="166">
        <f>IFERROR('tablas turistas por categorías '!H48/'tablas turistas por categorías '!H61-1,"-")</f>
        <v>-0.1125456326239872</v>
      </c>
      <c r="H48" s="166" t="str">
        <f>IFERROR('tablas turistas por categorías '!I48/'tablas turistas por categorías '!I61-1,"-")</f>
        <v>-</v>
      </c>
      <c r="I48" s="166">
        <f>IFERROR('tablas turistas por categorías '!J48/'tablas turistas por categorías '!J61-1,"-")</f>
        <v>-0.1125456326239872</v>
      </c>
    </row>
    <row r="49" spans="2:9" hidden="1" outlineLevel="1">
      <c r="B49" s="51" t="s">
        <v>43</v>
      </c>
      <c r="C49" s="166">
        <f>IFERROR('tablas turistas por categorías '!D49/'tablas turistas por categorías '!D62-1,"-")</f>
        <v>4.761904761904745E-3</v>
      </c>
      <c r="D49" s="166">
        <f>IFERROR('tablas turistas por categorías '!E49/'tablas turistas por categorías '!E62-1,"-")</f>
        <v>-0.13622468475353455</v>
      </c>
      <c r="E49" s="166">
        <f>IFERROR('tablas turistas por categorías '!F49/'tablas turistas por categorías '!F62-1,"-")</f>
        <v>0.31191171697500808</v>
      </c>
      <c r="F49" s="166">
        <f>IFERROR('tablas turistas por categorías '!G49/'tablas turistas por categorías '!G62-1,"-")</f>
        <v>-0.1313090689724512</v>
      </c>
      <c r="G49" s="166">
        <f>IFERROR('tablas turistas por categorías '!H49/'tablas turistas por categorías '!H62-1,"-")</f>
        <v>-2.6968423905678329E-2</v>
      </c>
      <c r="H49" s="166" t="str">
        <f>IFERROR('tablas turistas por categorías '!I49/'tablas turistas por categorías '!I62-1,"-")</f>
        <v>-</v>
      </c>
      <c r="I49" s="166">
        <f>IFERROR('tablas turistas por categorías '!J49/'tablas turistas por categorías '!J62-1,"-")</f>
        <v>-2.6968423905678329E-2</v>
      </c>
    </row>
    <row r="50" spans="2:9" hidden="1" outlineLevel="1">
      <c r="B50" s="51" t="s">
        <v>44</v>
      </c>
      <c r="C50" s="166">
        <f>IFERROR('tablas turistas por categorías '!D50/'tablas turistas por categorías '!D63-1,"-")</f>
        <v>3.5842293906809264E-3</v>
      </c>
      <c r="D50" s="166">
        <f>IFERROR('tablas turistas por categorías '!E50/'tablas turistas por categorías '!E63-1,"-")</f>
        <v>-0.40246153846153843</v>
      </c>
      <c r="E50" s="166">
        <f>IFERROR('tablas turistas por categorías '!F50/'tablas turistas por categorías '!F63-1,"-")</f>
        <v>-4.4924298833457388E-2</v>
      </c>
      <c r="F50" s="166">
        <f>IFERROR('tablas turistas por categorías '!G50/'tablas turistas por categorías '!G63-1,"-")</f>
        <v>-8.0396475770925124E-2</v>
      </c>
      <c r="G50" s="166">
        <f>IFERROR('tablas turistas por categorías '!H50/'tablas turistas por categorías '!H63-1,"-")</f>
        <v>-0.1635867149298279</v>
      </c>
      <c r="H50" s="166" t="str">
        <f>IFERROR('tablas turistas por categorías '!I50/'tablas turistas por categorías '!I63-1,"-")</f>
        <v>-</v>
      </c>
      <c r="I50" s="166">
        <f>IFERROR('tablas turistas por categorías '!J50/'tablas turistas por categorías '!J63-1,"-")</f>
        <v>-0.1635867149298279</v>
      </c>
    </row>
    <row r="51" spans="2:9" hidden="1" outlineLevel="1">
      <c r="B51" s="51" t="s">
        <v>45</v>
      </c>
      <c r="C51" s="166">
        <f>IFERROR('tablas turistas por categorías '!D51/'tablas turistas por categorías '!D64-1,"-")</f>
        <v>0.5</v>
      </c>
      <c r="D51" s="166">
        <f>IFERROR('tablas turistas por categorías '!E51/'tablas turistas por categorías '!E64-1,"-")</f>
        <v>-4.6727048167970353E-2</v>
      </c>
      <c r="E51" s="166">
        <f>IFERROR('tablas turistas por categorías '!F51/'tablas turistas por categorías '!F64-1,"-")</f>
        <v>-7.8267675450038876E-4</v>
      </c>
      <c r="F51" s="166">
        <f>IFERROR('tablas turistas por categorías '!G51/'tablas turistas por categorías '!G64-1,"-")</f>
        <v>-5.2621283255086082E-2</v>
      </c>
      <c r="G51" s="166">
        <f>IFERROR('tablas turistas por categorías '!H51/'tablas turistas por categorías '!H64-1,"-")</f>
        <v>-1.6948003525184552E-3</v>
      </c>
      <c r="H51" s="166" t="str">
        <f>IFERROR('tablas turistas por categorías '!I51/'tablas turistas por categorías '!I64-1,"-")</f>
        <v>-</v>
      </c>
      <c r="I51" s="166">
        <f>IFERROR('tablas turistas por categorías '!J51/'tablas turistas por categorías '!J64-1,"-")</f>
        <v>-1.6948003525184552E-3</v>
      </c>
    </row>
    <row r="52" spans="2:9" hidden="1" outlineLevel="1">
      <c r="B52" s="51" t="s">
        <v>46</v>
      </c>
      <c r="C52" s="166">
        <f>IFERROR('tablas turistas por categorías '!D52/'tablas turistas por categorías '!D65-1,"-")</f>
        <v>1.1956521739130435</v>
      </c>
      <c r="D52" s="166">
        <f>IFERROR('tablas turistas por categorías '!E52/'tablas turistas por categorías '!E65-1,"-")</f>
        <v>5.966534566270365E-2</v>
      </c>
      <c r="E52" s="166">
        <f>IFERROR('tablas turistas por categorías '!F52/'tablas turistas por categorías '!F65-1,"-")</f>
        <v>0.12222519390211284</v>
      </c>
      <c r="F52" s="166">
        <f>IFERROR('tablas turistas por categorías '!G52/'tablas turistas por categorías '!G65-1,"-")</f>
        <v>1.8450184501844991E-2</v>
      </c>
      <c r="G52" s="166">
        <f>IFERROR('tablas turistas por categorías '!H52/'tablas turistas por categorías '!H65-1,"-")</f>
        <v>0.11863672467326158</v>
      </c>
      <c r="H52" s="166" t="str">
        <f>IFERROR('tablas turistas por categorías '!I52/'tablas turistas por categorías '!I65-1,"-")</f>
        <v>-</v>
      </c>
      <c r="I52" s="166">
        <f>IFERROR('tablas turistas por categorías '!J52/'tablas turistas por categorías '!J65-1,"-")</f>
        <v>0.11863672467326158</v>
      </c>
    </row>
    <row r="53" spans="2:9" hidden="1" outlineLevel="1">
      <c r="B53" s="51" t="s">
        <v>47</v>
      </c>
      <c r="C53" s="166">
        <f>IFERROR('tablas turistas por categorías '!D53/'tablas turistas por categorías '!D66-1,"-")</f>
        <v>0.73532152842497678</v>
      </c>
      <c r="D53" s="166">
        <f>IFERROR('tablas turistas por categorías '!E53/'tablas turistas por categorías '!E66-1,"-")</f>
        <v>0.13683844011142066</v>
      </c>
      <c r="E53" s="166">
        <f>IFERROR('tablas turistas por categorías '!F53/'tablas turistas por categorías '!F66-1,"-")</f>
        <v>3.8084632516703687E-2</v>
      </c>
      <c r="F53" s="166">
        <f>IFERROR('tablas turistas por categorías '!G53/'tablas turistas por categorías '!G66-1,"-")</f>
        <v>-2.7605357726233293E-2</v>
      </c>
      <c r="G53" s="166">
        <f>IFERROR('tablas turistas por categorías '!H53/'tablas turistas por categorías '!H66-1,"-")</f>
        <v>9.0481381605370448E-2</v>
      </c>
      <c r="H53" s="166" t="str">
        <f>IFERROR('tablas turistas por categorías '!I53/'tablas turistas por categorías '!I66-1,"-")</f>
        <v>-</v>
      </c>
      <c r="I53" s="166">
        <f>IFERROR('tablas turistas por categorías '!J53/'tablas turistas por categorías '!J66-1,"-")</f>
        <v>9.0481381605370448E-2</v>
      </c>
    </row>
    <row r="54" spans="2:9" hidden="1" outlineLevel="1">
      <c r="B54" s="51" t="s">
        <v>48</v>
      </c>
      <c r="C54" s="166">
        <f>IFERROR('tablas turistas por categorías '!D54/'tablas turistas por categorías '!D67-1,"-")</f>
        <v>0.6721789883268483</v>
      </c>
      <c r="D54" s="166">
        <f>IFERROR('tablas turistas por categorías '!E54/'tablas turistas por categorías '!E67-1,"-")</f>
        <v>-6.4772727272727315E-2</v>
      </c>
      <c r="E54" s="166">
        <f>IFERROR('tablas turistas por categorías '!F54/'tablas turistas por categorías '!F67-1,"-")</f>
        <v>-3.9302446642373812E-2</v>
      </c>
      <c r="F54" s="166">
        <f>IFERROR('tablas turistas por categorías '!G54/'tablas turistas por categorías '!G67-1,"-")</f>
        <v>-0.12053410321183688</v>
      </c>
      <c r="G54" s="166">
        <f>IFERROR('tablas turistas por categorías '!H54/'tablas turistas por categorías '!H67-1,"-")</f>
        <v>-2.9951567677797608E-2</v>
      </c>
      <c r="H54" s="166" t="str">
        <f>IFERROR('tablas turistas por categorías '!I54/'tablas turistas por categorías '!I67-1,"-")</f>
        <v>-</v>
      </c>
      <c r="I54" s="166">
        <f>IFERROR('tablas turistas por categorías '!J54/'tablas turistas por categorías '!J67-1,"-")</f>
        <v>-2.9951567677797608E-2</v>
      </c>
    </row>
    <row r="55" spans="2:9" hidden="1" outlineLevel="1">
      <c r="B55" s="51" t="s">
        <v>49</v>
      </c>
      <c r="C55" s="166">
        <f>IFERROR('tablas turistas por categorías '!D55/'tablas turistas por categorías '!D68-1,"-")</f>
        <v>0.55511420059582917</v>
      </c>
      <c r="D55" s="166">
        <f>IFERROR('tablas turistas por categorías '!E55/'tablas turistas por categorías '!E68-1,"-")</f>
        <v>-3.7507946598855701E-2</v>
      </c>
      <c r="E55" s="166">
        <f>IFERROR('tablas turistas por categorías '!F55/'tablas turistas por categorías '!F68-1,"-")</f>
        <v>-5.5725828921705189E-2</v>
      </c>
      <c r="F55" s="166">
        <f>IFERROR('tablas turistas por categorías '!G55/'tablas turistas por categorías '!G68-1,"-")</f>
        <v>1.1916784487982168E-2</v>
      </c>
      <c r="G55" s="166">
        <f>IFERROR('tablas turistas por categorías '!H55/'tablas turistas por categorías '!H68-1,"-")</f>
        <v>1.6893312771624869E-2</v>
      </c>
      <c r="H55" s="166" t="str">
        <f>IFERROR('tablas turistas por categorías '!I55/'tablas turistas por categorías '!I68-1,"-")</f>
        <v>-</v>
      </c>
      <c r="I55" s="166">
        <f>IFERROR('tablas turistas por categorías '!J55/'tablas turistas por categorías '!J68-1,"-")</f>
        <v>1.6893312771624869E-2</v>
      </c>
    </row>
    <row r="56" spans="2:9" collapsed="1">
      <c r="B56" s="164">
        <v>2007</v>
      </c>
      <c r="C56" s="169">
        <f>IFERROR('tablas turistas por categorías '!D56/'tablas turistas por categorías '!D69-1,"-")</f>
        <v>0.21407235313640882</v>
      </c>
      <c r="D56" s="169">
        <f>IFERROR('tablas turistas por categorías '!E56/'tablas turistas por categorías '!E69-1,"-")</f>
        <v>-4.2831308099876564E-3</v>
      </c>
      <c r="E56" s="169">
        <f>IFERROR('tablas turistas por categorías '!F56/'tablas turistas por categorías '!F69-1,"-")</f>
        <v>0.15377665771141924</v>
      </c>
      <c r="F56" s="169">
        <f>IFERROR('tablas turistas por categorías '!G56/'tablas turistas por categorías '!G69-1,"-")</f>
        <v>-0.13625836541072367</v>
      </c>
      <c r="G56" s="169">
        <f>IFERROR('tablas turistas por categorías '!H56/'tablas turistas por categorías '!H69-1,"-")</f>
        <v>4.8803707330951074E-3</v>
      </c>
      <c r="H56" s="169" t="str">
        <f>IFERROR('tablas turistas por categorías '!I56/'tablas turistas por categorías '!I69-1,"-")</f>
        <v>-</v>
      </c>
      <c r="I56" s="169">
        <f>IFERROR('tablas turistas por categorías '!J56/'tablas turistas por categorías '!J69-1,"-")</f>
        <v>4.8803707330951074E-3</v>
      </c>
    </row>
    <row r="57" spans="2:9">
      <c r="B57" s="165" t="s">
        <v>33</v>
      </c>
      <c r="C57" s="165"/>
      <c r="D57" s="165"/>
      <c r="E57" s="165"/>
      <c r="F57" s="165"/>
      <c r="G57" s="165"/>
      <c r="H57" s="165"/>
      <c r="I57" s="165"/>
    </row>
  </sheetData>
  <mergeCells count="2">
    <mergeCell ref="B3:I3"/>
    <mergeCell ref="B57:I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C2:K39"/>
  <sheetViews>
    <sheetView showGridLines="0" showRowColHeaders="0" zoomScaleNormal="100" workbookViewId="0">
      <selection activeCell="I13" sqref="I13"/>
    </sheetView>
  </sheetViews>
  <sheetFormatPr baseColWidth="10" defaultRowHeight="15"/>
  <cols>
    <col min="3" max="3" width="15.85546875" customWidth="1"/>
    <col min="4" max="7" width="9.5703125" customWidth="1"/>
    <col min="9" max="9" width="14.5703125" customWidth="1"/>
  </cols>
  <sheetData>
    <row r="2" spans="3:10" ht="30.75" customHeight="1"/>
    <row r="3" spans="3:10" ht="22.5" customHeight="1">
      <c r="C3" s="170" t="s">
        <v>121</v>
      </c>
      <c r="D3" s="171"/>
      <c r="E3" s="171"/>
      <c r="F3" s="171"/>
      <c r="G3" s="171"/>
      <c r="H3" s="171"/>
      <c r="I3" s="171"/>
      <c r="J3" s="171"/>
    </row>
    <row r="4" spans="3:10">
      <c r="C4" s="172">
        <v>2009</v>
      </c>
      <c r="D4" s="173"/>
      <c r="E4" s="173"/>
      <c r="F4" s="173"/>
      <c r="G4" s="173"/>
      <c r="H4" s="173"/>
      <c r="I4" s="173"/>
      <c r="J4" s="173"/>
    </row>
    <row r="5" spans="3:10" ht="36.75" customHeight="1">
      <c r="C5" s="174" t="s">
        <v>122</v>
      </c>
      <c r="D5" s="127" t="s">
        <v>112</v>
      </c>
      <c r="E5" s="127" t="s">
        <v>113</v>
      </c>
      <c r="F5" s="127" t="s">
        <v>114</v>
      </c>
      <c r="G5" s="127" t="s">
        <v>115</v>
      </c>
      <c r="H5" s="161" t="s">
        <v>120</v>
      </c>
      <c r="I5" s="161" t="s">
        <v>36</v>
      </c>
      <c r="J5" s="161" t="s">
        <v>37</v>
      </c>
    </row>
    <row r="6" spans="3:10">
      <c r="C6" s="175" t="s">
        <v>58</v>
      </c>
      <c r="D6" s="176">
        <f>GETPIVOTDATA("dato",'[1]Evolución mensual categoría'!$A$4,"categoría","2*","mes",1,"año",2009)</f>
        <v>4036</v>
      </c>
      <c r="E6" s="176">
        <f>GETPIVOTDATA("dato",'[1]Evolución mensual categoría'!$A$4,"categoría","2*","mes",1,"año",2009)</f>
        <v>4036</v>
      </c>
      <c r="F6" s="176">
        <f>GETPIVOTDATA("dato",'[1]Evolución mensual categoría'!$A$4,"categoría","3 *","mes",1,"año",2009)</f>
        <v>3568</v>
      </c>
      <c r="G6" s="176">
        <f>GETPIVOTDATA("dato",'[1]Evolución mensual categoría'!$A$4,"categoría","4* Y 5*","mes",1,"año",2009)</f>
        <v>4930</v>
      </c>
      <c r="H6" s="176">
        <f>GETPIVOTDATA("dato",'[1]Evolución mensual categoría'!$A$4,"categoría","HOTELEROS","mes",1,"año",2009)</f>
        <v>13570</v>
      </c>
      <c r="I6" s="176">
        <f>GETPIVOTDATA("dato",'[1]Evolución mensual categoría'!$A$4,"categoría","EXTRAHOTELEROS","mes",1,"año",2009)</f>
        <v>0</v>
      </c>
      <c r="J6" s="176">
        <f>GETPIVOTDATA("dato",'[1]Evolución mensual categoría'!$A$4,"categoría","TOTAL","mes",1,"año",2009)</f>
        <v>13570</v>
      </c>
    </row>
    <row r="7" spans="3:10">
      <c r="C7" s="177" t="s">
        <v>59</v>
      </c>
      <c r="D7" s="128">
        <f>GETPIVOTDATA("dato",'[1]Evolución mensual categoría'!$A$4,"categoría","2*","mes",2,"año",2009)</f>
        <v>4660</v>
      </c>
      <c r="E7" s="128">
        <f>GETPIVOTDATA("dato",'[1]Evolución mensual categoría'!$A$4,"categoría","2*","mes",2,"año",2009)</f>
        <v>4660</v>
      </c>
      <c r="F7" s="128">
        <f>GETPIVOTDATA("dato",'[1]Evolución mensual categoría'!$A$4,"categoría","3 *","mes",2,"año",2009)</f>
        <v>3932</v>
      </c>
      <c r="G7" s="128">
        <f>GETPIVOTDATA("dato",'[1]Evolución mensual categoría'!$A$4,"categoría","4* Y 5*","mes",2,"año",2009)</f>
        <v>5257</v>
      </c>
      <c r="H7" s="128">
        <f>GETPIVOTDATA("dato",'[1]Evolución mensual categoría'!$A$4,"categoría","HOTELEROS","mes",2,"año",2009)</f>
        <v>15172</v>
      </c>
      <c r="I7" s="128">
        <f>GETPIVOTDATA("dato",'[1]Evolución mensual categoría'!$A$4,"categoría","EXTRAHOTELEROS","mes",2,"año",2009)</f>
        <v>0</v>
      </c>
      <c r="J7" s="128">
        <f>GETPIVOTDATA("dato",'[1]Evolución mensual categoría'!$A$4,"categoría","TOTAL","mes",2,"año",2009)</f>
        <v>15172</v>
      </c>
    </row>
    <row r="8" spans="3:10">
      <c r="C8" s="177" t="s">
        <v>60</v>
      </c>
      <c r="D8" s="128">
        <f>GETPIVOTDATA("dato",'[1]Evolución mensual categoría'!$A$4,"categoría","2*","mes",3,"año",2009)</f>
        <v>5187</v>
      </c>
      <c r="E8" s="128">
        <f>GETPIVOTDATA("dato",'[1]Evolución mensual categoría'!$A$4,"categoría","2*","mes",3,"año",2009)</f>
        <v>5187</v>
      </c>
      <c r="F8" s="128">
        <f>GETPIVOTDATA("dato",'[1]Evolución mensual categoría'!$A$4,"categoría","3 *","mes",3,"año",2009)</f>
        <v>4395</v>
      </c>
      <c r="G8" s="128">
        <f>GETPIVOTDATA("dato",'[1]Evolución mensual categoría'!$A$4,"categoría","4* Y 5*","mes",3,"año",2009)</f>
        <v>5000</v>
      </c>
      <c r="H8" s="128">
        <f>GETPIVOTDATA("dato",'[1]Evolución mensual categoría'!$A$4,"categoría","HOTELEROS","mes",3,"año",2009)</f>
        <v>15653</v>
      </c>
      <c r="I8" s="128">
        <f>GETPIVOTDATA("dato",'[1]Evolución mensual categoría'!$A$4,"categoría","EXTRAHOTELEROS","mes",3,"año",2009)</f>
        <v>0</v>
      </c>
      <c r="J8" s="128">
        <f>GETPIVOTDATA("dato",'[1]Evolución mensual categoría'!$A$4,"categoría","TOTAL","mes",3,"año",2009)</f>
        <v>15653</v>
      </c>
    </row>
    <row r="9" spans="3:10">
      <c r="C9" s="177" t="s">
        <v>61</v>
      </c>
      <c r="D9" s="128">
        <f>GETPIVOTDATA("dato",'[1]Evolución mensual categoría'!$A$4,"categoría","2*","mes",4,"año",2009)</f>
        <v>4364</v>
      </c>
      <c r="E9" s="128">
        <f>GETPIVOTDATA("dato",'[1]Evolución mensual categoría'!$A$4,"categoría","2*","mes",4,"año",2009)</f>
        <v>4364</v>
      </c>
      <c r="F9" s="128">
        <f>GETPIVOTDATA("dato",'[1]Evolución mensual categoría'!$A$4,"categoría","3 *","mes",4,"año",2009)</f>
        <v>3635</v>
      </c>
      <c r="G9" s="128">
        <f>GETPIVOTDATA("dato",'[1]Evolución mensual categoría'!$A$4,"categoría","4* Y 5*","mes",4,"año",2009)</f>
        <v>4026</v>
      </c>
      <c r="H9" s="128">
        <f>GETPIVOTDATA("dato",'[1]Evolución mensual categoría'!$A$4,"categoría","HOTELEROS","mes",4,"año",2009)</f>
        <v>13079</v>
      </c>
      <c r="I9" s="128">
        <f>GETPIVOTDATA("dato",'[1]Evolución mensual categoría'!$A$4,"categoría","EXTRAHOTELEROS","mes",4,"año",2009)</f>
        <v>0</v>
      </c>
      <c r="J9" s="128">
        <f>GETPIVOTDATA("dato",'[1]Evolución mensual categoría'!$A$4,"categoría","TOTAL","mes",4,"año",2009)</f>
        <v>13079</v>
      </c>
    </row>
    <row r="10" spans="3:10">
      <c r="C10" s="177" t="s">
        <v>62</v>
      </c>
      <c r="D10" s="128">
        <f>GETPIVOTDATA("dato",'[1]Evolución mensual categoría'!$A$4,"categoría","2*","mes",5,"año",2009)</f>
        <v>4234</v>
      </c>
      <c r="E10" s="128">
        <f>GETPIVOTDATA("dato",'[1]Evolución mensual categoría'!$A$4,"categoría","2*","mes",5,"año",2009)</f>
        <v>4234</v>
      </c>
      <c r="F10" s="128">
        <f>GETPIVOTDATA("dato",'[1]Evolución mensual categoría'!$A$4,"categoría","3 *","mes",5,"año",2009)</f>
        <v>3951</v>
      </c>
      <c r="G10" s="128">
        <f>GETPIVOTDATA("dato",'[1]Evolución mensual categoría'!$A$4,"categoría","4* Y 5*","mes",5,"año",2009)</f>
        <v>4412</v>
      </c>
      <c r="H10" s="128">
        <f>GETPIVOTDATA("dato",'[1]Evolución mensual categoría'!$A$4,"categoría","HOTELEROS","mes",5,"año",2009)</f>
        <v>13474</v>
      </c>
      <c r="I10" s="128">
        <f>GETPIVOTDATA("dato",'[1]Evolución mensual categoría'!$A$4,"categoría","EXTRAHOTELEROS","mes",5,"año",2009)</f>
        <v>0</v>
      </c>
      <c r="J10" s="128">
        <f>GETPIVOTDATA("dato",'[1]Evolución mensual categoría'!$A$4,"categoría","TOTAL","mes",5,"año",2009)</f>
        <v>13474</v>
      </c>
    </row>
    <row r="11" spans="3:10">
      <c r="C11" s="177" t="s">
        <v>63</v>
      </c>
      <c r="D11" s="128">
        <f>GETPIVOTDATA("dato",'[1]Evolución mensual categoría'!$A$4,"categoría","2*","mes",6,"año",2009)</f>
        <v>3850</v>
      </c>
      <c r="E11" s="128">
        <f>GETPIVOTDATA("dato",'[1]Evolución mensual categoría'!$A$4,"categoría","2*","mes",6,"año",2009)</f>
        <v>3850</v>
      </c>
      <c r="F11" s="128">
        <f>GETPIVOTDATA("dato",'[1]Evolución mensual categoría'!$A$4,"categoría","3 *","mes",6,"año",2009)</f>
        <v>3462</v>
      </c>
      <c r="G11" s="128">
        <f>GETPIVOTDATA("dato",'[1]Evolución mensual categoría'!$A$4,"categoría","4* Y 5*","mes",6,"año",2009)</f>
        <v>4633</v>
      </c>
      <c r="H11" s="128">
        <f>GETPIVOTDATA("dato",'[1]Evolución mensual categoría'!$A$4,"categoría","HOTELEROS","mes",6,"año",2009)</f>
        <v>12750</v>
      </c>
      <c r="I11" s="128">
        <f>GETPIVOTDATA("dato",'[1]Evolución mensual categoría'!$A$4,"categoría","EXTRAHOTELEROS","mes",6,"año",2009)</f>
        <v>0</v>
      </c>
      <c r="J11" s="128">
        <f>GETPIVOTDATA("dato",'[1]Evolución mensual categoría'!$A$4,"categoría","TOTAL","mes",6,"año",2009)</f>
        <v>12750</v>
      </c>
    </row>
    <row r="12" spans="3:10">
      <c r="C12" s="177" t="s">
        <v>64</v>
      </c>
      <c r="D12" s="128">
        <f>GETPIVOTDATA("dato",'[1]Evolución mensual categoría'!$A$4,"categoría","2*","mes",7,"año",2009)</f>
        <v>3742</v>
      </c>
      <c r="E12" s="128">
        <f>GETPIVOTDATA("dato",'[1]Evolución mensual categoría'!$A$4,"categoría","2*","mes",7,"año",2009)</f>
        <v>3742</v>
      </c>
      <c r="F12" s="128">
        <f>GETPIVOTDATA("dato",'[1]Evolución mensual categoría'!$A$4,"categoría","3 *","mes",7,"año",2009)</f>
        <v>3552</v>
      </c>
      <c r="G12" s="128">
        <f>GETPIVOTDATA("dato",'[1]Evolución mensual categoría'!$A$4,"categoría","4* Y 5*","mes",7,"año",2009)</f>
        <v>3857</v>
      </c>
      <c r="H12" s="128">
        <f>GETPIVOTDATA("dato",'[1]Evolución mensual categoría'!$A$4,"categoría","HOTELEROS","mes",7,"año",2009)</f>
        <v>11890</v>
      </c>
      <c r="I12" s="128">
        <f>GETPIVOTDATA("dato",'[1]Evolución mensual categoría'!$A$4,"categoría","EXTRAHOTELEROS","mes",7,"año",2009)</f>
        <v>0</v>
      </c>
      <c r="J12" s="128">
        <f>GETPIVOTDATA("dato",'[1]Evolución mensual categoría'!$A$4,"categoría","TOTAL","mes",7,"año",2009)</f>
        <v>11890</v>
      </c>
    </row>
    <row r="13" spans="3:10">
      <c r="C13" s="177" t="s">
        <v>65</v>
      </c>
      <c r="D13" s="128">
        <f>GETPIVOTDATA("dato",'[1]Evolución mensual categoría'!$A$4,"categoría","2*","mes",8,"año",2009)</f>
        <v>2435</v>
      </c>
      <c r="E13" s="128">
        <f>GETPIVOTDATA("dato",'[1]Evolución mensual categoría'!$A$4,"categoría","2*","mes",8,"año",2009)</f>
        <v>2435</v>
      </c>
      <c r="F13" s="128">
        <f>GETPIVOTDATA("dato",'[1]Evolución mensual categoría'!$A$4,"categoría","3 *","mes",8,"año",2009)</f>
        <v>2311</v>
      </c>
      <c r="G13" s="128">
        <f>GETPIVOTDATA("dato",'[1]Evolución mensual categoría'!$A$4,"categoría","4* Y 5*","mes",8,"año",2009)</f>
        <v>2454</v>
      </c>
      <c r="H13" s="128">
        <f>GETPIVOTDATA("dato",'[1]Evolución mensual categoría'!$A$4,"categoría","HOTELEROS","mes",8,"año",2009)</f>
        <v>7777</v>
      </c>
      <c r="I13" s="128">
        <f>GETPIVOTDATA("dato",'[1]Evolución mensual categoría'!$A$4,"categoría","EXTRAHOTELEROS","mes",8,"año",2009)</f>
        <v>0</v>
      </c>
      <c r="J13" s="128">
        <f>GETPIVOTDATA("dato",'[1]Evolución mensual categoría'!$A$4,"categoría","TOTAL","mes",8,"año",2009)</f>
        <v>7777</v>
      </c>
    </row>
    <row r="14" spans="3:10" ht="15.75" customHeight="1">
      <c r="C14" s="177" t="s">
        <v>66</v>
      </c>
      <c r="D14" s="128">
        <f>GETPIVOTDATA("dato",'[1]Evolución mensual categoría'!$A$4,"categoría","2*","mes",9,"año",2009)</f>
        <v>3205</v>
      </c>
      <c r="E14" s="128">
        <f>GETPIVOTDATA("dato",'[1]Evolución mensual categoría'!$A$4,"categoría","2*","mes",9,"año",2009)</f>
        <v>3205</v>
      </c>
      <c r="F14" s="128">
        <f>GETPIVOTDATA("dato",'[1]Evolución mensual categoría'!$A$4,"categoría","3 *","mes",9,"año",2009)</f>
        <v>3451</v>
      </c>
      <c r="G14" s="128">
        <f>GETPIVOTDATA("dato",'[1]Evolución mensual categoría'!$A$4,"categoría","4* Y 5*","mes",9,"año",2009)</f>
        <v>3811</v>
      </c>
      <c r="H14" s="128">
        <f>GETPIVOTDATA("dato",'[1]Evolución mensual categoría'!$A$4,"categoría","HOTELEROS","mes",9,"año",2009)</f>
        <v>11123</v>
      </c>
      <c r="I14" s="128">
        <f>GETPIVOTDATA("dato",'[1]Evolución mensual categoría'!$A$4,"categoría","EXTRAHOTELEROS","mes",9,"año",2009)</f>
        <v>0</v>
      </c>
      <c r="J14" s="128">
        <f>GETPIVOTDATA("dato",'[1]Evolución mensual categoría'!$A$4,"categoría","TOTAL","mes",9,"año",2009)</f>
        <v>11123</v>
      </c>
    </row>
    <row r="15" spans="3:10">
      <c r="C15" s="177" t="s">
        <v>67</v>
      </c>
      <c r="D15" s="128">
        <f>GETPIVOTDATA("dato",'[1]Evolución mensual categoría'!$A$4,"categoría","2*","mes",10,"año",2009)</f>
        <v>3901</v>
      </c>
      <c r="E15" s="128">
        <f>GETPIVOTDATA("dato",'[1]Evolución mensual categoría'!$A$4,"categoría","2*","mes",10,"año",2009)</f>
        <v>3901</v>
      </c>
      <c r="F15" s="128">
        <f>GETPIVOTDATA("dato",'[1]Evolución mensual categoría'!$A$4,"categoría","3 *","mes",10,"año",2009)</f>
        <v>4004</v>
      </c>
      <c r="G15" s="128">
        <f>GETPIVOTDATA("dato",'[1]Evolución mensual categoría'!$A$4,"categoría","4* Y 5*","mes",10,"año",2009)</f>
        <v>4270</v>
      </c>
      <c r="H15" s="128">
        <f>GETPIVOTDATA("dato",'[1]Evolución mensual categoría'!$A$4,"categoría","HOTELEROS","mes",10,"año",2009)</f>
        <v>12809</v>
      </c>
      <c r="I15" s="128">
        <f>GETPIVOTDATA("dato",'[1]Evolución mensual categoría'!$A$4,"categoría","EXTRAHOTELEROS","mes",10,"año",2009)</f>
        <v>0</v>
      </c>
      <c r="J15" s="128">
        <f>GETPIVOTDATA("dato",'[1]Evolución mensual categoría'!$A$4,"categoría","TOTAL","mes",10,"año",2009)</f>
        <v>12809</v>
      </c>
    </row>
    <row r="16" spans="3:10">
      <c r="C16" s="177" t="s">
        <v>68</v>
      </c>
      <c r="D16" s="128">
        <f>GETPIVOTDATA("dato",'[1]Evolución mensual categoría'!$A$4,"categoría","2*","mes",11,"año",2009)</f>
        <v>4482</v>
      </c>
      <c r="E16" s="128">
        <f>GETPIVOTDATA("dato",'[1]Evolución mensual categoría'!$A$4,"categoría","2*","mes",11,"año",2009)</f>
        <v>4482</v>
      </c>
      <c r="F16" s="128">
        <f>GETPIVOTDATA("dato",'[1]Evolución mensual categoría'!$A$4,"categoría","3 *","mes",11,"año",2009)</f>
        <v>4321</v>
      </c>
      <c r="G16" s="128">
        <f>GETPIVOTDATA("dato",'[1]Evolución mensual categoría'!$A$4,"categoría","4* Y 5*","mes",11,"año",2009)</f>
        <v>4419</v>
      </c>
      <c r="H16" s="128">
        <f>GETPIVOTDATA("dato",'[1]Evolución mensual categoría'!$A$4,"categoría","HOTELEROS","mes",11,"año",2009)</f>
        <v>13990</v>
      </c>
      <c r="I16" s="128">
        <f>GETPIVOTDATA("dato",'[1]Evolución mensual categoría'!$A$4,"categoría","EXTRAHOTELEROS","mes",11,"año",2009)</f>
        <v>0</v>
      </c>
      <c r="J16" s="128">
        <f>GETPIVOTDATA("dato",'[1]Evolución mensual categoría'!$A$4,"categoría","TOTAL","mes",11,"año",2009)</f>
        <v>13990</v>
      </c>
    </row>
    <row r="17" spans="3:11">
      <c r="C17" s="177" t="s">
        <v>69</v>
      </c>
      <c r="D17" s="128">
        <f>GETPIVOTDATA("dato",'[1]Evolución mensual categoría'!$A$4,"categoría","2*","mes",12,"año",2009)</f>
        <v>4767</v>
      </c>
      <c r="E17" s="128">
        <f>GETPIVOTDATA("dato",'[1]Evolución mensual categoría'!$A$4,"categoría","2*","mes",12,"año",2009)</f>
        <v>4767</v>
      </c>
      <c r="F17" s="128">
        <f>GETPIVOTDATA("dato",'[1]Evolución mensual categoría'!$A$4,"categoría","3 *","mes",12,"año",2009)</f>
        <v>3865</v>
      </c>
      <c r="G17" s="128">
        <f>GETPIVOTDATA("dato",'[1]Evolución mensual categoría'!$A$4,"categoría","4* Y 5*","mes",12,"año",2009)</f>
        <v>3662</v>
      </c>
      <c r="H17" s="128">
        <f>GETPIVOTDATA("dato",'[1]Evolución mensual categoría'!$A$4,"categoría","HOTELEROS","mes",12,"año",2009)</f>
        <v>13086</v>
      </c>
      <c r="I17" s="128">
        <f>GETPIVOTDATA("dato",'[1]Evolución mensual categoría'!$A$4,"categoría","EXTRAHOTELEROS","mes",12,"año",2009)</f>
        <v>0</v>
      </c>
      <c r="J17" s="128">
        <f>GETPIVOTDATA("dato",'[1]Evolución mensual categoría'!$A$4,"categoría","TOTAL","mes",12,"año",2009)</f>
        <v>13086</v>
      </c>
    </row>
    <row r="18" spans="3:11" ht="15.75" thickBot="1">
      <c r="C18" s="178" t="s">
        <v>101</v>
      </c>
      <c r="D18" s="152">
        <f>GETPIVOTDATA("dato",'[1]Evolución mensual categoría'!$A$4,"categoría","2*","año",2009)</f>
        <v>48863</v>
      </c>
      <c r="E18" s="152">
        <f>GETPIVOTDATA("dato",'[1]Evolución mensual categoría'!$A$4,"categoría","2*","año",2009)</f>
        <v>48863</v>
      </c>
      <c r="F18" s="152">
        <f>GETPIVOTDATA("dato",'[1]Evolución mensual categoría'!$A$4,"categoría","3 *","año",2009)</f>
        <v>44447</v>
      </c>
      <c r="G18" s="152">
        <f>GETPIVOTDATA("dato",'[1]Evolución mensual categoría'!$A$4,"categoría","4* Y 5*","año",2009)</f>
        <v>50731</v>
      </c>
      <c r="H18" s="152">
        <f>GETPIVOTDATA("dato",'[1]Evolución mensual categoría'!$A$4,"categoría","HOTELEROS","año",2009)</f>
        <v>154373</v>
      </c>
      <c r="I18" s="152">
        <f>GETPIVOTDATA("dato",'[1]Evolución mensual categoría'!$A$4,"categoría","EXTRAHOTELEROS","año",2009)</f>
        <v>0</v>
      </c>
      <c r="J18" s="152">
        <f>GETPIVOTDATA("dato",'[1]Evolución mensual categoría'!$A$4,"categoría","TOTAL","año",2009)</f>
        <v>154373</v>
      </c>
    </row>
    <row r="19" spans="3:11" ht="16.5" thickBot="1">
      <c r="C19" s="135" t="s">
        <v>33</v>
      </c>
      <c r="D19" s="136"/>
      <c r="E19" s="136"/>
      <c r="F19" s="136"/>
      <c r="G19" s="136"/>
      <c r="H19" s="136"/>
      <c r="I19" s="136"/>
      <c r="J19" s="137"/>
      <c r="K19" s="60" t="s">
        <v>50</v>
      </c>
    </row>
    <row r="23" spans="3:11">
      <c r="C23" s="170" t="s">
        <v>121</v>
      </c>
      <c r="D23" s="171"/>
      <c r="E23" s="171"/>
      <c r="F23" s="171"/>
      <c r="G23" s="171"/>
      <c r="H23" s="171"/>
      <c r="I23" s="171"/>
      <c r="J23" s="171"/>
    </row>
    <row r="24" spans="3:11">
      <c r="C24" s="172">
        <v>2010</v>
      </c>
      <c r="D24" s="173"/>
      <c r="E24" s="173"/>
      <c r="F24" s="173"/>
      <c r="G24" s="173"/>
      <c r="H24" s="173"/>
      <c r="I24" s="173"/>
      <c r="J24" s="173"/>
    </row>
    <row r="25" spans="3:11" ht="30">
      <c r="C25" s="174" t="s">
        <v>122</v>
      </c>
      <c r="D25" s="127" t="s">
        <v>112</v>
      </c>
      <c r="E25" s="127" t="s">
        <v>113</v>
      </c>
      <c r="F25" s="127" t="s">
        <v>114</v>
      </c>
      <c r="G25" s="127" t="s">
        <v>115</v>
      </c>
      <c r="H25" s="161" t="s">
        <v>120</v>
      </c>
      <c r="I25" s="161" t="s">
        <v>36</v>
      </c>
      <c r="J25" s="161" t="s">
        <v>37</v>
      </c>
    </row>
    <row r="26" spans="3:11">
      <c r="C26" s="175" t="s">
        <v>58</v>
      </c>
      <c r="D26" s="176">
        <f>GETPIVOTDATA("dato",'[1]Evolución mensual categoría'!$A$4,"categoría","2*","mes",1,"año",2010)</f>
        <v>4067</v>
      </c>
      <c r="E26" s="176">
        <f>GETPIVOTDATA("dato",'[1]Evolución mensual categoría'!$A$4,"categoría","2*","mes",1,"año",2010)</f>
        <v>4067</v>
      </c>
      <c r="F26" s="176">
        <f>GETPIVOTDATA("dato",'[1]Evolución mensual categoría'!$A$4,"categoría","3 *","mes",1,"año",2010)</f>
        <v>4031</v>
      </c>
      <c r="G26" s="176">
        <f>GETPIVOTDATA("dato",'[1]Evolución mensual categoría'!$A$4,"categoría","4* Y 5*","mes",1,"año",2010)</f>
        <v>4404</v>
      </c>
      <c r="H26" s="176">
        <f>GETPIVOTDATA("dato",'[1]Evolución mensual categoría'!$A$4,"categoría","HOTELEROS","mes",1,"año",2010)</f>
        <v>13188</v>
      </c>
      <c r="I26" s="176">
        <f>GETPIVOTDATA("dato",'[1]Evolución mensual categoría'!$A$4,"categoría","EXTRAHOTELEROS","mes",1,"año",2010)</f>
        <v>0</v>
      </c>
      <c r="J26" s="176">
        <f>GETPIVOTDATA("dato",'[1]Evolución mensual categoría'!$A$4,"categoría","TOTAL","mes",1,"año",2010)</f>
        <v>13188</v>
      </c>
    </row>
    <row r="27" spans="3:11">
      <c r="C27" s="177" t="s">
        <v>59</v>
      </c>
      <c r="D27" s="128">
        <f>GETPIVOTDATA("dato",'[1]Evolución mensual categoría'!$A$4,"categoría","2*","mes",2,"año",2010)</f>
        <v>5330</v>
      </c>
      <c r="E27" s="128">
        <f>GETPIVOTDATA("dato",'[1]Evolución mensual categoría'!$A$4,"categoría","2*","mes",2,"año",2010)</f>
        <v>5330</v>
      </c>
      <c r="F27" s="128">
        <f>GETPIVOTDATA("dato",'[1]Evolución mensual categoría'!$A$4,"categoría","3 *","mes",2,"año",2010)</f>
        <v>4638</v>
      </c>
      <c r="G27" s="128">
        <f>GETPIVOTDATA("dato",'[1]Evolución mensual categoría'!$A$4,"categoría","4* Y 5*","mes",2,"año",2010)</f>
        <v>5539</v>
      </c>
      <c r="H27" s="128">
        <f>GETPIVOTDATA("dato",'[1]Evolución mensual categoría'!$A$4,"categoría","HOTELEROS","mes",2,"año",2010)</f>
        <v>16759</v>
      </c>
      <c r="I27" s="128">
        <f>GETPIVOTDATA("dato",'[1]Evolución mensual categoría'!$A$4,"categoría","EXTRAHOTELEROS","mes",2,"año",2010)</f>
        <v>0</v>
      </c>
      <c r="J27" s="128">
        <f>GETPIVOTDATA("dato",'[1]Evolución mensual categoría'!$A$4,"categoría","TOTAL","mes",2,"año",2010)</f>
        <v>16759</v>
      </c>
    </row>
    <row r="28" spans="3:11">
      <c r="C28" s="177" t="s">
        <v>60</v>
      </c>
      <c r="D28" s="128">
        <f>GETPIVOTDATA("dato",'[1]Evolución mensual categoría'!$A$4,"categoría","2*","mes",3,"año",2010)</f>
        <v>4541</v>
      </c>
      <c r="E28" s="128">
        <f>GETPIVOTDATA("dato",'[1]Evolución mensual categoría'!$A$4,"categoría","2*","mes",3,"año",2010)</f>
        <v>4541</v>
      </c>
      <c r="F28" s="128">
        <f>GETPIVOTDATA("dato",'[1]Evolución mensual categoría'!$A$4,"categoría","3 *","mes",3,"año",2010)</f>
        <v>4088</v>
      </c>
      <c r="G28" s="128">
        <f>GETPIVOTDATA("dato",'[1]Evolución mensual categoría'!$A$4,"categoría","4* Y 5*","mes",3,"año",2010)</f>
        <v>5114</v>
      </c>
      <c r="H28" s="128">
        <f>GETPIVOTDATA("dato",'[1]Evolución mensual categoría'!$A$4,"categoría","HOTELEROS","mes",3,"año",2010)</f>
        <v>14574</v>
      </c>
      <c r="I28" s="128">
        <f>GETPIVOTDATA("dato",'[1]Evolución mensual categoría'!$A$4,"categoría","EXTRAHOTELEROS","mes",3,"año",2010)</f>
        <v>0</v>
      </c>
      <c r="J28" s="128">
        <f>GETPIVOTDATA("dato",'[1]Evolución mensual categoría'!$A$4,"categoría","TOTAL","mes",3,"año",2010)</f>
        <v>14574</v>
      </c>
    </row>
    <row r="29" spans="3:11">
      <c r="C29" s="177" t="s">
        <v>61</v>
      </c>
      <c r="D29" s="128">
        <f>GETPIVOTDATA("dato",'[1]Evolución mensual categoría'!$A$4,"categoría","2*","mes",4,"año",2010)</f>
        <v>3980</v>
      </c>
      <c r="E29" s="128">
        <f>GETPIVOTDATA("dato",'[1]Evolución mensual categoría'!$A$4,"categoría","2*","mes",4,"año",2010)</f>
        <v>3980</v>
      </c>
      <c r="F29" s="128">
        <f>GETPIVOTDATA("dato",'[1]Evolución mensual categoría'!$A$4,"categoría","3 *","mes",4,"año",2010)</f>
        <v>3782</v>
      </c>
      <c r="G29" s="128">
        <f>GETPIVOTDATA("dato",'[1]Evolución mensual categoría'!$A$4,"categoría","4* Y 5*","mes",4,"año",2010)</f>
        <v>4236</v>
      </c>
      <c r="H29" s="128">
        <f>GETPIVOTDATA("dato",'[1]Evolución mensual categoría'!$A$4,"categoría","HOTELEROS","mes",4,"año",2010)</f>
        <v>12595</v>
      </c>
      <c r="I29" s="128">
        <f>GETPIVOTDATA("dato",'[1]Evolución mensual categoría'!$A$4,"categoría","EXTRAHOTELEROS","mes",4,"año",2010)</f>
        <v>0</v>
      </c>
      <c r="J29" s="128">
        <f>GETPIVOTDATA("dato",'[1]Evolución mensual categoría'!$A$4,"categoría","TOTAL","mes",4,"año",2010)</f>
        <v>12595</v>
      </c>
    </row>
    <row r="30" spans="3:11">
      <c r="C30" s="177" t="s">
        <v>62</v>
      </c>
      <c r="D30" s="128">
        <f>GETPIVOTDATA("dato",'[1]Evolución mensual categoría'!$A$4,"categoría","2*","mes",5,"año",2010)</f>
        <v>4094</v>
      </c>
      <c r="E30" s="128">
        <f>GETPIVOTDATA("dato",'[1]Evolución mensual categoría'!$A$4,"categoría","2*","mes",5,"año",2010)</f>
        <v>4094</v>
      </c>
      <c r="F30" s="128">
        <f>GETPIVOTDATA("dato",'[1]Evolución mensual categoría'!$A$4,"categoría","3 *","mes",5,"año",2010)</f>
        <v>3845</v>
      </c>
      <c r="G30" s="128">
        <f>GETPIVOTDATA("dato",'[1]Evolución mensual categoría'!$A$4,"categoría","4* Y 5*","mes",5,"año",2010)</f>
        <v>3910</v>
      </c>
      <c r="H30" s="128">
        <f>GETPIVOTDATA("dato",'[1]Evolución mensual categoría'!$A$4,"categoría","HOTELEROS","mes",5,"año",2010)</f>
        <v>12407</v>
      </c>
      <c r="I30" s="128">
        <f>GETPIVOTDATA("dato",'[1]Evolución mensual categoría'!$A$4,"categoría","EXTRAHOTELEROS","mes",5,"año",2010)</f>
        <v>0</v>
      </c>
      <c r="J30" s="128">
        <f>GETPIVOTDATA("dato",'[1]Evolución mensual categoría'!$A$4,"categoría","TOTAL","mes",5,"año",2010)</f>
        <v>12407</v>
      </c>
    </row>
    <row r="31" spans="3:11">
      <c r="C31" s="177" t="s">
        <v>63</v>
      </c>
      <c r="D31" s="128">
        <f>GETPIVOTDATA("dato",'[1]Evolución mensual categoría'!$A$4,"categoría","2*","mes",6,"año",2010)</f>
        <v>4291</v>
      </c>
      <c r="E31" s="128">
        <f>GETPIVOTDATA("dato",'[1]Evolución mensual categoría'!$A$4,"categoría","2*","mes",6,"año",2010)</f>
        <v>4291</v>
      </c>
      <c r="F31" s="128">
        <f>GETPIVOTDATA("dato",'[1]Evolución mensual categoría'!$A$4,"categoría","3 *","mes",6,"año",2010)</f>
        <v>4146</v>
      </c>
      <c r="G31" s="128">
        <f>GETPIVOTDATA("dato",'[1]Evolución mensual categoría'!$A$4,"categoría","4* Y 5*","mes",6,"año",2010)</f>
        <v>3728</v>
      </c>
      <c r="H31" s="128">
        <f>GETPIVOTDATA("dato",'[1]Evolución mensual categoría'!$A$4,"categoría","HOTELEROS","mes",6,"año",2010)</f>
        <v>12682</v>
      </c>
      <c r="I31" s="128">
        <f>GETPIVOTDATA("dato",'[1]Evolución mensual categoría'!$A$4,"categoría","EXTRAHOTELEROS","mes",6,"año",2010)</f>
        <v>0</v>
      </c>
      <c r="J31" s="128">
        <f>GETPIVOTDATA("dato",'[1]Evolución mensual categoría'!$A$4,"categoría","TOTAL","mes",6,"año",2010)</f>
        <v>12682</v>
      </c>
    </row>
    <row r="32" spans="3:11">
      <c r="C32" s="177" t="s">
        <v>64</v>
      </c>
      <c r="D32" s="128">
        <f>GETPIVOTDATA("dato",'[1]Evolución mensual categoría'!$A$4,"categoría","2*","mes",7,"año",2010)</f>
        <v>3520</v>
      </c>
      <c r="E32" s="128">
        <f>GETPIVOTDATA("dato",'[1]Evolución mensual categoría'!$A$4,"categoría","2*","mes",7,"año",2010)</f>
        <v>3520</v>
      </c>
      <c r="F32" s="128">
        <f>GETPIVOTDATA("dato",'[1]Evolución mensual categoría'!$A$4,"categoría","3 *","mes",7,"año",2010)</f>
        <v>3110</v>
      </c>
      <c r="G32" s="128">
        <f>GETPIVOTDATA("dato",'[1]Evolución mensual categoría'!$A$4,"categoría","4* Y 5*","mes",7,"año",2010)</f>
        <v>3474</v>
      </c>
      <c r="H32" s="128">
        <f>GETPIVOTDATA("dato",'[1]Evolución mensual categoría'!$A$4,"categoría","HOTELEROS","mes",7,"año",2010)</f>
        <v>10611</v>
      </c>
      <c r="I32" s="128">
        <f>GETPIVOTDATA("dato",'[1]Evolución mensual categoría'!$A$4,"categoría","EXTRAHOTELEROS","mes",7,"año",2010)</f>
        <v>0</v>
      </c>
      <c r="J32" s="128">
        <f>GETPIVOTDATA("dato",'[1]Evolución mensual categoría'!$A$4,"categoría","TOTAL","mes",7,"año",2010)</f>
        <v>10611</v>
      </c>
    </row>
    <row r="33" spans="3:10">
      <c r="C33" s="177" t="s">
        <v>65</v>
      </c>
      <c r="D33" s="128">
        <f>GETPIVOTDATA("dato",'[1]Evolución mensual categoría'!$A$4,"categoría","2*","mes",8,"año",2010)</f>
        <v>0</v>
      </c>
      <c r="E33" s="128">
        <f>GETPIVOTDATA("dato",'[1]Evolución mensual categoría'!$A$4,"categoría","2*","mes",8,"año",2010)</f>
        <v>0</v>
      </c>
      <c r="F33" s="128">
        <f>GETPIVOTDATA("dato",'[1]Evolución mensual categoría'!$A$4,"categoría","3 *","mes",8,"año",2010)</f>
        <v>0</v>
      </c>
      <c r="G33" s="128">
        <f>GETPIVOTDATA("dato",'[1]Evolución mensual categoría'!$A$4,"categoría","4* Y 5*","mes",8,"año",2010)</f>
        <v>0</v>
      </c>
      <c r="H33" s="128">
        <f>GETPIVOTDATA("dato",'[1]Evolución mensual categoría'!$A$4,"categoría","HOTELEROS","mes",8,"año",2010)</f>
        <v>0</v>
      </c>
      <c r="I33" s="128">
        <f>GETPIVOTDATA("dato",'[1]Evolución mensual categoría'!$A$4,"categoría","EXTRAHOTELEROS","mes",8,"año",2010)</f>
        <v>0</v>
      </c>
      <c r="J33" s="128">
        <f>GETPIVOTDATA("dato",'[1]Evolución mensual categoría'!$A$4,"categoría","TOTAL","mes",8,"año",2010)</f>
        <v>0</v>
      </c>
    </row>
    <row r="34" spans="3:10">
      <c r="C34" s="177" t="s">
        <v>66</v>
      </c>
      <c r="D34" s="128">
        <f>GETPIVOTDATA("dato",'[1]Evolución mensual categoría'!$A$4,"categoría","2*","mes",9,"año",2010)</f>
        <v>0</v>
      </c>
      <c r="E34" s="128">
        <f>GETPIVOTDATA("dato",'[1]Evolución mensual categoría'!$A$4,"categoría","2*","mes",9,"año",2010)</f>
        <v>0</v>
      </c>
      <c r="F34" s="128">
        <f>GETPIVOTDATA("dato",'[1]Evolución mensual categoría'!$A$4,"categoría","3 *","mes",9,"año",2010)</f>
        <v>0</v>
      </c>
      <c r="G34" s="128">
        <f>GETPIVOTDATA("dato",'[1]Evolución mensual categoría'!$A$4,"categoría","4* Y 5*","mes",9,"año",2010)</f>
        <v>0</v>
      </c>
      <c r="H34" s="128">
        <f>GETPIVOTDATA("dato",'[1]Evolución mensual categoría'!$A$4,"categoría","HOTELEROS","mes",9,"año",2010)</f>
        <v>0</v>
      </c>
      <c r="I34" s="128">
        <f>GETPIVOTDATA("dato",'[1]Evolución mensual categoría'!$A$4,"categoría","EXTRAHOTELEROS","mes",9,"año",2010)</f>
        <v>0</v>
      </c>
      <c r="J34" s="128">
        <f>GETPIVOTDATA("dato",'[1]Evolución mensual categoría'!$A$4,"categoría","TOTAL","mes",9,"año",2010)</f>
        <v>0</v>
      </c>
    </row>
    <row r="35" spans="3:10">
      <c r="C35" s="177" t="s">
        <v>67</v>
      </c>
      <c r="D35" s="128">
        <f>GETPIVOTDATA("dato",'[1]Evolución mensual categoría'!$A$4,"categoría","2*","mes",10,"año",2010)</f>
        <v>0</v>
      </c>
      <c r="E35" s="128">
        <f>GETPIVOTDATA("dato",'[1]Evolución mensual categoría'!$A$4,"categoría","2*","mes",10,"año",2010)</f>
        <v>0</v>
      </c>
      <c r="F35" s="128">
        <f>GETPIVOTDATA("dato",'[1]Evolución mensual categoría'!$A$4,"categoría","3 *","mes",10,"año",2010)</f>
        <v>0</v>
      </c>
      <c r="G35" s="128">
        <f>GETPIVOTDATA("dato",'[1]Evolución mensual categoría'!$A$4,"categoría","4* Y 5*","mes",10,"año",2010)</f>
        <v>0</v>
      </c>
      <c r="H35" s="128">
        <f>GETPIVOTDATA("dato",'[1]Evolución mensual categoría'!$A$4,"categoría","HOTELEROS","mes",10,"año",2010)</f>
        <v>0</v>
      </c>
      <c r="I35" s="128">
        <f>GETPIVOTDATA("dato",'[1]Evolución mensual categoría'!$A$4,"categoría","EXTRAHOTELEROS","mes",10,"año",2010)</f>
        <v>0</v>
      </c>
      <c r="J35" s="128">
        <f>GETPIVOTDATA("dato",'[1]Evolución mensual categoría'!$A$4,"categoría","TOTAL","mes",10,"año",2010)</f>
        <v>0</v>
      </c>
    </row>
    <row r="36" spans="3:10">
      <c r="C36" s="177" t="s">
        <v>68</v>
      </c>
      <c r="D36" s="128">
        <f>GETPIVOTDATA("dato",'[1]Evolución mensual categoría'!$A$4,"categoría","2*","mes",11,"año",2010)</f>
        <v>0</v>
      </c>
      <c r="E36" s="128">
        <f>GETPIVOTDATA("dato",'[1]Evolución mensual categoría'!$A$4,"categoría","2*","mes",11,"año",2010)</f>
        <v>0</v>
      </c>
      <c r="F36" s="128">
        <f>GETPIVOTDATA("dato",'[1]Evolución mensual categoría'!$A$4,"categoría","3 *","mes",11,"año",2010)</f>
        <v>0</v>
      </c>
      <c r="G36" s="128">
        <f>GETPIVOTDATA("dato",'[1]Evolución mensual categoría'!$A$4,"categoría","4* Y 5*","mes",11,"año",2010)</f>
        <v>0</v>
      </c>
      <c r="H36" s="128">
        <f>GETPIVOTDATA("dato",'[1]Evolución mensual categoría'!$A$4,"categoría","HOTELEROS","mes",11,"año",2010)</f>
        <v>0</v>
      </c>
      <c r="I36" s="128">
        <f>GETPIVOTDATA("dato",'[1]Evolución mensual categoría'!$A$4,"categoría","EXTRAHOTELEROS","mes",11,"año",2010)</f>
        <v>0</v>
      </c>
      <c r="J36" s="128">
        <f>GETPIVOTDATA("dato",'[1]Evolución mensual categoría'!$A$4,"categoría","TOTAL","mes",11,"año",2010)</f>
        <v>0</v>
      </c>
    </row>
    <row r="37" spans="3:10">
      <c r="C37" s="177" t="s">
        <v>69</v>
      </c>
      <c r="D37" s="128">
        <f>GETPIVOTDATA("dato",'[1]Evolución mensual categoría'!$A$4,"categoría","2*","mes",12,"año",2010)</f>
        <v>0</v>
      </c>
      <c r="E37" s="128">
        <f>GETPIVOTDATA("dato",'[1]Evolución mensual categoría'!$A$4,"categoría","2*","mes",12,"año",2010)</f>
        <v>0</v>
      </c>
      <c r="F37" s="128">
        <f>GETPIVOTDATA("dato",'[1]Evolución mensual categoría'!$A$4,"categoría","3 *","mes",12,"año",2010)</f>
        <v>0</v>
      </c>
      <c r="G37" s="128">
        <f>GETPIVOTDATA("dato",'[1]Evolución mensual categoría'!$A$4,"categoría","4* Y 5*","mes",12,"año",2010)</f>
        <v>0</v>
      </c>
      <c r="H37" s="128">
        <f>GETPIVOTDATA("dato",'[1]Evolución mensual categoría'!$A$4,"categoría","HOTELEROS","mes",12,"año",2010)</f>
        <v>0</v>
      </c>
      <c r="I37" s="128">
        <f>GETPIVOTDATA("dato",'[1]Evolución mensual categoría'!$A$4,"categoría","EXTRAHOTELEROS","mes",12,"año",2010)</f>
        <v>0</v>
      </c>
      <c r="J37" s="128">
        <f>GETPIVOTDATA("dato",'[1]Evolución mensual categoría'!$A$4,"categoría","TOTAL","mes",12,"año",2010)</f>
        <v>0</v>
      </c>
    </row>
    <row r="38" spans="3:10">
      <c r="C38" s="178" t="s">
        <v>101</v>
      </c>
      <c r="D38" s="152">
        <f>GETPIVOTDATA("dato",'[1]Evolución mensual categoría'!$A$4,"categoría","2*","año",2010)</f>
        <v>29823</v>
      </c>
      <c r="E38" s="152">
        <f>GETPIVOTDATA("dato",'[1]Evolución mensual categoría'!$A$4,"categoría","2*","año",2010)</f>
        <v>29823</v>
      </c>
      <c r="F38" s="152">
        <f>GETPIVOTDATA("dato",'[1]Evolución mensual categoría'!$A$4,"categoría","3 *","año",2010)</f>
        <v>27640</v>
      </c>
      <c r="G38" s="152">
        <f>GETPIVOTDATA("dato",'[1]Evolución mensual categoría'!$A$4,"categoría","4* Y 5*","año",2010)</f>
        <v>30405</v>
      </c>
      <c r="H38" s="152">
        <f>GETPIVOTDATA("dato",'[1]Evolución mensual categoría'!$A$4,"categoría","HOTELEROS","año",2010)</f>
        <v>92816</v>
      </c>
      <c r="I38" s="152">
        <f>GETPIVOTDATA("dato",'[1]Evolución mensual categoría'!$A$4,"categoría","EXTRAHOTELEROS","año",2010)</f>
        <v>0</v>
      </c>
      <c r="J38" s="152">
        <f>GETPIVOTDATA("dato",'[1]Evolución mensual categoría'!$A$4,"categoría","TOTAL","año",2010)</f>
        <v>92816</v>
      </c>
    </row>
    <row r="39" spans="3:10">
      <c r="C39" s="135" t="s">
        <v>33</v>
      </c>
      <c r="D39" s="136"/>
      <c r="E39" s="136"/>
      <c r="F39" s="136"/>
      <c r="G39" s="136"/>
      <c r="H39" s="136"/>
      <c r="I39" s="136"/>
      <c r="J39" s="137"/>
    </row>
  </sheetData>
  <mergeCells count="6">
    <mergeCell ref="C3:J3"/>
    <mergeCell ref="C4:J4"/>
    <mergeCell ref="C19:J19"/>
    <mergeCell ref="C23:J23"/>
    <mergeCell ref="C24:J24"/>
    <mergeCell ref="C39:J39"/>
  </mergeCells>
  <hyperlinks>
    <hyperlink ref="K19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3">
    <tabColor theme="4" tint="-0.499984740745262"/>
    <pageSetUpPr autoPageBreaks="0" fitToPage="1"/>
  </sheetPr>
  <dimension ref="D6:N83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14" t="s">
        <v>123</v>
      </c>
      <c r="E6" s="14"/>
      <c r="F6" s="14"/>
      <c r="G6" s="14"/>
    </row>
    <row r="7" spans="4:7" ht="15" customHeight="1">
      <c r="D7" s="15"/>
      <c r="E7" s="1"/>
      <c r="F7" s="1"/>
      <c r="G7" s="1"/>
    </row>
    <row r="8" spans="4:7" ht="24.95" customHeight="1">
      <c r="D8" s="15"/>
      <c r="E8" s="24" t="s">
        <v>19</v>
      </c>
      <c r="F8" s="25"/>
      <c r="G8" s="25"/>
    </row>
    <row r="9" spans="4:7" ht="15" customHeight="1">
      <c r="D9" s="15"/>
      <c r="E9" s="1"/>
      <c r="F9" s="1"/>
      <c r="G9" s="1"/>
    </row>
    <row r="10" spans="4:7" ht="15" customHeight="1">
      <c r="D10" s="1"/>
      <c r="E10" s="16" t="s">
        <v>10</v>
      </c>
      <c r="F10" s="6"/>
      <c r="G10" s="6"/>
    </row>
    <row r="11" spans="4:7" ht="20.100000000000001" customHeight="1">
      <c r="D11" s="1"/>
      <c r="E11" s="1"/>
      <c r="F11" s="17"/>
      <c r="G11" s="1"/>
    </row>
    <row r="12" spans="4:7" ht="20.100000000000001" customHeight="1">
      <c r="D12" s="1"/>
      <c r="E12" s="1"/>
      <c r="F12" s="18" t="s">
        <v>124</v>
      </c>
      <c r="G12" s="1"/>
    </row>
    <row r="13" spans="4:7" ht="20.100000000000001" customHeight="1">
      <c r="D13" s="1"/>
      <c r="E13" s="1"/>
      <c r="F13" s="18" t="s">
        <v>21</v>
      </c>
      <c r="G13" s="1"/>
    </row>
    <row r="14" spans="4:7" ht="20.100000000000001" customHeight="1">
      <c r="D14" s="1"/>
      <c r="E14" s="1"/>
      <c r="F14" s="18" t="s">
        <v>125</v>
      </c>
      <c r="G14" s="1"/>
    </row>
    <row r="15" spans="4:7" ht="20.100000000000001" customHeight="1">
      <c r="D15" s="1"/>
      <c r="E15" s="1"/>
      <c r="F15" s="17"/>
      <c r="G15" s="1"/>
    </row>
    <row r="16" spans="4:7" ht="20.100000000000001" customHeight="1">
      <c r="D16" s="1"/>
      <c r="E16" s="16" t="s">
        <v>17</v>
      </c>
      <c r="F16" s="6"/>
      <c r="G16" s="6"/>
    </row>
    <row r="17" spans="4:14" ht="20.100000000000001" customHeight="1">
      <c r="D17" s="1"/>
      <c r="E17" s="1"/>
      <c r="F17" s="17"/>
      <c r="G17" s="1"/>
    </row>
    <row r="18" spans="4:14" ht="20.100000000000001" customHeight="1">
      <c r="D18" s="1"/>
      <c r="E18" s="20"/>
      <c r="F18" s="18" t="s">
        <v>126</v>
      </c>
      <c r="G18" s="1"/>
    </row>
    <row r="19" spans="4:14" ht="20.100000000000001" customHeight="1">
      <c r="D19" s="1"/>
      <c r="E19" s="20"/>
      <c r="F19" s="17"/>
      <c r="G19" s="1"/>
    </row>
    <row r="20" spans="4:14" ht="20.100000000000001" customHeight="1">
      <c r="D20" s="15"/>
      <c r="E20" s="24" t="str">
        <f>actualizaciones!A2</f>
        <v xml:space="preserve">acumulado julio 2010 </v>
      </c>
      <c r="F20" s="25"/>
      <c r="G20" s="25"/>
    </row>
    <row r="21" spans="4:14" ht="15" customHeight="1">
      <c r="D21" s="15"/>
      <c r="E21" s="1"/>
      <c r="F21" s="1"/>
      <c r="G21" s="1"/>
    </row>
    <row r="22" spans="4:14" ht="15" customHeight="1">
      <c r="D22" s="1"/>
      <c r="E22" s="16" t="s">
        <v>10</v>
      </c>
      <c r="F22" s="6"/>
      <c r="G22" s="6"/>
    </row>
    <row r="23" spans="4:14" ht="24.95" customHeight="1">
      <c r="D23" s="1"/>
      <c r="E23" s="1"/>
      <c r="F23" s="17"/>
      <c r="G23" s="1"/>
    </row>
    <row r="24" spans="4:14" ht="20.100000000000001" customHeight="1">
      <c r="D24" s="1"/>
      <c r="E24" s="1"/>
      <c r="F24" s="18" t="s">
        <v>127</v>
      </c>
      <c r="G24" s="1"/>
    </row>
    <row r="25" spans="4:14" ht="20.100000000000001" customHeight="1">
      <c r="D25" s="1"/>
      <c r="E25" s="1"/>
      <c r="F25" s="18" t="s">
        <v>128</v>
      </c>
      <c r="G25" s="1"/>
    </row>
    <row r="26" spans="4:14" ht="20.100000000000001" customHeight="1">
      <c r="D26" s="1"/>
      <c r="E26" s="1"/>
      <c r="F26" s="18" t="s">
        <v>129</v>
      </c>
      <c r="G26" s="1"/>
    </row>
    <row r="27" spans="4:14" ht="20.100000000000001" customHeight="1">
      <c r="D27" s="1"/>
      <c r="E27" s="1"/>
      <c r="F27" s="18" t="s">
        <v>130</v>
      </c>
      <c r="G27" s="1"/>
    </row>
    <row r="28" spans="4:14" ht="20.100000000000001" customHeight="1">
      <c r="D28" s="1"/>
      <c r="E28" s="1"/>
      <c r="F28" s="18" t="s">
        <v>131</v>
      </c>
      <c r="G28" s="1"/>
    </row>
    <row r="29" spans="4:14" ht="20.100000000000001" customHeight="1">
      <c r="D29" s="1"/>
      <c r="E29" s="1"/>
      <c r="F29" s="18" t="s">
        <v>132</v>
      </c>
      <c r="G29" s="1"/>
    </row>
    <row r="30" spans="4:14" ht="20.100000000000001" customHeight="1">
      <c r="D30" s="1"/>
      <c r="E30" s="1"/>
      <c r="F30" s="18" t="s">
        <v>133</v>
      </c>
      <c r="G30" s="1"/>
    </row>
    <row r="31" spans="4:14" ht="15" customHeight="1">
      <c r="D31" s="1"/>
      <c r="E31" s="1"/>
      <c r="F31" s="17"/>
      <c r="G31" s="1"/>
    </row>
    <row r="32" spans="4:14" ht="15" customHeight="1">
      <c r="D32" s="1"/>
      <c r="E32" s="16" t="s">
        <v>17</v>
      </c>
      <c r="F32" s="6"/>
      <c r="G32" s="6"/>
      <c r="H32" s="12"/>
      <c r="I32" s="12"/>
      <c r="J32" s="12"/>
      <c r="K32" s="12"/>
      <c r="L32" s="12"/>
      <c r="M32" s="12"/>
      <c r="N32" s="12"/>
    </row>
    <row r="33" spans="4:7" ht="15" customHeight="1">
      <c r="D33" s="1"/>
      <c r="E33" s="1"/>
      <c r="F33" s="17"/>
      <c r="G33" s="1"/>
    </row>
    <row r="34" spans="4:7" ht="20.100000000000001" customHeight="1">
      <c r="D34" s="1"/>
      <c r="E34" s="20"/>
      <c r="F34" s="18" t="s">
        <v>126</v>
      </c>
      <c r="G34" s="1"/>
    </row>
    <row r="35" spans="4:7" ht="15" customHeight="1">
      <c r="D35" s="1"/>
      <c r="E35" s="1"/>
      <c r="F35" s="17"/>
      <c r="G35" s="1"/>
    </row>
    <row r="36" spans="4:7" ht="15" customHeight="1">
      <c r="D36" s="21"/>
    </row>
    <row r="37" spans="4:7" ht="15" customHeight="1">
      <c r="D37" s="11" t="s">
        <v>8</v>
      </c>
      <c r="E37" s="11"/>
      <c r="F37" s="11"/>
      <c r="G37" s="11"/>
    </row>
    <row r="38" spans="4:7" ht="15" customHeight="1">
      <c r="D38" s="12"/>
      <c r="E38" s="12"/>
      <c r="F38" s="12"/>
      <c r="G38" s="12"/>
    </row>
    <row r="39" spans="4:7" ht="15" customHeight="1"/>
    <row r="40" spans="4:7" ht="15" customHeight="1"/>
    <row r="41" spans="4:7" ht="15" customHeight="1">
      <c r="E41" s="22"/>
      <c r="F41" s="23"/>
    </row>
    <row r="42" spans="4:7" ht="15" customHeight="1"/>
    <row r="43" spans="4:7" ht="15" customHeight="1">
      <c r="D43" s="21"/>
    </row>
    <row r="44" spans="4:7" ht="15" customHeight="1"/>
    <row r="45" spans="4:7" ht="15" customHeight="1"/>
    <row r="46" spans="4:7" ht="15" customHeight="1"/>
    <row r="47" spans="4:7" ht="15" customHeight="1"/>
    <row r="48" spans="4:7" ht="15" customHeight="1">
      <c r="D48" s="21"/>
    </row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</sheetData>
  <mergeCells count="2">
    <mergeCell ref="D6:G6"/>
    <mergeCell ref="D37:G37"/>
  </mergeCells>
  <hyperlinks>
    <hyperlink ref="F13" location="'Nacionalidades  evolución mensu'!A1" tooltip="Variación interanual" display="Variación interanual"/>
    <hyperlink ref="F18" location="'graf. dist NACIONALIDADES AÑO'!A1" tooltip="Distribución por nacionalidades" display="Distribución por nacionalidades"/>
    <hyperlink ref="F12" location="'Nacionalidades  evolución mensu'!A1" tooltip="Evolución anual" display="Alojados por nacionalidad"/>
    <hyperlink ref="F24" location="'Nacionalidades '!A1" tooltip="Turistas alojados por nacionalidad" display="Turistas alojados por nacionalidad"/>
    <hyperlink ref="F34" location="'graf. dist NACIONALIDADES'!A1" tooltip="Distribución por nacionalidades" display="Distribución por nacionalidades"/>
    <hyperlink ref="F25" location="'Nacionalidades  evolución mensu'!A1" tooltip="Distribución por nacionalidad" display="Evolución mensual"/>
    <hyperlink ref="F29" location="'Nacionalidad-Alojamiento(datos)'!A1" tooltip="Alojados por categoría y tipología de establecimiento" display="Alojados por categoría y tipología de establecimiento"/>
    <hyperlink ref="F30" location="'Nacionalidad-Alojamiento'!A1" tooltip="Distribución por nacionalidad según categoría y tipología de establecimiento" display="Distribución por nacionalidad según categoría y tipología de establecimiento"/>
    <hyperlink ref="F14" location="'Nacionalidad-evolución cuota'!A1" tooltip="Cuota sobre el total de alojados" display="Cuota sobre el total de alojados"/>
    <hyperlink ref="F27" location="'Distribución Nacionalidades'!A1" tooltip="Distribución por nacionalidad" display="Distribución por nacionalidad"/>
    <hyperlink ref="F26" location="'graficas evol mensual merc'!A1" tooltip="Distribución por nacionalidad" display="Evolución mensual de cada emisor"/>
    <hyperlink ref="F28" location="'Nacionalidad-Alojamiento(datos)'!A1" tooltip="Distribución por nacionalidad" display="Distribución por nacionalidad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89"/>
  <sheetViews>
    <sheetView showGridLines="0" showRowColHeaders="0" zoomScaleNormal="100" workbookViewId="0">
      <selection activeCell="I13" sqref="I13"/>
    </sheetView>
  </sheetViews>
  <sheetFormatPr baseColWidth="10" defaultRowHeight="15"/>
  <cols>
    <col min="1" max="1" width="16" customWidth="1"/>
    <col min="14" max="14" width="16.42578125" customWidth="1"/>
  </cols>
  <sheetData>
    <row r="1" spans="2:14" ht="66" customHeight="1"/>
    <row r="2" spans="2:14" ht="23.25">
      <c r="B2" s="179" t="s">
        <v>134</v>
      </c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</row>
    <row r="4" spans="2:14" ht="46.5" customHeight="1">
      <c r="B4" s="180" t="s">
        <v>135</v>
      </c>
      <c r="C4" s="181"/>
      <c r="D4" s="181"/>
      <c r="E4" s="181"/>
      <c r="F4" s="181"/>
      <c r="G4" s="182"/>
    </row>
    <row r="5" spans="2:14">
      <c r="B5" s="86"/>
      <c r="C5" s="86">
        <v>2008</v>
      </c>
      <c r="D5" s="86">
        <v>2009</v>
      </c>
      <c r="E5" s="86">
        <v>2010</v>
      </c>
      <c r="F5" s="86" t="s">
        <v>136</v>
      </c>
      <c r="G5" s="86" t="s">
        <v>137</v>
      </c>
    </row>
    <row r="6" spans="2:14">
      <c r="B6" s="183" t="s">
        <v>49</v>
      </c>
      <c r="C6" s="79">
        <f>GETPIVOTDATA("dato",'[1]graficas evolución mensual'!$A$319,"mes",1,"año",2008)</f>
        <v>16982</v>
      </c>
      <c r="D6" s="79">
        <f>GETPIVOTDATA("dato",'[1]graficas evolución mensual'!$A$319,"mes",1,"año",2009)</f>
        <v>13570</v>
      </c>
      <c r="E6" s="79">
        <f>GETPIVOTDATA("dato",'[1]graficas evolución mensual'!$A$319,"mes",1,"año",2010)</f>
        <v>13188</v>
      </c>
      <c r="F6" s="184">
        <f>D6/C6-1</f>
        <v>-0.20091861971499236</v>
      </c>
      <c r="G6" s="184">
        <f>E6/D6-1</f>
        <v>-2.8150331613854052E-2</v>
      </c>
    </row>
    <row r="7" spans="2:14">
      <c r="B7" s="185" t="s">
        <v>48</v>
      </c>
      <c r="C7" s="52">
        <f>GETPIVOTDATA("dato",'[1]graficas evolución mensual'!$A$319,"mes",2,"año",2008)</f>
        <v>19355</v>
      </c>
      <c r="D7" s="52">
        <f>GETPIVOTDATA("dato",'[1]graficas evolución mensual'!$A$319,"mes",2,"año",2009)</f>
        <v>15172</v>
      </c>
      <c r="E7" s="52">
        <f>GETPIVOTDATA("dato",'[1]graficas evolución mensual'!$A$319,"mes",2,"año",2010)</f>
        <v>16759</v>
      </c>
      <c r="F7" s="186">
        <f t="shared" ref="F7:G18" si="0">D7/C7-1</f>
        <v>-0.21611986566778607</v>
      </c>
      <c r="G7" s="186">
        <f t="shared" si="0"/>
        <v>0.10460058001581851</v>
      </c>
    </row>
    <row r="8" spans="2:14">
      <c r="B8" s="185" t="s">
        <v>47</v>
      </c>
      <c r="C8" s="52">
        <f>GETPIVOTDATA("dato",'[1]graficas evolución mensual'!$A$319,"mes",3,"año",2008)</f>
        <v>16551</v>
      </c>
      <c r="D8" s="52">
        <f>GETPIVOTDATA("dato",'[1]graficas evolución mensual'!$A$319,"mes",3,"año",2009)</f>
        <v>15653</v>
      </c>
      <c r="E8" s="52">
        <f>GETPIVOTDATA("dato",'[1]graficas evolución mensual'!$A$319,"mes",3,"año",2010)</f>
        <v>14574</v>
      </c>
      <c r="F8" s="186">
        <f t="shared" si="0"/>
        <v>-5.4256540390308694E-2</v>
      </c>
      <c r="G8" s="186">
        <f>E8/D8-1</f>
        <v>-6.8932473008369022E-2</v>
      </c>
    </row>
    <row r="9" spans="2:14">
      <c r="B9" s="185" t="s">
        <v>46</v>
      </c>
      <c r="C9" s="52">
        <f>GETPIVOTDATA("dato",'[1]graficas evolución mensual'!$A$319,"mes",4,"año",2008)</f>
        <v>17593</v>
      </c>
      <c r="D9" s="52">
        <f>GETPIVOTDATA("dato",'[1]graficas evolución mensual'!$A$319,"mes",4,"año",2009)</f>
        <v>13079</v>
      </c>
      <c r="E9" s="52">
        <f>GETPIVOTDATA("dato",'[1]graficas evolución mensual'!$A$319,"mes",4,"año",2010)</f>
        <v>12595</v>
      </c>
      <c r="F9" s="186">
        <f t="shared" si="0"/>
        <v>-0.25657932132097994</v>
      </c>
      <c r="G9" s="186">
        <f>E9/D9-1</f>
        <v>-3.7005887300252338E-2</v>
      </c>
    </row>
    <row r="10" spans="2:14">
      <c r="B10" s="185" t="s">
        <v>45</v>
      </c>
      <c r="C10" s="52">
        <f>GETPIVOTDATA("dato",'[1]graficas evolución mensual'!$A$319,"mes",5,"año",2008)</f>
        <v>17437</v>
      </c>
      <c r="D10" s="52">
        <f>GETPIVOTDATA("dato",'[1]graficas evolución mensual'!$A$319,"mes",5,"año",2009)</f>
        <v>13474</v>
      </c>
      <c r="E10" s="52">
        <f>GETPIVOTDATA("dato",'[1]graficas evolución mensual'!$A$319,"mes",5,"año",2010)</f>
        <v>12407</v>
      </c>
      <c r="F10" s="186">
        <f t="shared" si="0"/>
        <v>-0.22727533405975797</v>
      </c>
      <c r="G10" s="186">
        <f>E10/D10-1</f>
        <v>-7.918955024491614E-2</v>
      </c>
    </row>
    <row r="11" spans="2:14">
      <c r="B11" s="185" t="s">
        <v>44</v>
      </c>
      <c r="C11" s="52">
        <f>GETPIVOTDATA("dato",'[1]graficas evolución mensual'!$A$319,"mes",6,"año",2008)</f>
        <v>15440</v>
      </c>
      <c r="D11" s="52">
        <f>GETPIVOTDATA("dato",'[1]graficas evolución mensual'!$A$319,"mes",6,"año",2009)</f>
        <v>12750</v>
      </c>
      <c r="E11" s="52">
        <f>GETPIVOTDATA("dato",'[1]graficas evolución mensual'!$A$319,"mes",6,"año",2010)</f>
        <v>12682</v>
      </c>
      <c r="F11" s="186">
        <f t="shared" si="0"/>
        <v>-0.17422279792746109</v>
      </c>
      <c r="G11" s="186">
        <f>E11/D11-1</f>
        <v>-5.3333333333333011E-3</v>
      </c>
    </row>
    <row r="12" spans="2:14">
      <c r="B12" s="185" t="s">
        <v>43</v>
      </c>
      <c r="C12" s="52">
        <f>GETPIVOTDATA("dato",'[1]graficas evolución mensual'!$A$319,"mes",7,"año",2008)</f>
        <v>16337</v>
      </c>
      <c r="D12" s="52">
        <f>GETPIVOTDATA("dato",'[1]graficas evolución mensual'!$A$319,"mes",7,"año",2009)</f>
        <v>11890</v>
      </c>
      <c r="E12" s="52">
        <f>GETPIVOTDATA("dato",'[1]graficas evolución mensual'!$A$319,"mes",7,"año",2010)</f>
        <v>10611</v>
      </c>
      <c r="F12" s="186">
        <f t="shared" si="0"/>
        <v>-0.27220419905735449</v>
      </c>
      <c r="G12" s="186">
        <f>E12/D12-1</f>
        <v>-0.10756938603868793</v>
      </c>
    </row>
    <row r="13" spans="2:14">
      <c r="B13" s="185" t="s">
        <v>42</v>
      </c>
      <c r="C13" s="52">
        <f>GETPIVOTDATA("dato",'[1]graficas evolución mensual'!$A$319,"mes",8,"año",2008)</f>
        <v>12308</v>
      </c>
      <c r="D13" s="52">
        <f>GETPIVOTDATA("dato",'[1]graficas evolución mensual'!$A$319,"mes",8,"año",2009)</f>
        <v>7777</v>
      </c>
      <c r="E13" s="52">
        <f>GETPIVOTDATA("dato",'[1]graficas evolución mensual'!$A$319,"mes",8,"año",2010)</f>
        <v>0</v>
      </c>
      <c r="F13" s="186">
        <f t="shared" si="0"/>
        <v>-0.36813454663633405</v>
      </c>
      <c r="G13" s="186"/>
    </row>
    <row r="14" spans="2:14">
      <c r="B14" s="185" t="s">
        <v>41</v>
      </c>
      <c r="C14" s="52">
        <f>GETPIVOTDATA("dato",'[1]graficas evolución mensual'!$A$319,"mes",9,"año",2008)</f>
        <v>15134</v>
      </c>
      <c r="D14" s="52">
        <f>GETPIVOTDATA("dato",'[1]graficas evolución mensual'!$A$319,"mes",9,"año",2009)</f>
        <v>11123</v>
      </c>
      <c r="E14" s="52">
        <f>GETPIVOTDATA("dato",'[1]graficas evolución mensual'!$A$319,"mes",9,"año",2010)</f>
        <v>0</v>
      </c>
      <c r="F14" s="186">
        <f t="shared" si="0"/>
        <v>-0.2650323774283071</v>
      </c>
      <c r="G14" s="186"/>
    </row>
    <row r="15" spans="2:14">
      <c r="B15" s="185" t="s">
        <v>40</v>
      </c>
      <c r="C15" s="52">
        <f>GETPIVOTDATA("dato",'[1]graficas evolución mensual'!$A$319,"mes",10,"año",2008)</f>
        <v>18706</v>
      </c>
      <c r="D15" s="52">
        <f>GETPIVOTDATA("dato",'[1]graficas evolución mensual'!$A$319,"mes",10,"año",2009)</f>
        <v>12809</v>
      </c>
      <c r="E15" s="52">
        <f>GETPIVOTDATA("dato",'[1]graficas evolución mensual'!$A$319,"mes",10,"año",2010)</f>
        <v>0</v>
      </c>
      <c r="F15" s="186">
        <f t="shared" si="0"/>
        <v>-0.31524644499091203</v>
      </c>
      <c r="G15" s="186"/>
    </row>
    <row r="16" spans="2:14">
      <c r="B16" s="185" t="s">
        <v>39</v>
      </c>
      <c r="C16" s="52">
        <f>GETPIVOTDATA("dato",'[1]graficas evolución mensual'!$A$319,"mes",11,"año",2008)</f>
        <v>17843</v>
      </c>
      <c r="D16" s="52">
        <f>GETPIVOTDATA("dato",'[1]graficas evolución mensual'!$A$319,"mes",11,"año",2009)</f>
        <v>13990</v>
      </c>
      <c r="E16" s="52">
        <f>GETPIVOTDATA("dato",'[1]graficas evolución mensual'!$A$319,"mes",11,"año",2010)</f>
        <v>0</v>
      </c>
      <c r="F16" s="186">
        <f t="shared" si="0"/>
        <v>-0.21593902370677576</v>
      </c>
      <c r="G16" s="186"/>
    </row>
    <row r="17" spans="2:7">
      <c r="B17" s="185" t="s">
        <v>38</v>
      </c>
      <c r="C17" s="52">
        <f>GETPIVOTDATA("dato",'[1]graficas evolución mensual'!$A$319,"mes",12,"año",2008)</f>
        <v>16132</v>
      </c>
      <c r="D17" s="52">
        <f>GETPIVOTDATA("dato",'[1]graficas evolución mensual'!$A$319,"mes",12,"año",2009)</f>
        <v>13086</v>
      </c>
      <c r="E17" s="52">
        <f>GETPIVOTDATA("dato",'[1]graficas evolución mensual'!$A$319,"mes",12,"año",2010)</f>
        <v>0</v>
      </c>
      <c r="F17" s="186">
        <f t="shared" si="0"/>
        <v>-0.18881725762459711</v>
      </c>
      <c r="G17" s="186"/>
    </row>
    <row r="18" spans="2:7">
      <c r="B18" s="187" t="s">
        <v>92</v>
      </c>
      <c r="C18" s="82">
        <f>SUM(C6:C17)</f>
        <v>199818</v>
      </c>
      <c r="D18" s="82">
        <f>SUM(D6:D17)</f>
        <v>154373</v>
      </c>
      <c r="E18" s="82">
        <f>SUM(E6:E17)</f>
        <v>92816</v>
      </c>
      <c r="F18" s="188">
        <f t="shared" si="0"/>
        <v>-0.22743196308640867</v>
      </c>
      <c r="G18" s="188"/>
    </row>
    <row r="19" spans="2:7" ht="24.75" customHeight="1">
      <c r="B19" s="189" t="s">
        <v>138</v>
      </c>
      <c r="C19" s="190"/>
      <c r="D19" s="190"/>
      <c r="E19" s="190"/>
      <c r="F19" s="190"/>
      <c r="G19" s="191"/>
    </row>
    <row r="20" spans="2:7" ht="7.5" customHeight="1"/>
    <row r="21" spans="2:7" ht="7.5" customHeight="1"/>
    <row r="22" spans="2:7" ht="45.75" customHeight="1">
      <c r="B22" s="180" t="s">
        <v>139</v>
      </c>
      <c r="C22" s="181"/>
      <c r="D22" s="181"/>
      <c r="E22" s="181"/>
      <c r="F22" s="181"/>
      <c r="G22" s="182"/>
    </row>
    <row r="23" spans="2:7">
      <c r="B23" s="86"/>
      <c r="C23" s="86">
        <v>2008</v>
      </c>
      <c r="D23" s="86">
        <v>2009</v>
      </c>
      <c r="E23" s="86">
        <v>2010</v>
      </c>
      <c r="F23" s="86" t="s">
        <v>136</v>
      </c>
      <c r="G23" s="86" t="s">
        <v>137</v>
      </c>
    </row>
    <row r="24" spans="2:7">
      <c r="B24" s="183" t="s">
        <v>49</v>
      </c>
      <c r="C24" s="79">
        <f>GETPIVOTDATA("dato",'[1]graficas evolución mensual'!$A$48,"mes",1,"año",2008)</f>
        <v>348</v>
      </c>
      <c r="D24" s="79">
        <f>GETPIVOTDATA("dato",'[1]graficas evolución mensual'!$A$48,"mes",1,"año",2009)</f>
        <v>355</v>
      </c>
      <c r="E24" s="79">
        <f>GETPIVOTDATA("dato",'[1]graficas evolución mensual'!$A$48,"mes",1,"año",2010)</f>
        <v>517</v>
      </c>
      <c r="F24" s="184">
        <f>D24/C24-1</f>
        <v>2.0114942528735691E-2</v>
      </c>
      <c r="G24" s="184">
        <f>E24/D24-1</f>
        <v>0.45633802816901414</v>
      </c>
    </row>
    <row r="25" spans="2:7">
      <c r="B25" s="185" t="s">
        <v>48</v>
      </c>
      <c r="C25" s="52">
        <f>GETPIVOTDATA("dato",'[1]graficas evolución mensual'!$A$48,"mes",2,"año",2008)</f>
        <v>402</v>
      </c>
      <c r="D25" s="52">
        <f>GETPIVOTDATA("dato",'[1]graficas evolución mensual'!$A$48,"mes",2,"año",2009)</f>
        <v>322</v>
      </c>
      <c r="E25" s="52">
        <f>GETPIVOTDATA("dato",'[1]graficas evolución mensual'!$A$48,"mes",2,"año",2010)</f>
        <v>348</v>
      </c>
      <c r="F25" s="186">
        <f t="shared" ref="F25:G36" si="1">D25/C25-1</f>
        <v>-0.19900497512437809</v>
      </c>
      <c r="G25" s="186">
        <f t="shared" si="1"/>
        <v>8.0745341614906874E-2</v>
      </c>
    </row>
    <row r="26" spans="2:7">
      <c r="B26" s="185" t="s">
        <v>47</v>
      </c>
      <c r="C26" s="52">
        <f>GETPIVOTDATA("dato",'[1]graficas evolución mensual'!$A$48,"mes",3,"año",2008)</f>
        <v>349</v>
      </c>
      <c r="D26" s="52">
        <f>GETPIVOTDATA("dato",'[1]graficas evolución mensual'!$A$48,"mes",3,"año",2009)</f>
        <v>271</v>
      </c>
      <c r="E26" s="52">
        <f>GETPIVOTDATA("dato",'[1]graficas evolución mensual'!$A$48,"mes",3,"año",2010)</f>
        <v>248</v>
      </c>
      <c r="F26" s="186">
        <f t="shared" si="1"/>
        <v>-0.22349570200573066</v>
      </c>
      <c r="G26" s="186">
        <f t="shared" si="1"/>
        <v>-8.4870848708487046E-2</v>
      </c>
    </row>
    <row r="27" spans="2:7">
      <c r="B27" s="185" t="s">
        <v>46</v>
      </c>
      <c r="C27" s="52">
        <f>GETPIVOTDATA("dato",'[1]graficas evolución mensual'!$A$48,"mes",4,"año",2008)</f>
        <v>256</v>
      </c>
      <c r="D27" s="52">
        <f>GETPIVOTDATA("dato",'[1]graficas evolución mensual'!$A$48,"mes",4,"año",2009)</f>
        <v>182</v>
      </c>
      <c r="E27" s="52">
        <f>GETPIVOTDATA("dato",'[1]graficas evolución mensual'!$A$48,"mes",4,"año",2010)</f>
        <v>172</v>
      </c>
      <c r="F27" s="186">
        <f t="shared" si="1"/>
        <v>-0.2890625</v>
      </c>
      <c r="G27" s="186">
        <f t="shared" si="1"/>
        <v>-5.4945054945054972E-2</v>
      </c>
    </row>
    <row r="28" spans="2:7">
      <c r="B28" s="185" t="s">
        <v>45</v>
      </c>
      <c r="C28" s="52">
        <f>GETPIVOTDATA("dato",'[1]graficas evolución mensual'!$A$48,"mes",5,"año",2008)</f>
        <v>192</v>
      </c>
      <c r="D28" s="52">
        <f>GETPIVOTDATA("dato",'[1]graficas evolución mensual'!$A$48,"mes",5,"año",2009)</f>
        <v>200</v>
      </c>
      <c r="E28" s="52">
        <f>GETPIVOTDATA("dato",'[1]graficas evolución mensual'!$A$48,"mes",5,"año",2010)</f>
        <v>144</v>
      </c>
      <c r="F28" s="186">
        <f t="shared" si="1"/>
        <v>4.1666666666666741E-2</v>
      </c>
      <c r="G28" s="186">
        <f t="shared" si="1"/>
        <v>-0.28000000000000003</v>
      </c>
    </row>
    <row r="29" spans="2:7">
      <c r="B29" s="185" t="s">
        <v>44</v>
      </c>
      <c r="C29" s="52">
        <f>GETPIVOTDATA("dato",'[1]graficas evolución mensual'!$A$48,"mes",6,"año",2008)</f>
        <v>122</v>
      </c>
      <c r="D29" s="52">
        <f>GETPIVOTDATA("dato",'[1]graficas evolución mensual'!$A$48,"mes",6,"año",2009)</f>
        <v>141</v>
      </c>
      <c r="E29" s="52">
        <f>GETPIVOTDATA("dato",'[1]graficas evolución mensual'!$A$48,"mes",6,"año",2010)</f>
        <v>181</v>
      </c>
      <c r="F29" s="186">
        <f t="shared" si="1"/>
        <v>0.15573770491803285</v>
      </c>
      <c r="G29" s="186">
        <f t="shared" si="1"/>
        <v>0.28368794326241131</v>
      </c>
    </row>
    <row r="30" spans="2:7">
      <c r="B30" s="185" t="s">
        <v>43</v>
      </c>
      <c r="C30" s="52">
        <f>GETPIVOTDATA("dato",'[1]graficas evolución mensual'!$A$48,"mes",7,"año",2008)</f>
        <v>180</v>
      </c>
      <c r="D30" s="52">
        <f>GETPIVOTDATA("dato",'[1]graficas evolución mensual'!$A$48,"mes",7,"año",2009)</f>
        <v>156</v>
      </c>
      <c r="E30" s="52">
        <f>GETPIVOTDATA("dato",'[1]graficas evolución mensual'!$A$48,"mes",7,"año",2010)</f>
        <v>125</v>
      </c>
      <c r="F30" s="186">
        <f t="shared" si="1"/>
        <v>-0.1333333333333333</v>
      </c>
      <c r="G30" s="186">
        <f t="shared" si="1"/>
        <v>-0.19871794871794868</v>
      </c>
    </row>
    <row r="31" spans="2:7">
      <c r="B31" s="185" t="s">
        <v>42</v>
      </c>
      <c r="C31" s="52">
        <f>GETPIVOTDATA("dato",'[1]graficas evolución mensual'!$A$48,"mes",8,"año",2008)</f>
        <v>144</v>
      </c>
      <c r="D31" s="52">
        <f>GETPIVOTDATA("dato",'[1]graficas evolución mensual'!$A$48,"mes",8,"año",2009)</f>
        <v>103</v>
      </c>
      <c r="E31" s="52">
        <f>GETPIVOTDATA("dato",'[1]graficas evolución mensual'!$A$48,"mes",8,"año",2010)</f>
        <v>0</v>
      </c>
      <c r="F31" s="186">
        <f t="shared" si="1"/>
        <v>-0.28472222222222221</v>
      </c>
      <c r="G31" s="186"/>
    </row>
    <row r="32" spans="2:7">
      <c r="B32" s="185" t="s">
        <v>41</v>
      </c>
      <c r="C32" s="52">
        <f>GETPIVOTDATA("dato",'[1]graficas evolución mensual'!$A$48,"mes",9,"año",2008)</f>
        <v>171</v>
      </c>
      <c r="D32" s="52">
        <f>GETPIVOTDATA("dato",'[1]graficas evolución mensual'!$A$48,"mes",9,"año",2009)</f>
        <v>122</v>
      </c>
      <c r="E32" s="52">
        <f>GETPIVOTDATA("dato",'[1]graficas evolución mensual'!$A$48,"mes",9,"año",2010)</f>
        <v>0</v>
      </c>
      <c r="F32" s="186">
        <f t="shared" si="1"/>
        <v>-0.28654970760233922</v>
      </c>
      <c r="G32" s="186"/>
    </row>
    <row r="33" spans="2:7">
      <c r="B33" s="185" t="s">
        <v>40</v>
      </c>
      <c r="C33" s="52">
        <f>GETPIVOTDATA("dato",'[1]graficas evolución mensual'!$A$48,"mes",10,"año",2008)</f>
        <v>430</v>
      </c>
      <c r="D33" s="52">
        <f>GETPIVOTDATA("dato",'[1]graficas evolución mensual'!$A$48,"mes",10,"año",2009)</f>
        <v>215</v>
      </c>
      <c r="E33" s="52">
        <f>GETPIVOTDATA("dato",'[1]graficas evolución mensual'!$A$48,"mes",10,"año",2010)</f>
        <v>0</v>
      </c>
      <c r="F33" s="186">
        <f t="shared" si="1"/>
        <v>-0.5</v>
      </c>
      <c r="G33" s="186"/>
    </row>
    <row r="34" spans="2:7">
      <c r="B34" s="185" t="s">
        <v>39</v>
      </c>
      <c r="C34" s="52">
        <f>GETPIVOTDATA("dato",'[1]graficas evolución mensual'!$A$48,"mes",11,"año",2008)</f>
        <v>402</v>
      </c>
      <c r="D34" s="52">
        <f>GETPIVOTDATA("dato",'[1]graficas evolución mensual'!$A$48,"mes",11,"año",2009)</f>
        <v>258</v>
      </c>
      <c r="E34" s="52">
        <f>GETPIVOTDATA("dato",'[1]graficas evolución mensual'!$A$48,"mes",11,"año",2010)</f>
        <v>0</v>
      </c>
      <c r="F34" s="186">
        <f t="shared" si="1"/>
        <v>-0.35820895522388063</v>
      </c>
      <c r="G34" s="186"/>
    </row>
    <row r="35" spans="2:7">
      <c r="B35" s="185" t="s">
        <v>38</v>
      </c>
      <c r="C35" s="52">
        <f>GETPIVOTDATA("dato",'[1]graficas evolución mensual'!$A$48,"mes",12,"año",2008)</f>
        <v>467</v>
      </c>
      <c r="D35" s="52">
        <f>GETPIVOTDATA("dato",'[1]graficas evolución mensual'!$A$48,"mes",12,"año",2009)</f>
        <v>385</v>
      </c>
      <c r="E35" s="52">
        <f>GETPIVOTDATA("dato",'[1]graficas evolución mensual'!$A$48,"mes",12,"año",2010)</f>
        <v>0</v>
      </c>
      <c r="F35" s="186">
        <f t="shared" si="1"/>
        <v>-0.17558886509635974</v>
      </c>
      <c r="G35" s="186"/>
    </row>
    <row r="36" spans="2:7">
      <c r="B36" s="187" t="s">
        <v>92</v>
      </c>
      <c r="C36" s="82">
        <f>SUM(C24:C35)</f>
        <v>3463</v>
      </c>
      <c r="D36" s="82">
        <f>SUM(D24:D35)</f>
        <v>2710</v>
      </c>
      <c r="E36" s="82">
        <f>SUM(E24:E35)</f>
        <v>1735</v>
      </c>
      <c r="F36" s="188">
        <f t="shared" si="1"/>
        <v>-0.21744152468957556</v>
      </c>
      <c r="G36" s="188"/>
    </row>
    <row r="37" spans="2:7" ht="24" customHeight="1">
      <c r="B37" s="189" t="s">
        <v>138</v>
      </c>
      <c r="C37" s="190"/>
      <c r="D37" s="190"/>
      <c r="E37" s="190"/>
      <c r="F37" s="190"/>
      <c r="G37" s="191"/>
    </row>
    <row r="38" spans="2:7" ht="7.5" customHeight="1">
      <c r="B38" s="192"/>
      <c r="C38" s="192"/>
      <c r="D38" s="192"/>
      <c r="E38" s="192"/>
      <c r="F38" s="192"/>
    </row>
    <row r="39" spans="2:7" ht="8.25" customHeight="1"/>
    <row r="40" spans="2:7" ht="45.75" customHeight="1">
      <c r="B40" s="180" t="s">
        <v>140</v>
      </c>
      <c r="C40" s="181"/>
      <c r="D40" s="181"/>
      <c r="E40" s="181"/>
      <c r="F40" s="181"/>
      <c r="G40" s="182"/>
    </row>
    <row r="41" spans="2:7">
      <c r="B41" s="86"/>
      <c r="C41" s="86">
        <v>2008</v>
      </c>
      <c r="D41" s="86">
        <v>2009</v>
      </c>
      <c r="E41" s="86">
        <v>2010</v>
      </c>
      <c r="F41" s="86" t="s">
        <v>136</v>
      </c>
      <c r="G41" s="86" t="s">
        <v>137</v>
      </c>
    </row>
    <row r="42" spans="2:7">
      <c r="B42" s="183" t="s">
        <v>49</v>
      </c>
      <c r="C42" s="79">
        <f>GETPIVOTDATA("dato",'[1]graficas evolución mensual'!$A$27,"mes",1,"año",2008)</f>
        <v>14198</v>
      </c>
      <c r="D42" s="79">
        <f>GETPIVOTDATA("dato",'[1]graficas evolución mensual'!$A$27,"mes",1,"año",2009)</f>
        <v>10846</v>
      </c>
      <c r="E42" s="79">
        <f>GETPIVOTDATA("dato",'[1]graficas evolución mensual'!$A$27,"mes",1,"año",2010)</f>
        <v>10110</v>
      </c>
      <c r="F42" s="184">
        <f>D42/C42-1</f>
        <v>-0.23608959008311026</v>
      </c>
      <c r="G42" s="184">
        <f>E42/D42-1</f>
        <v>-6.7859118569057686E-2</v>
      </c>
    </row>
    <row r="43" spans="2:7">
      <c r="B43" s="185" t="s">
        <v>48</v>
      </c>
      <c r="C43" s="52">
        <f>GETPIVOTDATA("dato",'[1]graficas evolución mensual'!$A$27,"mes",2,"año",2008)</f>
        <v>16399</v>
      </c>
      <c r="D43" s="52">
        <f>GETPIVOTDATA("dato",'[1]graficas evolución mensual'!$A$27,"mes",2,"año",2009)</f>
        <v>12703</v>
      </c>
      <c r="E43" s="52">
        <f>GETPIVOTDATA("dato",'[1]graficas evolución mensual'!$A$27,"mes",2,"año",2010)</f>
        <v>13462</v>
      </c>
      <c r="F43" s="186">
        <f t="shared" ref="F43:G54" si="2">D43/C43-1</f>
        <v>-0.22537959631684856</v>
      </c>
      <c r="G43" s="186">
        <f t="shared" si="2"/>
        <v>5.9749665433362242E-2</v>
      </c>
    </row>
    <row r="44" spans="2:7">
      <c r="B44" s="185" t="s">
        <v>47</v>
      </c>
      <c r="C44" s="52">
        <f>GETPIVOTDATA("dato",'[1]graficas evolución mensual'!$A$27,"mes",3,"año",2008)</f>
        <v>13318</v>
      </c>
      <c r="D44" s="52">
        <f>GETPIVOTDATA("dato",'[1]graficas evolución mensual'!$A$27,"mes",3,"año",2009)</f>
        <v>12934</v>
      </c>
      <c r="E44" s="52">
        <f>GETPIVOTDATA("dato",'[1]graficas evolución mensual'!$A$27,"mes",3,"año",2010)</f>
        <v>12149</v>
      </c>
      <c r="F44" s="186">
        <f t="shared" si="2"/>
        <v>-2.8833158131851611E-2</v>
      </c>
      <c r="G44" s="186">
        <f t="shared" si="2"/>
        <v>-6.0692747796505353E-2</v>
      </c>
    </row>
    <row r="45" spans="2:7">
      <c r="B45" s="185" t="s">
        <v>46</v>
      </c>
      <c r="C45" s="52">
        <f>GETPIVOTDATA("dato",'[1]graficas evolución mensual'!$A$27,"mes",4,"año",2008)</f>
        <v>15192</v>
      </c>
      <c r="D45" s="52">
        <f>GETPIVOTDATA("dato",'[1]graficas evolución mensual'!$A$27,"mes",4,"año",2009)</f>
        <v>10795</v>
      </c>
      <c r="E45" s="52">
        <f>GETPIVOTDATA("dato",'[1]graficas evolución mensual'!$A$27,"mes",4,"año",2010)</f>
        <v>10416</v>
      </c>
      <c r="F45" s="186">
        <f t="shared" si="2"/>
        <v>-0.28942864665613477</v>
      </c>
      <c r="G45" s="186">
        <f t="shared" si="2"/>
        <v>-3.5108846688281625E-2</v>
      </c>
    </row>
    <row r="46" spans="2:7">
      <c r="B46" s="185" t="s">
        <v>45</v>
      </c>
      <c r="C46" s="52">
        <f>GETPIVOTDATA("dato",'[1]graficas evolución mensual'!$A$27,"mes",5,"año",2008)</f>
        <v>15275</v>
      </c>
      <c r="D46" s="52">
        <f>GETPIVOTDATA("dato",'[1]graficas evolución mensual'!$A$27,"mes",5,"año",2009)</f>
        <v>11456</v>
      </c>
      <c r="E46" s="52">
        <f>GETPIVOTDATA("dato",'[1]graficas evolución mensual'!$A$27,"mes",5,"año",2010)</f>
        <v>10629</v>
      </c>
      <c r="F46" s="186">
        <f t="shared" si="2"/>
        <v>-0.25001636661211124</v>
      </c>
      <c r="G46" s="186">
        <f t="shared" si="2"/>
        <v>-7.2189245810055813E-2</v>
      </c>
    </row>
    <row r="47" spans="2:7">
      <c r="B47" s="185" t="s">
        <v>44</v>
      </c>
      <c r="C47" s="52">
        <f>GETPIVOTDATA("dato",'[1]graficas evolución mensual'!$A$27,"mes",6,"año",2008)</f>
        <v>13617</v>
      </c>
      <c r="D47" s="52">
        <f>GETPIVOTDATA("dato",'[1]graficas evolución mensual'!$A$27,"mes",6,"año",2009)</f>
        <v>11084</v>
      </c>
      <c r="E47" s="52">
        <f>GETPIVOTDATA("dato",'[1]graficas evolución mensual'!$A$27,"mes",6,"año",2010)</f>
        <v>10858</v>
      </c>
      <c r="F47" s="186">
        <f t="shared" si="2"/>
        <v>-0.18601747815230962</v>
      </c>
      <c r="G47" s="186">
        <f t="shared" si="2"/>
        <v>-2.0389750992421463E-2</v>
      </c>
    </row>
    <row r="48" spans="2:7">
      <c r="B48" s="185" t="s">
        <v>43</v>
      </c>
      <c r="C48" s="52">
        <f>GETPIVOTDATA("dato",'[1]graficas evolución mensual'!$A$27,"mes",7,"año",2008)</f>
        <v>14383</v>
      </c>
      <c r="D48" s="52">
        <f>GETPIVOTDATA("dato",'[1]graficas evolución mensual'!$A$27,"mes",7,"año",2009)</f>
        <v>9952</v>
      </c>
      <c r="E48" s="52">
        <f>GETPIVOTDATA("dato",'[1]graficas evolución mensual'!$A$27,"mes",7,"año",2010)</f>
        <v>8749</v>
      </c>
      <c r="F48" s="186">
        <f t="shared" si="2"/>
        <v>-0.30807202947924628</v>
      </c>
      <c r="G48" s="186">
        <f t="shared" si="2"/>
        <v>-0.12088022508038587</v>
      </c>
    </row>
    <row r="49" spans="2:7">
      <c r="B49" s="185" t="s">
        <v>42</v>
      </c>
      <c r="C49" s="52">
        <f>GETPIVOTDATA("dato",'[1]graficas evolución mensual'!$A$27,"mes",8,"año",2008)</f>
        <v>9618</v>
      </c>
      <c r="D49" s="52">
        <f>GETPIVOTDATA("dato",'[1]graficas evolución mensual'!$A$27,"mes",8,"año",2009)</f>
        <v>6016</v>
      </c>
      <c r="E49" s="52">
        <f>GETPIVOTDATA("dato",'[1]graficas evolución mensual'!$A$27,"mes",8,"año",2010)</f>
        <v>0</v>
      </c>
      <c r="F49" s="186">
        <f t="shared" si="2"/>
        <v>-0.37450613433146185</v>
      </c>
      <c r="G49" s="186"/>
    </row>
    <row r="50" spans="2:7">
      <c r="B50" s="185" t="s">
        <v>41</v>
      </c>
      <c r="C50" s="52">
        <f>GETPIVOTDATA("dato",'[1]graficas evolución mensual'!$A$27,"mes",9,"año",2008)</f>
        <v>12814</v>
      </c>
      <c r="D50" s="52">
        <f>GETPIVOTDATA("dato",'[1]graficas evolución mensual'!$A$27,"mes",9,"año",2009)</f>
        <v>9249</v>
      </c>
      <c r="E50" s="52">
        <f>GETPIVOTDATA("dato",'[1]graficas evolución mensual'!$A$27,"mes",9,"año",2010)</f>
        <v>0</v>
      </c>
      <c r="F50" s="186">
        <f t="shared" si="2"/>
        <v>-0.27821133135632903</v>
      </c>
      <c r="G50" s="186"/>
    </row>
    <row r="51" spans="2:7">
      <c r="B51" s="185" t="s">
        <v>40</v>
      </c>
      <c r="C51" s="52">
        <f>GETPIVOTDATA("dato",'[1]graficas evolución mensual'!$A$27,"mes",10,"año",2008)</f>
        <v>15287</v>
      </c>
      <c r="D51" s="52">
        <f>GETPIVOTDATA("dato",'[1]graficas evolución mensual'!$A$27,"mes",10,"año",2009)</f>
        <v>10689</v>
      </c>
      <c r="E51" s="52">
        <f>GETPIVOTDATA("dato",'[1]graficas evolución mensual'!$A$27,"mes",10,"año",2010)</f>
        <v>0</v>
      </c>
      <c r="F51" s="186">
        <f t="shared" si="2"/>
        <v>-0.30077843919670311</v>
      </c>
      <c r="G51" s="186"/>
    </row>
    <row r="52" spans="2:7">
      <c r="B52" s="185" t="s">
        <v>39</v>
      </c>
      <c r="C52" s="52">
        <f>GETPIVOTDATA("dato",'[1]graficas evolución mensual'!$A$27,"mes",11,"año",2008)</f>
        <v>14430</v>
      </c>
      <c r="D52" s="52">
        <f>GETPIVOTDATA("dato",'[1]graficas evolución mensual'!$A$27,"mes",11,"año",2009)</f>
        <v>11166</v>
      </c>
      <c r="E52" s="52">
        <f>GETPIVOTDATA("dato",'[1]graficas evolución mensual'!$A$27,"mes",11,"año",2010)</f>
        <v>0</v>
      </c>
      <c r="F52" s="186">
        <f t="shared" si="2"/>
        <v>-0.22619542619542621</v>
      </c>
      <c r="G52" s="186"/>
    </row>
    <row r="53" spans="2:7">
      <c r="B53" s="185" t="s">
        <v>38</v>
      </c>
      <c r="C53" s="52">
        <f>GETPIVOTDATA("dato",'[1]graficas evolución mensual'!$A$27,"mes",12,"año",2008)</f>
        <v>12528</v>
      </c>
      <c r="D53" s="52">
        <f>GETPIVOTDATA("dato",'[1]graficas evolución mensual'!$A$27,"mes",12,"año",2009)</f>
        <v>10029</v>
      </c>
      <c r="E53" s="52">
        <f>GETPIVOTDATA("dato",'[1]graficas evolución mensual'!$A$27,"mes",12,"año",2010)</f>
        <v>0</v>
      </c>
      <c r="F53" s="186">
        <f t="shared" si="2"/>
        <v>-0.1994731800766284</v>
      </c>
      <c r="G53" s="186"/>
    </row>
    <row r="54" spans="2:7">
      <c r="B54" s="187" t="s">
        <v>92</v>
      </c>
      <c r="C54" s="82">
        <f>SUM(C42:C53)</f>
        <v>167059</v>
      </c>
      <c r="D54" s="82">
        <f>SUM(D42:D53)</f>
        <v>126919</v>
      </c>
      <c r="E54" s="82">
        <f>SUM(E42:E53)</f>
        <v>76373</v>
      </c>
      <c r="F54" s="188">
        <f t="shared" si="2"/>
        <v>-0.24027439407634432</v>
      </c>
      <c r="G54" s="188"/>
    </row>
    <row r="55" spans="2:7" ht="24.75" customHeight="1">
      <c r="B55" s="189" t="s">
        <v>138</v>
      </c>
      <c r="C55" s="190"/>
      <c r="D55" s="190"/>
      <c r="E55" s="190"/>
      <c r="F55" s="190"/>
      <c r="G55" s="191"/>
    </row>
    <row r="56" spans="2:7" ht="8.25" customHeight="1"/>
    <row r="57" spans="2:7" ht="7.5" customHeight="1"/>
    <row r="58" spans="2:7" ht="45" customHeight="1">
      <c r="B58" s="180" t="s">
        <v>141</v>
      </c>
      <c r="C58" s="181"/>
      <c r="D58" s="181"/>
      <c r="E58" s="181"/>
      <c r="F58" s="181"/>
      <c r="G58" s="182"/>
    </row>
    <row r="59" spans="2:7">
      <c r="B59" s="86"/>
      <c r="C59" s="86">
        <v>2008</v>
      </c>
      <c r="D59" s="86">
        <v>2009</v>
      </c>
      <c r="E59" s="86">
        <v>2010</v>
      </c>
      <c r="F59" s="86" t="s">
        <v>136</v>
      </c>
      <c r="G59" s="86" t="s">
        <v>137</v>
      </c>
    </row>
    <row r="60" spans="2:7">
      <c r="B60" s="183" t="s">
        <v>49</v>
      </c>
      <c r="C60" s="79">
        <f>GETPIVOTDATA("dato",'[1]graficas evolución mensual'!$A$6,"mes",1,"año",2008)</f>
        <v>483</v>
      </c>
      <c r="D60" s="79">
        <f>GETPIVOTDATA("dato",'[1]graficas evolución mensual'!$A$6,"mes",1,"año",2009)</f>
        <v>415</v>
      </c>
      <c r="E60" s="79">
        <f>GETPIVOTDATA("dato",'[1]graficas evolución mensual'!$A$6,"mes",1,"año",2010)</f>
        <v>382</v>
      </c>
      <c r="F60" s="184">
        <f>D60/C60-1</f>
        <v>-0.14078674948240166</v>
      </c>
      <c r="G60" s="184">
        <f>E60/D60-1</f>
        <v>-7.9518072289156638E-2</v>
      </c>
    </row>
    <row r="61" spans="2:7">
      <c r="B61" s="185" t="s">
        <v>48</v>
      </c>
      <c r="C61" s="52">
        <f>GETPIVOTDATA("dato",'[1]graficas evolución mensual'!$A$6,"mes",2,"año",2008)</f>
        <v>453</v>
      </c>
      <c r="D61" s="52">
        <f>GETPIVOTDATA("dato",'[1]graficas evolución mensual'!$A$6,"mes",2,"año",2009)</f>
        <v>362</v>
      </c>
      <c r="E61" s="52">
        <f>GETPIVOTDATA("dato",'[1]graficas evolución mensual'!$A$6,"mes",2,"año",2010)</f>
        <v>407</v>
      </c>
      <c r="F61" s="186">
        <f t="shared" ref="F61:G72" si="3">D61/C61-1</f>
        <v>-0.20088300220750555</v>
      </c>
      <c r="G61" s="186">
        <f t="shared" si="3"/>
        <v>0.12430939226519344</v>
      </c>
    </row>
    <row r="62" spans="2:7">
      <c r="B62" s="185" t="s">
        <v>47</v>
      </c>
      <c r="C62" s="52">
        <f>GETPIVOTDATA("dato",'[1]graficas evolución mensual'!$A$6,"mes",3,"año",2008)</f>
        <v>571</v>
      </c>
      <c r="D62" s="52">
        <f>GETPIVOTDATA("dato",'[1]graficas evolución mensual'!$A$6,"mes",3,"año",2009)</f>
        <v>366</v>
      </c>
      <c r="E62" s="52">
        <f>GETPIVOTDATA("dato",'[1]graficas evolución mensual'!$A$6,"mes",3,"año",2010)</f>
        <v>388</v>
      </c>
      <c r="F62" s="186">
        <f t="shared" si="3"/>
        <v>-0.35901926444833621</v>
      </c>
      <c r="G62" s="186">
        <f t="shared" si="3"/>
        <v>6.0109289617486406E-2</v>
      </c>
    </row>
    <row r="63" spans="2:7">
      <c r="B63" s="185" t="s">
        <v>46</v>
      </c>
      <c r="C63" s="52">
        <f>GETPIVOTDATA("dato",'[1]graficas evolución mensual'!$A$6,"mes",4,"año",2008)</f>
        <v>381</v>
      </c>
      <c r="D63" s="52">
        <f>GETPIVOTDATA("dato",'[1]graficas evolución mensual'!$A$6,"mes",4,"año",2009)</f>
        <v>218</v>
      </c>
      <c r="E63" s="52">
        <f>GETPIVOTDATA("dato",'[1]graficas evolución mensual'!$A$6,"mes",4,"año",2010)</f>
        <v>266</v>
      </c>
      <c r="F63" s="186">
        <f t="shared" si="3"/>
        <v>-0.42782152230971127</v>
      </c>
      <c r="G63" s="186">
        <f t="shared" si="3"/>
        <v>0.22018348623853212</v>
      </c>
    </row>
    <row r="64" spans="2:7">
      <c r="B64" s="185" t="s">
        <v>45</v>
      </c>
      <c r="C64" s="52">
        <f>GETPIVOTDATA("dato",'[1]graficas evolución mensual'!$A$6,"mes",5,"año",2008)</f>
        <v>249</v>
      </c>
      <c r="D64" s="52">
        <f>GETPIVOTDATA("dato",'[1]graficas evolución mensual'!$A$6,"mes",5,"año",2009)</f>
        <v>226</v>
      </c>
      <c r="E64" s="52">
        <f>GETPIVOTDATA("dato",'[1]graficas evolución mensual'!$A$6,"mes",5,"año",2010)</f>
        <v>192</v>
      </c>
      <c r="F64" s="186">
        <f t="shared" si="3"/>
        <v>-9.2369477911646625E-2</v>
      </c>
      <c r="G64" s="186">
        <f t="shared" si="3"/>
        <v>-0.15044247787610621</v>
      </c>
    </row>
    <row r="65" spans="2:7">
      <c r="B65" s="185" t="s">
        <v>44</v>
      </c>
      <c r="C65" s="52">
        <f>GETPIVOTDATA("dato",'[1]graficas evolución mensual'!$A$6,"mes",6,"año",2008)</f>
        <v>189</v>
      </c>
      <c r="D65" s="52">
        <f>GETPIVOTDATA("dato",'[1]graficas evolución mensual'!$A$6,"mes",6,"año",2009)</f>
        <v>153</v>
      </c>
      <c r="E65" s="52">
        <f>GETPIVOTDATA("dato",'[1]graficas evolución mensual'!$A$6,"mes",6,"año",2010)</f>
        <v>149</v>
      </c>
      <c r="F65" s="186">
        <f t="shared" si="3"/>
        <v>-0.19047619047619047</v>
      </c>
      <c r="G65" s="186">
        <f t="shared" si="3"/>
        <v>-2.6143790849673221E-2</v>
      </c>
    </row>
    <row r="66" spans="2:7">
      <c r="B66" s="185" t="s">
        <v>43</v>
      </c>
      <c r="C66" s="52">
        <f>GETPIVOTDATA("dato",'[1]graficas evolución mensual'!$A$6,"mes",7,"año",2008)</f>
        <v>178</v>
      </c>
      <c r="D66" s="52">
        <f>GETPIVOTDATA("dato",'[1]graficas evolución mensual'!$A$6,"mes",7,"año",2009)</f>
        <v>125</v>
      </c>
      <c r="E66" s="52">
        <f>GETPIVOTDATA("dato",'[1]graficas evolución mensual'!$A$6,"mes",7,"año",2010)</f>
        <v>166</v>
      </c>
      <c r="F66" s="186">
        <f t="shared" si="3"/>
        <v>-0.297752808988764</v>
      </c>
      <c r="G66" s="186">
        <f t="shared" si="3"/>
        <v>0.32800000000000007</v>
      </c>
    </row>
    <row r="67" spans="2:7">
      <c r="B67" s="185" t="s">
        <v>42</v>
      </c>
      <c r="C67" s="52">
        <f>GETPIVOTDATA("dato",'[1]graficas evolución mensual'!$A$6,"mes",8,"año",2008)</f>
        <v>225</v>
      </c>
      <c r="D67" s="52">
        <f>GETPIVOTDATA("dato",'[1]graficas evolución mensual'!$A$6,"mes",8,"año",2009)</f>
        <v>128</v>
      </c>
      <c r="E67" s="52">
        <f>GETPIVOTDATA("dato",'[1]graficas evolución mensual'!$A$6,"mes",8,"año",2010)</f>
        <v>0</v>
      </c>
      <c r="F67" s="186">
        <f t="shared" si="3"/>
        <v>-0.43111111111111111</v>
      </c>
      <c r="G67" s="186"/>
    </row>
    <row r="68" spans="2:7">
      <c r="B68" s="185" t="s">
        <v>41</v>
      </c>
      <c r="C68" s="52">
        <f>GETPIVOTDATA("dato",'[1]graficas evolución mensual'!$A$6,"mes",9,"año",2008)</f>
        <v>246</v>
      </c>
      <c r="D68" s="52">
        <f>GETPIVOTDATA("dato",'[1]graficas evolución mensual'!$A$6,"mes",9,"año",2009)</f>
        <v>198</v>
      </c>
      <c r="E68" s="52">
        <f>GETPIVOTDATA("dato",'[1]graficas evolución mensual'!$A$6,"mes",9,"año",2010)</f>
        <v>0</v>
      </c>
      <c r="F68" s="186">
        <f t="shared" si="3"/>
        <v>-0.19512195121951215</v>
      </c>
      <c r="G68" s="186"/>
    </row>
    <row r="69" spans="2:7">
      <c r="B69" s="185" t="s">
        <v>40</v>
      </c>
      <c r="C69" s="52">
        <f>GETPIVOTDATA("dato",'[1]graficas evolución mensual'!$A$6,"mes",10,"año",2008)</f>
        <v>337</v>
      </c>
      <c r="D69" s="52">
        <f>GETPIVOTDATA("dato",'[1]graficas evolución mensual'!$A$6,"mes",10,"año",2009)</f>
        <v>319</v>
      </c>
      <c r="E69" s="52">
        <f>GETPIVOTDATA("dato",'[1]graficas evolución mensual'!$A$6,"mes",10,"año",2010)</f>
        <v>0</v>
      </c>
      <c r="F69" s="186">
        <f t="shared" si="3"/>
        <v>-5.3412462908011826E-2</v>
      </c>
      <c r="G69" s="186"/>
    </row>
    <row r="70" spans="2:7">
      <c r="B70" s="185" t="s">
        <v>39</v>
      </c>
      <c r="C70" s="52">
        <f>GETPIVOTDATA("dato",'[1]graficas evolución mensual'!$A$6,"mes",11,"año",2008)</f>
        <v>415</v>
      </c>
      <c r="D70" s="52">
        <f>GETPIVOTDATA("dato",'[1]graficas evolución mensual'!$A$6,"mes",11,"año",2009)</f>
        <v>564</v>
      </c>
      <c r="E70" s="52">
        <f>GETPIVOTDATA("dato",'[1]graficas evolución mensual'!$A$6,"mes",11,"año",2010)</f>
        <v>0</v>
      </c>
      <c r="F70" s="186">
        <f t="shared" si="3"/>
        <v>0.35903614457831323</v>
      </c>
      <c r="G70" s="186"/>
    </row>
    <row r="71" spans="2:7">
      <c r="B71" s="185" t="s">
        <v>38</v>
      </c>
      <c r="C71" s="52">
        <f>GETPIVOTDATA("dato",'[1]graficas evolución mensual'!$A$6,"mes",12,"año",2008)</f>
        <v>542</v>
      </c>
      <c r="D71" s="52">
        <f>GETPIVOTDATA("dato",'[1]graficas evolución mensual'!$A$6,"mes",12,"año",2009)</f>
        <v>546</v>
      </c>
      <c r="E71" s="52">
        <f>GETPIVOTDATA("dato",'[1]graficas evolución mensual'!$A$6,"mes",12,"año",2010)</f>
        <v>0</v>
      </c>
      <c r="F71" s="186">
        <f t="shared" si="3"/>
        <v>7.3800738007379074E-3</v>
      </c>
      <c r="G71" s="186"/>
    </row>
    <row r="72" spans="2:7">
      <c r="B72" s="187" t="s">
        <v>92</v>
      </c>
      <c r="C72" s="82">
        <f>SUM(C60:C71)</f>
        <v>4269</v>
      </c>
      <c r="D72" s="82">
        <f>SUM(D60:D71)</f>
        <v>3620</v>
      </c>
      <c r="E72" s="82">
        <f>SUM(E60:E71)</f>
        <v>1950</v>
      </c>
      <c r="F72" s="188">
        <f t="shared" si="3"/>
        <v>-0.15202623565237761</v>
      </c>
      <c r="G72" s="188"/>
    </row>
    <row r="73" spans="2:7" ht="22.5" customHeight="1">
      <c r="B73" s="189" t="s">
        <v>138</v>
      </c>
      <c r="C73" s="190"/>
      <c r="D73" s="190"/>
      <c r="E73" s="190"/>
      <c r="F73" s="190"/>
      <c r="G73" s="191"/>
    </row>
    <row r="74" spans="2:7" ht="9" customHeight="1"/>
    <row r="75" spans="2:7" ht="9.75" customHeight="1"/>
    <row r="76" spans="2:7" ht="46.5" customHeight="1">
      <c r="B76" s="180" t="s">
        <v>142</v>
      </c>
      <c r="C76" s="181"/>
      <c r="D76" s="181"/>
      <c r="E76" s="181"/>
      <c r="F76" s="181"/>
      <c r="G76" s="182"/>
    </row>
    <row r="77" spans="2:7">
      <c r="B77" s="86"/>
      <c r="C77" s="86">
        <v>2008</v>
      </c>
      <c r="D77" s="86">
        <v>2009</v>
      </c>
      <c r="E77" s="86">
        <v>2010</v>
      </c>
      <c r="F77" s="86" t="s">
        <v>136</v>
      </c>
      <c r="G77" s="86" t="s">
        <v>137</v>
      </c>
    </row>
    <row r="78" spans="2:7">
      <c r="B78" s="183" t="s">
        <v>49</v>
      </c>
      <c r="C78" s="79">
        <f>GETPIVOTDATA("dato",'[1]graficas evolución mensual'!$A$90,"mes",1,"año",2008)</f>
        <v>33</v>
      </c>
      <c r="D78" s="79">
        <f>GETPIVOTDATA("dato",'[1]graficas evolución mensual'!$A$90,"mes",1,"año",2009)</f>
        <v>54</v>
      </c>
      <c r="E78" s="79">
        <f>GETPIVOTDATA("dato",'[1]graficas evolución mensual'!$A$90,"mes",1,"año",2010)</f>
        <v>38</v>
      </c>
      <c r="F78" s="184">
        <f>D78/C78-1</f>
        <v>0.63636363636363646</v>
      </c>
      <c r="G78" s="184">
        <f>E78/D78-1</f>
        <v>-0.29629629629629628</v>
      </c>
    </row>
    <row r="79" spans="2:7">
      <c r="B79" s="185" t="s">
        <v>48</v>
      </c>
      <c r="C79" s="52">
        <f>GETPIVOTDATA("dato",'[1]graficas evolución mensual'!$A$90,"mes",2,"año",2008)</f>
        <v>98</v>
      </c>
      <c r="D79" s="52">
        <f>GETPIVOTDATA("dato",'[1]graficas evolución mensual'!$A$90,"mes",2,"año",2009)</f>
        <v>66</v>
      </c>
      <c r="E79" s="52">
        <f>GETPIVOTDATA("dato",'[1]graficas evolución mensual'!$A$90,"mes",2,"año",2010)</f>
        <v>75</v>
      </c>
      <c r="F79" s="186">
        <f t="shared" ref="F79:G90" si="4">D79/C79-1</f>
        <v>-0.32653061224489799</v>
      </c>
      <c r="G79" s="186">
        <f t="shared" si="4"/>
        <v>0.13636363636363646</v>
      </c>
    </row>
    <row r="80" spans="2:7">
      <c r="B80" s="185" t="s">
        <v>47</v>
      </c>
      <c r="C80" s="52">
        <f>GETPIVOTDATA("dato",'[1]graficas evolución mensual'!$A$90,"mes",3,"año",2008)</f>
        <v>56</v>
      </c>
      <c r="D80" s="52">
        <f>GETPIVOTDATA("dato",'[1]graficas evolución mensual'!$A$90,"mes",3,"año",2009)</f>
        <v>51</v>
      </c>
      <c r="E80" s="52">
        <f>GETPIVOTDATA("dato",'[1]graficas evolución mensual'!$A$90,"mes",3,"año",2010)</f>
        <v>27</v>
      </c>
      <c r="F80" s="186">
        <f t="shared" si="4"/>
        <v>-8.9285714285714302E-2</v>
      </c>
      <c r="G80" s="186">
        <f t="shared" si="4"/>
        <v>-0.47058823529411764</v>
      </c>
    </row>
    <row r="81" spans="2:7">
      <c r="B81" s="185" t="s">
        <v>46</v>
      </c>
      <c r="C81" s="52">
        <f>GETPIVOTDATA("dato",'[1]graficas evolución mensual'!$A$90,"mes",4,"año",2008)</f>
        <v>28</v>
      </c>
      <c r="D81" s="52">
        <f>GETPIVOTDATA("dato",'[1]graficas evolución mensual'!$A$90,"mes",4,"año",2009)</f>
        <v>29</v>
      </c>
      <c r="E81" s="52">
        <f>GETPIVOTDATA("dato",'[1]graficas evolución mensual'!$A$90,"mes",4,"año",2010)</f>
        <v>22</v>
      </c>
      <c r="F81" s="186">
        <f t="shared" si="4"/>
        <v>3.5714285714285809E-2</v>
      </c>
      <c r="G81" s="186">
        <f t="shared" si="4"/>
        <v>-0.24137931034482762</v>
      </c>
    </row>
    <row r="82" spans="2:7">
      <c r="B82" s="185" t="s">
        <v>45</v>
      </c>
      <c r="C82" s="52">
        <f>GETPIVOTDATA("dato",'[1]graficas evolución mensual'!$A$90,"mes",5,"año",2008)</f>
        <v>23</v>
      </c>
      <c r="D82" s="52">
        <f>GETPIVOTDATA("dato",'[1]graficas evolución mensual'!$A$90,"mes",5,"año",2009)</f>
        <v>13</v>
      </c>
      <c r="E82" s="52">
        <f>GETPIVOTDATA("dato",'[1]graficas evolución mensual'!$A$90,"mes",5,"año",2010)</f>
        <v>10</v>
      </c>
      <c r="F82" s="186">
        <f t="shared" si="4"/>
        <v>-0.43478260869565222</v>
      </c>
      <c r="G82" s="186">
        <f t="shared" si="4"/>
        <v>-0.23076923076923073</v>
      </c>
    </row>
    <row r="83" spans="2:7">
      <c r="B83" s="185" t="s">
        <v>44</v>
      </c>
      <c r="C83" s="52">
        <f>GETPIVOTDATA("dato",'[1]graficas evolución mensual'!$A$90,"mes",6,"año",2008)</f>
        <v>15</v>
      </c>
      <c r="D83" s="52">
        <f>GETPIVOTDATA("dato",'[1]graficas evolución mensual'!$A$90,"mes",6,"año",2009)</f>
        <v>6</v>
      </c>
      <c r="E83" s="52">
        <f>GETPIVOTDATA("dato",'[1]graficas evolución mensual'!$A$90,"mes",6,"año",2010)</f>
        <v>14</v>
      </c>
      <c r="F83" s="186">
        <f t="shared" si="4"/>
        <v>-0.6</v>
      </c>
      <c r="G83" s="186">
        <f t="shared" si="4"/>
        <v>1.3333333333333335</v>
      </c>
    </row>
    <row r="84" spans="2:7">
      <c r="B84" s="185" t="s">
        <v>43</v>
      </c>
      <c r="C84" s="52">
        <f>GETPIVOTDATA("dato",'[1]graficas evolución mensual'!$A$90,"mes",7,"año",2008)</f>
        <v>7</v>
      </c>
      <c r="D84" s="52">
        <f>GETPIVOTDATA("dato",'[1]graficas evolución mensual'!$A$90,"mes",7,"año",2009)</f>
        <v>19</v>
      </c>
      <c r="E84" s="52">
        <f>GETPIVOTDATA("dato",'[1]graficas evolución mensual'!$A$90,"mes",7,"año",2010)</f>
        <v>23</v>
      </c>
      <c r="F84" s="186">
        <f t="shared" si="4"/>
        <v>1.7142857142857144</v>
      </c>
      <c r="G84" s="186">
        <f t="shared" si="4"/>
        <v>0.21052631578947367</v>
      </c>
    </row>
    <row r="85" spans="2:7">
      <c r="B85" s="185" t="s">
        <v>42</v>
      </c>
      <c r="C85" s="52">
        <f>GETPIVOTDATA("dato",'[1]graficas evolución mensual'!$A$90,"mes",8,"año",2008)</f>
        <v>10</v>
      </c>
      <c r="D85" s="52">
        <f>GETPIVOTDATA("dato",'[1]graficas evolución mensual'!$A$90,"mes",8,"año",2009)</f>
        <v>7</v>
      </c>
      <c r="E85" s="52">
        <f>GETPIVOTDATA("dato",'[1]graficas evolución mensual'!$A$90,"mes",8,"año",2010)</f>
        <v>0</v>
      </c>
      <c r="F85" s="186">
        <f t="shared" si="4"/>
        <v>-0.30000000000000004</v>
      </c>
      <c r="G85" s="186"/>
    </row>
    <row r="86" spans="2:7">
      <c r="B86" s="185" t="s">
        <v>41</v>
      </c>
      <c r="C86" s="52">
        <f>GETPIVOTDATA("dato",'[1]graficas evolución mensual'!$A$90,"mes",9,"año",2008)</f>
        <v>11</v>
      </c>
      <c r="D86" s="52">
        <f>GETPIVOTDATA("dato",'[1]graficas evolución mensual'!$A$90,"mes",9,"año",2009)</f>
        <v>15</v>
      </c>
      <c r="E86" s="52">
        <f>GETPIVOTDATA("dato",'[1]graficas evolución mensual'!$A$90,"mes",9,"año",2010)</f>
        <v>0</v>
      </c>
      <c r="F86" s="186">
        <f t="shared" si="4"/>
        <v>0.36363636363636354</v>
      </c>
      <c r="G86" s="186"/>
    </row>
    <row r="87" spans="2:7">
      <c r="B87" s="185" t="s">
        <v>40</v>
      </c>
      <c r="C87" s="52">
        <f>GETPIVOTDATA("dato",'[1]graficas evolución mensual'!$A$90,"mes",10,"año",2008)</f>
        <v>49</v>
      </c>
      <c r="D87" s="52">
        <f>GETPIVOTDATA("dato",'[1]graficas evolución mensual'!$A$90,"mes",10,"año",2009)</f>
        <v>16</v>
      </c>
      <c r="E87" s="52">
        <f>GETPIVOTDATA("dato",'[1]graficas evolución mensual'!$A$90,"mes",10,"año",2010)</f>
        <v>0</v>
      </c>
      <c r="F87" s="186">
        <f t="shared" si="4"/>
        <v>-0.67346938775510212</v>
      </c>
      <c r="G87" s="186"/>
    </row>
    <row r="88" spans="2:7">
      <c r="B88" s="185" t="s">
        <v>39</v>
      </c>
      <c r="C88" s="52">
        <f>GETPIVOTDATA("dato",'[1]graficas evolución mensual'!$A$90,"mes",11,"año",2008)</f>
        <v>46</v>
      </c>
      <c r="D88" s="52">
        <f>GETPIVOTDATA("dato",'[1]graficas evolución mensual'!$A$90,"mes",11,"año",2009)</f>
        <v>16</v>
      </c>
      <c r="E88" s="52">
        <f>GETPIVOTDATA("dato",'[1]graficas evolución mensual'!$A$90,"mes",11,"año",2010)</f>
        <v>0</v>
      </c>
      <c r="F88" s="186">
        <f t="shared" si="4"/>
        <v>-0.65217391304347827</v>
      </c>
      <c r="G88" s="186"/>
    </row>
    <row r="89" spans="2:7">
      <c r="B89" s="185" t="s">
        <v>38</v>
      </c>
      <c r="C89" s="52">
        <f>GETPIVOTDATA("dato",'[1]graficas evolución mensual'!$A$90,"mes",12,"año",2008)</f>
        <v>31</v>
      </c>
      <c r="D89" s="52">
        <f>GETPIVOTDATA("dato",'[1]graficas evolución mensual'!$A$90,"mes",12,"año",2009)</f>
        <v>31</v>
      </c>
      <c r="E89" s="52">
        <f>GETPIVOTDATA("dato",'[1]graficas evolución mensual'!$A$90,"mes",12,"año",2010)</f>
        <v>0</v>
      </c>
      <c r="F89" s="186">
        <f t="shared" si="4"/>
        <v>0</v>
      </c>
      <c r="G89" s="186"/>
    </row>
    <row r="90" spans="2:7">
      <c r="B90" s="187" t="s">
        <v>92</v>
      </c>
      <c r="C90" s="82">
        <f>SUM(C78:C89)</f>
        <v>407</v>
      </c>
      <c r="D90" s="82">
        <f>SUM(D78:D89)</f>
        <v>323</v>
      </c>
      <c r="E90" s="82">
        <f>SUM(E78:E89)</f>
        <v>209</v>
      </c>
      <c r="F90" s="188">
        <f t="shared" si="4"/>
        <v>-0.20638820638820643</v>
      </c>
      <c r="G90" s="188"/>
    </row>
    <row r="91" spans="2:7" ht="24.75" customHeight="1">
      <c r="B91" s="189" t="s">
        <v>138</v>
      </c>
      <c r="C91" s="190"/>
      <c r="D91" s="190"/>
      <c r="E91" s="190"/>
      <c r="F91" s="190"/>
      <c r="G91" s="191"/>
    </row>
    <row r="92" spans="2:7" ht="6" customHeight="1"/>
    <row r="93" spans="2:7" ht="7.5" customHeight="1"/>
    <row r="94" spans="2:7" ht="45" customHeight="1">
      <c r="B94" s="180" t="s">
        <v>143</v>
      </c>
      <c r="C94" s="181"/>
      <c r="D94" s="181"/>
      <c r="E94" s="181"/>
      <c r="F94" s="181"/>
      <c r="G94" s="182"/>
    </row>
    <row r="95" spans="2:7">
      <c r="B95" s="86"/>
      <c r="C95" s="86">
        <v>2008</v>
      </c>
      <c r="D95" s="86">
        <v>2009</v>
      </c>
      <c r="E95" s="86">
        <v>2010</v>
      </c>
      <c r="F95" s="86" t="s">
        <v>136</v>
      </c>
      <c r="G95" s="86" t="s">
        <v>137</v>
      </c>
    </row>
    <row r="96" spans="2:7">
      <c r="B96" s="183" t="s">
        <v>49</v>
      </c>
      <c r="C96" s="79">
        <f>GETPIVOTDATA("dato",'[1]graficas evolución mensual'!$A$111,"mes",1,"año",2008)</f>
        <v>33</v>
      </c>
      <c r="D96" s="79">
        <f>GETPIVOTDATA("dato",'[1]graficas evolución mensual'!$A$111,"mes",1,"año",2009)</f>
        <v>115</v>
      </c>
      <c r="E96" s="79">
        <f>GETPIVOTDATA("dato",'[1]graficas evolución mensual'!$A$111,"mes",1,"año",2010)</f>
        <v>77</v>
      </c>
      <c r="F96" s="184">
        <f>D96/C96-1</f>
        <v>2.4848484848484849</v>
      </c>
      <c r="G96" s="184">
        <f>E96/D96-1</f>
        <v>-0.33043478260869563</v>
      </c>
    </row>
    <row r="97" spans="2:7">
      <c r="B97" s="185" t="s">
        <v>48</v>
      </c>
      <c r="C97" s="52">
        <f>GETPIVOTDATA("dato",'[1]graficas evolución mensual'!$A$111,"mes",2,"año",2008)</f>
        <v>52</v>
      </c>
      <c r="D97" s="52">
        <f>GETPIVOTDATA("dato",'[1]graficas evolución mensual'!$A$111,"mes",2,"año",2009)</f>
        <v>50</v>
      </c>
      <c r="E97" s="52">
        <f>GETPIVOTDATA("dato",'[1]graficas evolución mensual'!$A$111,"mes",2,"año",2010)</f>
        <v>66</v>
      </c>
      <c r="F97" s="186">
        <f t="shared" ref="F97:G108" si="5">D97/C97-1</f>
        <v>-3.8461538461538436E-2</v>
      </c>
      <c r="G97" s="186">
        <f t="shared" si="5"/>
        <v>0.32000000000000006</v>
      </c>
    </row>
    <row r="98" spans="2:7">
      <c r="B98" s="185" t="s">
        <v>47</v>
      </c>
      <c r="C98" s="52">
        <f>GETPIVOTDATA("dato",'[1]graficas evolución mensual'!$A$111,"mes",3,"año",2008)</f>
        <v>51</v>
      </c>
      <c r="D98" s="52">
        <f>GETPIVOTDATA("dato",'[1]graficas evolución mensual'!$A$111,"mes",3,"año",2009)</f>
        <v>72</v>
      </c>
      <c r="E98" s="52">
        <f>GETPIVOTDATA("dato",'[1]graficas evolución mensual'!$A$111,"mes",3,"año",2010)</f>
        <v>48</v>
      </c>
      <c r="F98" s="186">
        <f t="shared" si="5"/>
        <v>0.41176470588235303</v>
      </c>
      <c r="G98" s="186">
        <f t="shared" si="5"/>
        <v>-0.33333333333333337</v>
      </c>
    </row>
    <row r="99" spans="2:7">
      <c r="B99" s="185" t="s">
        <v>46</v>
      </c>
      <c r="C99" s="52">
        <f>GETPIVOTDATA("dato",'[1]graficas evolución mensual'!$A$111,"mes",4,"año",2008)</f>
        <v>40</v>
      </c>
      <c r="D99" s="52">
        <f>GETPIVOTDATA("dato",'[1]graficas evolución mensual'!$A$111,"mes",4,"año",2009)</f>
        <v>40</v>
      </c>
      <c r="E99" s="52">
        <f>GETPIVOTDATA("dato",'[1]graficas evolución mensual'!$A$111,"mes",4,"año",2010)</f>
        <v>25</v>
      </c>
      <c r="F99" s="186">
        <f t="shared" si="5"/>
        <v>0</v>
      </c>
      <c r="G99" s="186">
        <f t="shared" si="5"/>
        <v>-0.375</v>
      </c>
    </row>
    <row r="100" spans="2:7">
      <c r="B100" s="185" t="s">
        <v>45</v>
      </c>
      <c r="C100" s="52">
        <f>GETPIVOTDATA("dato",'[1]graficas evolución mensual'!$A$111,"mes",5,"año",2008)</f>
        <v>26</v>
      </c>
      <c r="D100" s="52">
        <f>GETPIVOTDATA("dato",'[1]graficas evolución mensual'!$A$111,"mes",5,"año",2009)</f>
        <v>22</v>
      </c>
      <c r="E100" s="52">
        <f>GETPIVOTDATA("dato",'[1]graficas evolución mensual'!$A$111,"mes",5,"año",2010)</f>
        <v>22</v>
      </c>
      <c r="F100" s="186">
        <f t="shared" si="5"/>
        <v>-0.15384615384615385</v>
      </c>
      <c r="G100" s="186">
        <f t="shared" si="5"/>
        <v>0</v>
      </c>
    </row>
    <row r="101" spans="2:7">
      <c r="B101" s="185" t="s">
        <v>44</v>
      </c>
      <c r="C101" s="52">
        <f>GETPIVOTDATA("dato",'[1]graficas evolución mensual'!$A$111,"mes",6,"año",2008)</f>
        <v>33</v>
      </c>
      <c r="D101" s="52">
        <f>GETPIVOTDATA("dato",'[1]graficas evolución mensual'!$A$111,"mes",6,"año",2009)</f>
        <v>5</v>
      </c>
      <c r="E101" s="52">
        <f>GETPIVOTDATA("dato",'[1]graficas evolución mensual'!$A$111,"mes",6,"año",2010)</f>
        <v>13</v>
      </c>
      <c r="F101" s="186">
        <f t="shared" si="5"/>
        <v>-0.84848484848484851</v>
      </c>
      <c r="G101" s="186">
        <f t="shared" si="5"/>
        <v>1.6</v>
      </c>
    </row>
    <row r="102" spans="2:7">
      <c r="B102" s="185" t="s">
        <v>43</v>
      </c>
      <c r="C102" s="52">
        <f>GETPIVOTDATA("dato",'[1]graficas evolución mensual'!$A$111,"mes",7,"año",2008)</f>
        <v>19</v>
      </c>
      <c r="D102" s="52">
        <f>GETPIVOTDATA("dato",'[1]graficas evolución mensual'!$A$111,"mes",7,"año",2009)</f>
        <v>14</v>
      </c>
      <c r="E102" s="52">
        <f>GETPIVOTDATA("dato",'[1]graficas evolución mensual'!$A$111,"mes",7,"año",2010)</f>
        <v>32</v>
      </c>
      <c r="F102" s="186">
        <f t="shared" si="5"/>
        <v>-0.26315789473684215</v>
      </c>
      <c r="G102" s="186">
        <f t="shared" si="5"/>
        <v>1.2857142857142856</v>
      </c>
    </row>
    <row r="103" spans="2:7">
      <c r="B103" s="185" t="s">
        <v>42</v>
      </c>
      <c r="C103" s="52">
        <f>GETPIVOTDATA("dato",'[1]graficas evolución mensual'!$A$111,"mes",8,"año",2008)</f>
        <v>12</v>
      </c>
      <c r="D103" s="52">
        <f>GETPIVOTDATA("dato",'[1]graficas evolución mensual'!$A$111,"mes",8,"año",2009)</f>
        <v>25</v>
      </c>
      <c r="E103" s="52">
        <f>GETPIVOTDATA("dato",'[1]graficas evolución mensual'!$A$111,"mes",8,"año",2010)</f>
        <v>0</v>
      </c>
      <c r="F103" s="186">
        <f t="shared" si="5"/>
        <v>1.0833333333333335</v>
      </c>
      <c r="G103" s="186"/>
    </row>
    <row r="104" spans="2:7">
      <c r="B104" s="185" t="s">
        <v>41</v>
      </c>
      <c r="C104" s="52">
        <f>GETPIVOTDATA("dato",'[1]graficas evolución mensual'!$A$111,"mes",9,"año",2008)</f>
        <v>39</v>
      </c>
      <c r="D104" s="52">
        <f>GETPIVOTDATA("dato",'[1]graficas evolución mensual'!$A$111,"mes",9,"año",2009)</f>
        <v>15</v>
      </c>
      <c r="E104" s="52">
        <f>GETPIVOTDATA("dato",'[1]graficas evolución mensual'!$A$111,"mes",9,"año",2010)</f>
        <v>0</v>
      </c>
      <c r="F104" s="186">
        <f t="shared" si="5"/>
        <v>-0.61538461538461542</v>
      </c>
      <c r="G104" s="186"/>
    </row>
    <row r="105" spans="2:7">
      <c r="B105" s="185" t="s">
        <v>40</v>
      </c>
      <c r="C105" s="52">
        <f>GETPIVOTDATA("dato",'[1]graficas evolución mensual'!$A$111,"mes",10,"año",2008)</f>
        <v>48</v>
      </c>
      <c r="D105" s="52">
        <f>GETPIVOTDATA("dato",'[1]graficas evolución mensual'!$A$111,"mes",10,"año",2009)</f>
        <v>8</v>
      </c>
      <c r="E105" s="52">
        <f>GETPIVOTDATA("dato",'[1]graficas evolución mensual'!$A$111,"mes",10,"año",2010)</f>
        <v>0</v>
      </c>
      <c r="F105" s="186">
        <f t="shared" si="5"/>
        <v>-0.83333333333333337</v>
      </c>
      <c r="G105" s="186"/>
    </row>
    <row r="106" spans="2:7">
      <c r="B106" s="185" t="s">
        <v>39</v>
      </c>
      <c r="C106" s="52">
        <f>GETPIVOTDATA("dato",'[1]graficas evolución mensual'!$A$111,"mes",11,"año",2008)</f>
        <v>88</v>
      </c>
      <c r="D106" s="52">
        <f>GETPIVOTDATA("dato",'[1]graficas evolución mensual'!$A$111,"mes",11,"año",2009)</f>
        <v>50</v>
      </c>
      <c r="E106" s="52">
        <f>GETPIVOTDATA("dato",'[1]graficas evolución mensual'!$A$111,"mes",11,"año",2010)</f>
        <v>0</v>
      </c>
      <c r="F106" s="186">
        <f t="shared" si="5"/>
        <v>-0.43181818181818177</v>
      </c>
      <c r="G106" s="186"/>
    </row>
    <row r="107" spans="2:7">
      <c r="B107" s="185" t="s">
        <v>38</v>
      </c>
      <c r="C107" s="52">
        <f>GETPIVOTDATA("dato",'[1]graficas evolución mensual'!$A$111,"mes",12,"año",2008)</f>
        <v>79</v>
      </c>
      <c r="D107" s="52">
        <f>GETPIVOTDATA("dato",'[1]graficas evolución mensual'!$A$111,"mes",12,"año",2009)</f>
        <v>50</v>
      </c>
      <c r="E107" s="52">
        <f>GETPIVOTDATA("dato",'[1]graficas evolución mensual'!$A$111,"mes",12,"año",2010)</f>
        <v>0</v>
      </c>
      <c r="F107" s="186">
        <f t="shared" si="5"/>
        <v>-0.36708860759493667</v>
      </c>
      <c r="G107" s="186"/>
    </row>
    <row r="108" spans="2:7">
      <c r="B108" s="187" t="s">
        <v>92</v>
      </c>
      <c r="C108" s="82">
        <f>SUM(C96:C107)</f>
        <v>520</v>
      </c>
      <c r="D108" s="82">
        <f>SUM(D96:D107)</f>
        <v>466</v>
      </c>
      <c r="E108" s="82">
        <f>SUM(E96:E107)</f>
        <v>283</v>
      </c>
      <c r="F108" s="188">
        <f t="shared" si="5"/>
        <v>-0.10384615384615381</v>
      </c>
      <c r="G108" s="188"/>
    </row>
    <row r="109" spans="2:7" ht="22.5" customHeight="1">
      <c r="B109" s="189" t="s">
        <v>138</v>
      </c>
      <c r="C109" s="190"/>
      <c r="D109" s="190"/>
      <c r="E109" s="190"/>
      <c r="F109" s="190"/>
      <c r="G109" s="191"/>
    </row>
    <row r="110" spans="2:7" ht="7.5" customHeight="1"/>
    <row r="111" spans="2:7" ht="9" customHeight="1"/>
    <row r="112" spans="2:7" ht="44.25" customHeight="1">
      <c r="B112" s="180" t="s">
        <v>144</v>
      </c>
      <c r="C112" s="181"/>
      <c r="D112" s="181"/>
      <c r="E112" s="181"/>
      <c r="F112" s="181"/>
      <c r="G112" s="182"/>
    </row>
    <row r="113" spans="2:7">
      <c r="B113" s="86"/>
      <c r="C113" s="86">
        <v>2008</v>
      </c>
      <c r="D113" s="86">
        <v>2009</v>
      </c>
      <c r="E113" s="86">
        <v>2010</v>
      </c>
      <c r="F113" s="86" t="s">
        <v>136</v>
      </c>
      <c r="G113" s="86" t="s">
        <v>137</v>
      </c>
    </row>
    <row r="114" spans="2:7">
      <c r="B114" s="183" t="s">
        <v>49</v>
      </c>
      <c r="C114" s="79">
        <f>GETPIVOTDATA("dato",'[1]graficas evolución mensual'!$A$132,"mes",1,"año",2008)</f>
        <v>48</v>
      </c>
      <c r="D114" s="79">
        <f>GETPIVOTDATA("dato",'[1]graficas evolución mensual'!$A$132,"mes",1,"año",2009)</f>
        <v>46</v>
      </c>
      <c r="E114" s="79">
        <f>GETPIVOTDATA("dato",'[1]graficas evolución mensual'!$A$132,"mes",1,"año",2010)</f>
        <v>24</v>
      </c>
      <c r="F114" s="184">
        <f>D114/C114-1</f>
        <v>-4.166666666666663E-2</v>
      </c>
      <c r="G114" s="184">
        <f>E114/D114-1</f>
        <v>-0.47826086956521741</v>
      </c>
    </row>
    <row r="115" spans="2:7">
      <c r="B115" s="185" t="s">
        <v>48</v>
      </c>
      <c r="C115" s="52">
        <f>GETPIVOTDATA("dato",'[1]graficas evolución mensual'!$A$132,"mes",2,"año",2008)</f>
        <v>61</v>
      </c>
      <c r="D115" s="52">
        <f>GETPIVOTDATA("dato",'[1]graficas evolución mensual'!$A$132,"mes",2,"año",2009)</f>
        <v>54</v>
      </c>
      <c r="E115" s="52">
        <f>GETPIVOTDATA("dato",'[1]graficas evolución mensual'!$A$132,"mes",2,"año",2010)</f>
        <v>52</v>
      </c>
      <c r="F115" s="186">
        <f t="shared" ref="F115:G126" si="6">D115/C115-1</f>
        <v>-0.11475409836065575</v>
      </c>
      <c r="G115" s="186">
        <f t="shared" si="6"/>
        <v>-3.703703703703709E-2</v>
      </c>
    </row>
    <row r="116" spans="2:7">
      <c r="B116" s="185" t="s">
        <v>47</v>
      </c>
      <c r="C116" s="52">
        <f>GETPIVOTDATA("dato",'[1]graficas evolución mensual'!$A$132,"mes",3,"año",2008)</f>
        <v>80</v>
      </c>
      <c r="D116" s="52">
        <f>GETPIVOTDATA("dato",'[1]graficas evolución mensual'!$A$132,"mes",3,"año",2009)</f>
        <v>40</v>
      </c>
      <c r="E116" s="52">
        <f>GETPIVOTDATA("dato",'[1]graficas evolución mensual'!$A$132,"mes",3,"año",2010)</f>
        <v>14</v>
      </c>
      <c r="F116" s="186">
        <f t="shared" si="6"/>
        <v>-0.5</v>
      </c>
      <c r="G116" s="186">
        <f t="shared" si="6"/>
        <v>-0.65</v>
      </c>
    </row>
    <row r="117" spans="2:7">
      <c r="B117" s="185" t="s">
        <v>46</v>
      </c>
      <c r="C117" s="52">
        <f>GETPIVOTDATA("dato",'[1]graficas evolución mensual'!$A$132,"mes",4,"año",2008)</f>
        <v>10</v>
      </c>
      <c r="D117" s="52">
        <f>GETPIVOTDATA("dato",'[1]graficas evolución mensual'!$A$132,"mes",4,"año",2009)</f>
        <v>18</v>
      </c>
      <c r="E117" s="52">
        <f>GETPIVOTDATA("dato",'[1]graficas evolución mensual'!$A$132,"mes",4,"año",2010)</f>
        <v>24</v>
      </c>
      <c r="F117" s="186">
        <f t="shared" si="6"/>
        <v>0.8</v>
      </c>
      <c r="G117" s="186">
        <f t="shared" si="6"/>
        <v>0.33333333333333326</v>
      </c>
    </row>
    <row r="118" spans="2:7">
      <c r="B118" s="185" t="s">
        <v>45</v>
      </c>
      <c r="C118" s="52">
        <f>GETPIVOTDATA("dato",'[1]graficas evolución mensual'!$A$132,"mes",5,"año",2008)</f>
        <v>21</v>
      </c>
      <c r="D118" s="52">
        <f>GETPIVOTDATA("dato",'[1]graficas evolución mensual'!$A$132,"mes",5,"año",2009)</f>
        <v>21</v>
      </c>
      <c r="E118" s="52">
        <f>GETPIVOTDATA("dato",'[1]graficas evolución mensual'!$A$132,"mes",5,"año",2010)</f>
        <v>25</v>
      </c>
      <c r="F118" s="186">
        <f t="shared" si="6"/>
        <v>0</v>
      </c>
      <c r="G118" s="186">
        <f t="shared" si="6"/>
        <v>0.19047619047619047</v>
      </c>
    </row>
    <row r="119" spans="2:7">
      <c r="B119" s="185" t="s">
        <v>44</v>
      </c>
      <c r="C119" s="52">
        <f>GETPIVOTDATA("dato",'[1]graficas evolución mensual'!$A$132,"mes",6,"año",2008)</f>
        <v>13</v>
      </c>
      <c r="D119" s="52">
        <f>GETPIVOTDATA("dato",'[1]graficas evolución mensual'!$A$132,"mes",6,"año",2009)</f>
        <v>11</v>
      </c>
      <c r="E119" s="52">
        <f>GETPIVOTDATA("dato",'[1]graficas evolución mensual'!$A$132,"mes",6,"año",2010)</f>
        <v>9</v>
      </c>
      <c r="F119" s="186">
        <f t="shared" si="6"/>
        <v>-0.15384615384615385</v>
      </c>
      <c r="G119" s="186">
        <f t="shared" si="6"/>
        <v>-0.18181818181818177</v>
      </c>
    </row>
    <row r="120" spans="2:7">
      <c r="B120" s="185" t="s">
        <v>43</v>
      </c>
      <c r="C120" s="52">
        <f>GETPIVOTDATA("dato",'[1]graficas evolución mensual'!$A$132,"mes",7,"año",2008)</f>
        <v>20</v>
      </c>
      <c r="D120" s="52">
        <f>GETPIVOTDATA("dato",'[1]graficas evolución mensual'!$A$132,"mes",7,"año",2009)</f>
        <v>46</v>
      </c>
      <c r="E120" s="52">
        <f>GETPIVOTDATA("dato",'[1]graficas evolución mensual'!$A$132,"mes",7,"año",2010)</f>
        <v>23</v>
      </c>
      <c r="F120" s="186">
        <f t="shared" si="6"/>
        <v>1.2999999999999998</v>
      </c>
      <c r="G120" s="186">
        <f t="shared" si="6"/>
        <v>-0.5</v>
      </c>
    </row>
    <row r="121" spans="2:7">
      <c r="B121" s="185" t="s">
        <v>42</v>
      </c>
      <c r="C121" s="52">
        <f>GETPIVOTDATA("dato",'[1]graficas evolución mensual'!$A$132,"mes",8,"año",2008)</f>
        <v>23</v>
      </c>
      <c r="D121" s="52">
        <f>GETPIVOTDATA("dato",'[1]graficas evolución mensual'!$A$132,"mes",8,"año",2009)</f>
        <v>13</v>
      </c>
      <c r="E121" s="52">
        <f>GETPIVOTDATA("dato",'[1]graficas evolución mensual'!$A$132,"mes",8,"año",2010)</f>
        <v>0</v>
      </c>
      <c r="F121" s="186">
        <f t="shared" si="6"/>
        <v>-0.43478260869565222</v>
      </c>
      <c r="G121" s="186"/>
    </row>
    <row r="122" spans="2:7">
      <c r="B122" s="185" t="s">
        <v>41</v>
      </c>
      <c r="C122" s="52">
        <f>GETPIVOTDATA("dato",'[1]graficas evolución mensual'!$A$132,"mes",9,"año",2008)</f>
        <v>23</v>
      </c>
      <c r="D122" s="52">
        <f>GETPIVOTDATA("dato",'[1]graficas evolución mensual'!$A$132,"mes",9,"año",2009)</f>
        <v>11</v>
      </c>
      <c r="E122" s="52">
        <f>GETPIVOTDATA("dato",'[1]graficas evolución mensual'!$A$132,"mes",9,"año",2010)</f>
        <v>0</v>
      </c>
      <c r="F122" s="186">
        <f t="shared" si="6"/>
        <v>-0.52173913043478259</v>
      </c>
      <c r="G122" s="186"/>
    </row>
    <row r="123" spans="2:7">
      <c r="B123" s="185" t="s">
        <v>40</v>
      </c>
      <c r="C123" s="52">
        <f>GETPIVOTDATA("dato",'[1]graficas evolución mensual'!$A$132,"mes",10,"año",2008)</f>
        <v>51</v>
      </c>
      <c r="D123" s="52">
        <f>GETPIVOTDATA("dato",'[1]graficas evolución mensual'!$A$132,"mes",10,"año",2009)</f>
        <v>22</v>
      </c>
      <c r="E123" s="52">
        <f>GETPIVOTDATA("dato",'[1]graficas evolución mensual'!$A$132,"mes",10,"año",2010)</f>
        <v>0</v>
      </c>
      <c r="F123" s="186">
        <f t="shared" si="6"/>
        <v>-0.56862745098039214</v>
      </c>
      <c r="G123" s="186"/>
    </row>
    <row r="124" spans="2:7">
      <c r="B124" s="185" t="s">
        <v>39</v>
      </c>
      <c r="C124" s="52">
        <f>GETPIVOTDATA("dato",'[1]graficas evolución mensual'!$A$132,"mes",11,"año",2008)</f>
        <v>67</v>
      </c>
      <c r="D124" s="52">
        <f>GETPIVOTDATA("dato",'[1]graficas evolución mensual'!$A$132,"mes",11,"año",2009)</f>
        <v>45</v>
      </c>
      <c r="E124" s="52">
        <f>GETPIVOTDATA("dato",'[1]graficas evolución mensual'!$A$132,"mes",11,"año",2010)</f>
        <v>0</v>
      </c>
      <c r="F124" s="186">
        <f t="shared" si="6"/>
        <v>-0.32835820895522383</v>
      </c>
      <c r="G124" s="186"/>
    </row>
    <row r="125" spans="2:7">
      <c r="B125" s="185" t="s">
        <v>38</v>
      </c>
      <c r="C125" s="52">
        <f>GETPIVOTDATA("dato",'[1]graficas evolución mensual'!$A$132,"mes",12,"año",2008)</f>
        <v>77</v>
      </c>
      <c r="D125" s="52">
        <f>GETPIVOTDATA("dato",'[1]graficas evolución mensual'!$A$132,"mes",12,"año",2009)</f>
        <v>56</v>
      </c>
      <c r="E125" s="52">
        <f>GETPIVOTDATA("dato",'[1]graficas evolución mensual'!$A$132,"mes",12,"año",2010)</f>
        <v>0</v>
      </c>
      <c r="F125" s="186">
        <f t="shared" si="6"/>
        <v>-0.27272727272727271</v>
      </c>
      <c r="G125" s="186"/>
    </row>
    <row r="126" spans="2:7">
      <c r="B126" s="187" t="s">
        <v>92</v>
      </c>
      <c r="C126" s="82">
        <f>SUM(C114:C125)</f>
        <v>494</v>
      </c>
      <c r="D126" s="82">
        <f>SUM(D114:D125)</f>
        <v>383</v>
      </c>
      <c r="E126" s="82">
        <f>SUM(E114:E125)</f>
        <v>171</v>
      </c>
      <c r="F126" s="188">
        <f t="shared" si="6"/>
        <v>-0.2246963562753036</v>
      </c>
      <c r="G126" s="188"/>
    </row>
    <row r="127" spans="2:7" ht="22.5" customHeight="1">
      <c r="B127" s="189" t="s">
        <v>138</v>
      </c>
      <c r="C127" s="190"/>
      <c r="D127" s="190"/>
      <c r="E127" s="190"/>
      <c r="F127" s="190"/>
      <c r="G127" s="191"/>
    </row>
    <row r="128" spans="2:7" ht="7.5" customHeight="1"/>
    <row r="129" spans="2:7" ht="7.5" customHeight="1"/>
    <row r="130" spans="2:7" ht="45" customHeight="1">
      <c r="B130" s="180" t="s">
        <v>145</v>
      </c>
      <c r="C130" s="181"/>
      <c r="D130" s="181"/>
      <c r="E130" s="181"/>
      <c r="F130" s="181"/>
      <c r="G130" s="182"/>
    </row>
    <row r="131" spans="2:7">
      <c r="B131" s="86"/>
      <c r="C131" s="86">
        <v>2008</v>
      </c>
      <c r="D131" s="86">
        <v>2009</v>
      </c>
      <c r="E131" s="86">
        <v>2010</v>
      </c>
      <c r="F131" s="86" t="s">
        <v>136</v>
      </c>
      <c r="G131" s="86" t="s">
        <v>137</v>
      </c>
    </row>
    <row r="132" spans="2:7">
      <c r="B132" s="183" t="s">
        <v>49</v>
      </c>
      <c r="C132" s="79">
        <f>GETPIVOTDATA("dato",'[1]graficas evolución mensual'!$A$153,"mes",1,"año",2008)</f>
        <v>73</v>
      </c>
      <c r="D132" s="79">
        <f>GETPIVOTDATA("dato",'[1]graficas evolución mensual'!$A$153,"mes",1,"año",2009)</f>
        <v>35</v>
      </c>
      <c r="E132" s="79">
        <f>GETPIVOTDATA("dato",'[1]graficas evolución mensual'!$A$153,"mes",1,"año",2010)</f>
        <v>47</v>
      </c>
      <c r="F132" s="184">
        <f>D132/C132-1</f>
        <v>-0.52054794520547953</v>
      </c>
      <c r="G132" s="184">
        <f>E132/D132-1</f>
        <v>0.34285714285714275</v>
      </c>
    </row>
    <row r="133" spans="2:7">
      <c r="B133" s="185" t="s">
        <v>48</v>
      </c>
      <c r="C133" s="52">
        <f>GETPIVOTDATA("dato",'[1]graficas evolución mensual'!$A$153,"mes",2,"año",2008)</f>
        <v>117</v>
      </c>
      <c r="D133" s="52">
        <f>GETPIVOTDATA("dato",'[1]graficas evolución mensual'!$A$153,"mes",2,"año",2009)</f>
        <v>68</v>
      </c>
      <c r="E133" s="52">
        <f>GETPIVOTDATA("dato",'[1]graficas evolución mensual'!$A$153,"mes",2,"año",2010)</f>
        <v>100</v>
      </c>
      <c r="F133" s="186">
        <f t="shared" ref="F133:G144" si="7">D133/C133-1</f>
        <v>-0.41880341880341876</v>
      </c>
      <c r="G133" s="186">
        <f t="shared" si="7"/>
        <v>0.47058823529411775</v>
      </c>
    </row>
    <row r="134" spans="2:7">
      <c r="B134" s="185" t="s">
        <v>47</v>
      </c>
      <c r="C134" s="52">
        <f>GETPIVOTDATA("dato",'[1]graficas evolución mensual'!$A$153,"mes",3,"año",2008)</f>
        <v>102</v>
      </c>
      <c r="D134" s="52">
        <f>GETPIVOTDATA("dato",'[1]graficas evolución mensual'!$A$153,"mes",3,"año",2009)</f>
        <v>65</v>
      </c>
      <c r="E134" s="52">
        <f>GETPIVOTDATA("dato",'[1]graficas evolución mensual'!$A$153,"mes",3,"año",2010)</f>
        <v>39</v>
      </c>
      <c r="F134" s="186">
        <f t="shared" si="7"/>
        <v>-0.36274509803921573</v>
      </c>
      <c r="G134" s="186">
        <f t="shared" si="7"/>
        <v>-0.4</v>
      </c>
    </row>
    <row r="135" spans="2:7">
      <c r="B135" s="185" t="s">
        <v>46</v>
      </c>
      <c r="C135" s="52">
        <f>GETPIVOTDATA("dato",'[1]graficas evolución mensual'!$A$153,"mes",4,"año",2008)</f>
        <v>34</v>
      </c>
      <c r="D135" s="52">
        <f>GETPIVOTDATA("dato",'[1]graficas evolución mensual'!$A$153,"mes",4,"año",2009)</f>
        <v>23</v>
      </c>
      <c r="E135" s="52">
        <f>GETPIVOTDATA("dato",'[1]graficas evolución mensual'!$A$153,"mes",4,"año",2010)</f>
        <v>20</v>
      </c>
      <c r="F135" s="186">
        <f t="shared" si="7"/>
        <v>-0.32352941176470584</v>
      </c>
      <c r="G135" s="186">
        <f t="shared" si="7"/>
        <v>-0.13043478260869568</v>
      </c>
    </row>
    <row r="136" spans="2:7">
      <c r="B136" s="185" t="s">
        <v>45</v>
      </c>
      <c r="C136" s="52">
        <f>GETPIVOTDATA("dato",'[1]graficas evolución mensual'!$A$153,"mes",5,"año",2008)</f>
        <v>15</v>
      </c>
      <c r="D136" s="52">
        <f>GETPIVOTDATA("dato",'[1]graficas evolución mensual'!$A$153,"mes",5,"año",2009)</f>
        <v>15</v>
      </c>
      <c r="E136" s="52">
        <f>GETPIVOTDATA("dato",'[1]graficas evolución mensual'!$A$153,"mes",5,"año",2010)</f>
        <v>29</v>
      </c>
      <c r="F136" s="186">
        <f t="shared" si="7"/>
        <v>0</v>
      </c>
      <c r="G136" s="186">
        <f t="shared" si="7"/>
        <v>0.93333333333333335</v>
      </c>
    </row>
    <row r="137" spans="2:7">
      <c r="B137" s="185" t="s">
        <v>44</v>
      </c>
      <c r="C137" s="52">
        <f>GETPIVOTDATA("dato",'[1]graficas evolución mensual'!$A$153,"mes",6,"año",2008)</f>
        <v>16</v>
      </c>
      <c r="D137" s="52">
        <f>GETPIVOTDATA("dato",'[1]graficas evolución mensual'!$A$153,"mes",6,"año",2009)</f>
        <v>13</v>
      </c>
      <c r="E137" s="52">
        <f>GETPIVOTDATA("dato",'[1]graficas evolución mensual'!$A$153,"mes",6,"año",2010)</f>
        <v>7</v>
      </c>
      <c r="F137" s="186">
        <f t="shared" si="7"/>
        <v>-0.1875</v>
      </c>
      <c r="G137" s="186">
        <f t="shared" si="7"/>
        <v>-0.46153846153846156</v>
      </c>
    </row>
    <row r="138" spans="2:7">
      <c r="B138" s="185" t="s">
        <v>43</v>
      </c>
      <c r="C138" s="52">
        <f>GETPIVOTDATA("dato",'[1]graficas evolución mensual'!$A$153,"mes",7,"año",2008)</f>
        <v>16</v>
      </c>
      <c r="D138" s="52">
        <f>GETPIVOTDATA("dato",'[1]graficas evolución mensual'!$A$153,"mes",7,"año",2009)</f>
        <v>18</v>
      </c>
      <c r="E138" s="52">
        <f>GETPIVOTDATA("dato",'[1]graficas evolución mensual'!$A$153,"mes",7,"año",2010)</f>
        <v>12</v>
      </c>
      <c r="F138" s="186">
        <f t="shared" si="7"/>
        <v>0.125</v>
      </c>
      <c r="G138" s="186">
        <f t="shared" si="7"/>
        <v>-0.33333333333333337</v>
      </c>
    </row>
    <row r="139" spans="2:7">
      <c r="B139" s="185" t="s">
        <v>42</v>
      </c>
      <c r="C139" s="52">
        <f>GETPIVOTDATA("dato",'[1]graficas evolución mensual'!$A$153,"mes",8,"año",2008)</f>
        <v>11</v>
      </c>
      <c r="D139" s="52">
        <f>GETPIVOTDATA("dato",'[1]graficas evolución mensual'!$A$153,"mes",8,"año",2009)</f>
        <v>2</v>
      </c>
      <c r="E139" s="52">
        <f>GETPIVOTDATA("dato",'[1]graficas evolución mensual'!$A$153,"mes",8,"año",2010)</f>
        <v>0</v>
      </c>
      <c r="F139" s="186">
        <f t="shared" si="7"/>
        <v>-0.81818181818181812</v>
      </c>
      <c r="G139" s="186"/>
    </row>
    <row r="140" spans="2:7">
      <c r="B140" s="185" t="s">
        <v>41</v>
      </c>
      <c r="C140" s="52">
        <f>GETPIVOTDATA("dato",'[1]graficas evolución mensual'!$A$153,"mes",9,"año",2008)</f>
        <v>15</v>
      </c>
      <c r="D140" s="52">
        <f>GETPIVOTDATA("dato",'[1]graficas evolución mensual'!$A$153,"mes",9,"año",2009)</f>
        <v>22</v>
      </c>
      <c r="E140" s="52">
        <f>GETPIVOTDATA("dato",'[1]graficas evolución mensual'!$A$153,"mes",9,"año",2010)</f>
        <v>0</v>
      </c>
      <c r="F140" s="186">
        <f t="shared" si="7"/>
        <v>0.46666666666666656</v>
      </c>
      <c r="G140" s="186"/>
    </row>
    <row r="141" spans="2:7">
      <c r="B141" s="185" t="s">
        <v>40</v>
      </c>
      <c r="C141" s="52">
        <f>GETPIVOTDATA("dato",'[1]graficas evolución mensual'!$A$153,"mes",10,"año",2008)</f>
        <v>57</v>
      </c>
      <c r="D141" s="52">
        <f>GETPIVOTDATA("dato",'[1]graficas evolución mensual'!$A$153,"mes",10,"año",2009)</f>
        <v>41</v>
      </c>
      <c r="E141" s="52">
        <f>GETPIVOTDATA("dato",'[1]graficas evolución mensual'!$A$153,"mes",10,"año",2010)</f>
        <v>0</v>
      </c>
      <c r="F141" s="186">
        <f t="shared" si="7"/>
        <v>-0.2807017543859649</v>
      </c>
      <c r="G141" s="186"/>
    </row>
    <row r="142" spans="2:7">
      <c r="B142" s="185" t="s">
        <v>39</v>
      </c>
      <c r="C142" s="52">
        <f>GETPIVOTDATA("dato",'[1]graficas evolución mensual'!$A$153,"mes",11,"año",2008)</f>
        <v>108</v>
      </c>
      <c r="D142" s="52">
        <f>GETPIVOTDATA("dato",'[1]graficas evolución mensual'!$A$153,"mes",11,"año",2009)</f>
        <v>42</v>
      </c>
      <c r="E142" s="52">
        <f>GETPIVOTDATA("dato",'[1]graficas evolución mensual'!$A$153,"mes",11,"año",2010)</f>
        <v>0</v>
      </c>
      <c r="F142" s="186">
        <f t="shared" si="7"/>
        <v>-0.61111111111111116</v>
      </c>
      <c r="G142" s="186"/>
    </row>
    <row r="143" spans="2:7">
      <c r="B143" s="185" t="s">
        <v>38</v>
      </c>
      <c r="C143" s="52">
        <f>GETPIVOTDATA("dato",'[1]graficas evolución mensual'!$A$153,"mes",12,"año",2008)</f>
        <v>35</v>
      </c>
      <c r="D143" s="52">
        <f>GETPIVOTDATA("dato",'[1]graficas evolución mensual'!$A$153,"mes",12,"año",2009)</f>
        <v>21</v>
      </c>
      <c r="E143" s="52">
        <f>GETPIVOTDATA("dato",'[1]graficas evolución mensual'!$A$153,"mes",12,"año",2010)</f>
        <v>0</v>
      </c>
      <c r="F143" s="186">
        <f t="shared" si="7"/>
        <v>-0.4</v>
      </c>
      <c r="G143" s="186"/>
    </row>
    <row r="144" spans="2:7">
      <c r="B144" s="187" t="s">
        <v>92</v>
      </c>
      <c r="C144" s="82">
        <f>SUM(C132:C143)</f>
        <v>599</v>
      </c>
      <c r="D144" s="82">
        <f>SUM(D132:D143)</f>
        <v>365</v>
      </c>
      <c r="E144" s="82">
        <f>SUM(E132:E143)</f>
        <v>254</v>
      </c>
      <c r="F144" s="188">
        <f t="shared" si="7"/>
        <v>-0.39065108514190316</v>
      </c>
      <c r="G144" s="188"/>
    </row>
    <row r="145" spans="2:7" ht="22.5" customHeight="1">
      <c r="B145" s="189" t="s">
        <v>138</v>
      </c>
      <c r="C145" s="190"/>
      <c r="D145" s="190"/>
      <c r="E145" s="190"/>
      <c r="F145" s="190"/>
      <c r="G145" s="191"/>
    </row>
    <row r="146" spans="2:7" ht="8.25" customHeight="1"/>
    <row r="147" spans="2:7" ht="9.75" customHeight="1"/>
    <row r="148" spans="2:7" ht="45.75" customHeight="1">
      <c r="B148" s="180" t="s">
        <v>146</v>
      </c>
      <c r="C148" s="181"/>
      <c r="D148" s="181"/>
      <c r="E148" s="181"/>
      <c r="F148" s="181"/>
      <c r="G148" s="182"/>
    </row>
    <row r="149" spans="2:7">
      <c r="B149" s="86"/>
      <c r="C149" s="86">
        <v>2008</v>
      </c>
      <c r="D149" s="86">
        <v>2009</v>
      </c>
      <c r="E149" s="86">
        <v>2010</v>
      </c>
      <c r="F149" s="86" t="s">
        <v>136</v>
      </c>
      <c r="G149" s="86" t="s">
        <v>137</v>
      </c>
    </row>
    <row r="150" spans="2:7">
      <c r="B150" s="183" t="s">
        <v>49</v>
      </c>
      <c r="C150" s="79">
        <f>GETPIVOTDATA("dato",'[1]graficas evolución mensual'!$A$174,"mes",1,"año",2008)</f>
        <v>166</v>
      </c>
      <c r="D150" s="79">
        <f>GETPIVOTDATA("dato",'[1]graficas evolución mensual'!$A$174,"mes",1,"año",2009)</f>
        <v>178</v>
      </c>
      <c r="E150" s="79">
        <f>GETPIVOTDATA("dato",'[1]graficas evolución mensual'!$A$174,"mes",1,"año",2010)</f>
        <v>228</v>
      </c>
      <c r="F150" s="184">
        <f>D150/C150-1</f>
        <v>7.2289156626506035E-2</v>
      </c>
      <c r="G150" s="184">
        <f>E150/D150-1</f>
        <v>0.2808988764044944</v>
      </c>
    </row>
    <row r="151" spans="2:7">
      <c r="B151" s="185" t="s">
        <v>48</v>
      </c>
      <c r="C151" s="52">
        <f>GETPIVOTDATA("dato",'[1]graficas evolución mensual'!$A$174,"mes",2,"año",2008)</f>
        <v>280</v>
      </c>
      <c r="D151" s="52">
        <f>GETPIVOTDATA("dato",'[1]graficas evolución mensual'!$A$174,"mes",2,"año",2009)</f>
        <v>228</v>
      </c>
      <c r="E151" s="52">
        <f>GETPIVOTDATA("dato",'[1]graficas evolución mensual'!$A$174,"mes",2,"año",2010)</f>
        <v>300</v>
      </c>
      <c r="F151" s="186">
        <f t="shared" ref="F151:G162" si="8">D151/C151-1</f>
        <v>-0.18571428571428572</v>
      </c>
      <c r="G151" s="186">
        <f t="shared" si="8"/>
        <v>0.31578947368421062</v>
      </c>
    </row>
    <row r="152" spans="2:7">
      <c r="B152" s="185" t="s">
        <v>47</v>
      </c>
      <c r="C152" s="52">
        <f>GETPIVOTDATA("dato",'[1]graficas evolución mensual'!$A$174,"mes",3,"año",2008)</f>
        <v>260</v>
      </c>
      <c r="D152" s="52">
        <f>GETPIVOTDATA("dato",'[1]graficas evolución mensual'!$A$174,"mes",3,"año",2009)</f>
        <v>302</v>
      </c>
      <c r="E152" s="52">
        <f>GETPIVOTDATA("dato",'[1]graficas evolución mensual'!$A$174,"mes",3,"año",2010)</f>
        <v>208</v>
      </c>
      <c r="F152" s="186">
        <f t="shared" si="8"/>
        <v>0.16153846153846163</v>
      </c>
      <c r="G152" s="186">
        <f t="shared" si="8"/>
        <v>-0.3112582781456954</v>
      </c>
    </row>
    <row r="153" spans="2:7">
      <c r="B153" s="185" t="s">
        <v>46</v>
      </c>
      <c r="C153" s="52">
        <f>GETPIVOTDATA("dato",'[1]graficas evolución mensual'!$A$174,"mes",4,"año",2008)</f>
        <v>243</v>
      </c>
      <c r="D153" s="52">
        <f>GETPIVOTDATA("dato",'[1]graficas evolución mensual'!$A$174,"mes",4,"año",2009)</f>
        <v>313</v>
      </c>
      <c r="E153" s="52">
        <f>GETPIVOTDATA("dato",'[1]graficas evolución mensual'!$A$174,"mes",4,"año",2010)</f>
        <v>238</v>
      </c>
      <c r="F153" s="186">
        <f t="shared" si="8"/>
        <v>0.2880658436213992</v>
      </c>
      <c r="G153" s="186">
        <f t="shared" si="8"/>
        <v>-0.23961661341853036</v>
      </c>
    </row>
    <row r="154" spans="2:7">
      <c r="B154" s="185" t="s">
        <v>45</v>
      </c>
      <c r="C154" s="52">
        <f>GETPIVOTDATA("dato",'[1]graficas evolución mensual'!$A$174,"mes",5,"año",2008)</f>
        <v>211</v>
      </c>
      <c r="D154" s="52">
        <f>GETPIVOTDATA("dato",'[1]graficas evolución mensual'!$A$174,"mes",5,"año",2009)</f>
        <v>177</v>
      </c>
      <c r="E154" s="52">
        <f>GETPIVOTDATA("dato",'[1]graficas evolución mensual'!$A$174,"mes",5,"año",2010)</f>
        <v>142</v>
      </c>
      <c r="F154" s="186">
        <f t="shared" si="8"/>
        <v>-0.16113744075829384</v>
      </c>
      <c r="G154" s="186">
        <f t="shared" si="8"/>
        <v>-0.19774011299435024</v>
      </c>
    </row>
    <row r="155" spans="2:7">
      <c r="B155" s="185" t="s">
        <v>44</v>
      </c>
      <c r="C155" s="52">
        <f>GETPIVOTDATA("dato",'[1]graficas evolución mensual'!$A$174,"mes",6,"año",2008)</f>
        <v>169</v>
      </c>
      <c r="D155" s="52">
        <f>GETPIVOTDATA("dato",'[1]graficas evolución mensual'!$A$174,"mes",6,"año",2009)</f>
        <v>146</v>
      </c>
      <c r="E155" s="52">
        <f>GETPIVOTDATA("dato",'[1]graficas evolución mensual'!$A$174,"mes",6,"año",2010)</f>
        <v>114</v>
      </c>
      <c r="F155" s="186">
        <f t="shared" si="8"/>
        <v>-0.13609467455621305</v>
      </c>
      <c r="G155" s="186">
        <f t="shared" si="8"/>
        <v>-0.21917808219178081</v>
      </c>
    </row>
    <row r="156" spans="2:7">
      <c r="B156" s="185" t="s">
        <v>43</v>
      </c>
      <c r="C156" s="52">
        <f>GETPIVOTDATA("dato",'[1]graficas evolución mensual'!$A$174,"mes",7,"año",2008)</f>
        <v>232</v>
      </c>
      <c r="D156" s="52">
        <f>GETPIVOTDATA("dato",'[1]graficas evolución mensual'!$A$174,"mes",7,"año",2009)</f>
        <v>193</v>
      </c>
      <c r="E156" s="52">
        <f>GETPIVOTDATA("dato",'[1]graficas evolución mensual'!$A$174,"mes",7,"año",2010)</f>
        <v>145</v>
      </c>
      <c r="F156" s="186">
        <f t="shared" si="8"/>
        <v>-0.1681034482758621</v>
      </c>
      <c r="G156" s="186">
        <f t="shared" si="8"/>
        <v>-0.24870466321243523</v>
      </c>
    </row>
    <row r="157" spans="2:7">
      <c r="B157" s="185" t="s">
        <v>42</v>
      </c>
      <c r="C157" s="52">
        <f>GETPIVOTDATA("dato",'[1]graficas evolución mensual'!$A$174,"mes",8,"año",2008)</f>
        <v>399</v>
      </c>
      <c r="D157" s="52">
        <f>GETPIVOTDATA("dato",'[1]graficas evolución mensual'!$A$174,"mes",8,"año",2009)</f>
        <v>236</v>
      </c>
      <c r="E157" s="52">
        <f>GETPIVOTDATA("dato",'[1]graficas evolución mensual'!$A$174,"mes",8,"año",2010)</f>
        <v>0</v>
      </c>
      <c r="F157" s="186">
        <f t="shared" si="8"/>
        <v>-0.4085213032581454</v>
      </c>
      <c r="G157" s="186"/>
    </row>
    <row r="158" spans="2:7">
      <c r="B158" s="185" t="s">
        <v>41</v>
      </c>
      <c r="C158" s="52">
        <f>GETPIVOTDATA("dato",'[1]graficas evolución mensual'!$A$174,"mes",9,"año",2008)</f>
        <v>193</v>
      </c>
      <c r="D158" s="52">
        <f>GETPIVOTDATA("dato",'[1]graficas evolución mensual'!$A$174,"mes",9,"año",2009)</f>
        <v>166</v>
      </c>
      <c r="E158" s="52">
        <f>GETPIVOTDATA("dato",'[1]graficas evolución mensual'!$A$174,"mes",9,"año",2010)</f>
        <v>0</v>
      </c>
      <c r="F158" s="186">
        <f t="shared" si="8"/>
        <v>-0.13989637305699487</v>
      </c>
      <c r="G158" s="186"/>
    </row>
    <row r="159" spans="2:7">
      <c r="B159" s="185" t="s">
        <v>40</v>
      </c>
      <c r="C159" s="52">
        <f>GETPIVOTDATA("dato",'[1]graficas evolución mensual'!$A$174,"mes",10,"año",2008)</f>
        <v>215</v>
      </c>
      <c r="D159" s="52">
        <f>GETPIVOTDATA("dato",'[1]graficas evolución mensual'!$A$174,"mes",10,"año",2009)</f>
        <v>169</v>
      </c>
      <c r="E159" s="52">
        <f>GETPIVOTDATA("dato",'[1]graficas evolución mensual'!$A$174,"mes",10,"año",2010)</f>
        <v>0</v>
      </c>
      <c r="F159" s="186">
        <f t="shared" si="8"/>
        <v>-0.21395348837209305</v>
      </c>
      <c r="G159" s="186"/>
    </row>
    <row r="160" spans="2:7">
      <c r="B160" s="185" t="s">
        <v>39</v>
      </c>
      <c r="C160" s="52">
        <f>GETPIVOTDATA("dato",'[1]graficas evolución mensual'!$A$174,"mes",11,"año",2008)</f>
        <v>270</v>
      </c>
      <c r="D160" s="52">
        <f>GETPIVOTDATA("dato",'[1]graficas evolución mensual'!$A$174,"mes",11,"año",2009)</f>
        <v>194</v>
      </c>
      <c r="E160" s="52">
        <f>GETPIVOTDATA("dato",'[1]graficas evolución mensual'!$A$174,"mes",11,"año",2010)</f>
        <v>0</v>
      </c>
      <c r="F160" s="186">
        <f t="shared" si="8"/>
        <v>-0.28148148148148144</v>
      </c>
      <c r="G160" s="186"/>
    </row>
    <row r="161" spans="2:7">
      <c r="B161" s="185" t="s">
        <v>38</v>
      </c>
      <c r="C161" s="52">
        <f>GETPIVOTDATA("dato",'[1]graficas evolución mensual'!$A$174,"mes",12,"año",2008)</f>
        <v>293</v>
      </c>
      <c r="D161" s="52">
        <f>GETPIVOTDATA("dato",'[1]graficas evolución mensual'!$A$174,"mes",12,"año",2009)</f>
        <v>227</v>
      </c>
      <c r="E161" s="52">
        <f>GETPIVOTDATA("dato",'[1]graficas evolución mensual'!$A$174,"mes",12,"año",2010)</f>
        <v>0</v>
      </c>
      <c r="F161" s="186">
        <f t="shared" si="8"/>
        <v>-0.22525597269624575</v>
      </c>
      <c r="G161" s="186"/>
    </row>
    <row r="162" spans="2:7">
      <c r="B162" s="187" t="s">
        <v>92</v>
      </c>
      <c r="C162" s="82">
        <f>SUM(C150:C161)</f>
        <v>2931</v>
      </c>
      <c r="D162" s="82">
        <f>SUM(D150:D161)</f>
        <v>2529</v>
      </c>
      <c r="E162" s="82">
        <f>SUM(E150:E161)</f>
        <v>1375</v>
      </c>
      <c r="F162" s="188">
        <f t="shared" si="8"/>
        <v>-0.13715455475946781</v>
      </c>
      <c r="G162" s="188"/>
    </row>
    <row r="163" spans="2:7" ht="21.75" customHeight="1">
      <c r="B163" s="189" t="s">
        <v>138</v>
      </c>
      <c r="C163" s="190"/>
      <c r="D163" s="190"/>
      <c r="E163" s="190"/>
      <c r="F163" s="190"/>
      <c r="G163" s="191"/>
    </row>
    <row r="164" spans="2:7" ht="10.5" customHeight="1"/>
    <row r="165" spans="2:7" ht="7.5" customHeight="1"/>
    <row r="166" spans="2:7" ht="45" customHeight="1">
      <c r="B166" s="180" t="s">
        <v>147</v>
      </c>
      <c r="C166" s="181"/>
      <c r="D166" s="181"/>
      <c r="E166" s="181"/>
      <c r="F166" s="181"/>
      <c r="G166" s="182"/>
    </row>
    <row r="167" spans="2:7">
      <c r="B167" s="86"/>
      <c r="C167" s="86">
        <v>2008</v>
      </c>
      <c r="D167" s="86">
        <v>2009</v>
      </c>
      <c r="E167" s="86">
        <v>2010</v>
      </c>
      <c r="F167" s="86" t="s">
        <v>136</v>
      </c>
      <c r="G167" s="86" t="s">
        <v>137</v>
      </c>
    </row>
    <row r="168" spans="2:7">
      <c r="B168" s="183" t="s">
        <v>49</v>
      </c>
      <c r="C168" s="79">
        <f>GETPIVOTDATA("dato",'[1]graficas evolución mensual'!$A$195,"mes",1,"año",2008)</f>
        <v>49</v>
      </c>
      <c r="D168" s="79">
        <f>GETPIVOTDATA("dato",'[1]graficas evolución mensual'!$A$195,"mes",1,"año",2009)</f>
        <v>107</v>
      </c>
      <c r="E168" s="79">
        <f>GETPIVOTDATA("dato",'[1]graficas evolución mensual'!$A$195,"mes",1,"año",2010)</f>
        <v>98</v>
      </c>
      <c r="F168" s="184">
        <f>D168/C168-1</f>
        <v>1.1836734693877551</v>
      </c>
      <c r="G168" s="184">
        <f>E168/D168-1</f>
        <v>-8.411214953271029E-2</v>
      </c>
    </row>
    <row r="169" spans="2:7">
      <c r="B169" s="185" t="s">
        <v>48</v>
      </c>
      <c r="C169" s="52">
        <f>GETPIVOTDATA("dato",'[1]graficas evolución mensual'!$A$195,"mes",2,"año",2008)</f>
        <v>60</v>
      </c>
      <c r="D169" s="52">
        <f>GETPIVOTDATA("dato",'[1]graficas evolución mensual'!$A$195,"mes",2,"año",2009)</f>
        <v>67</v>
      </c>
      <c r="E169" s="52">
        <f>GETPIVOTDATA("dato",'[1]graficas evolución mensual'!$A$195,"mes",2,"año",2010)</f>
        <v>153</v>
      </c>
      <c r="F169" s="186">
        <f t="shared" ref="F169:G180" si="9">D169/C169-1</f>
        <v>0.1166666666666667</v>
      </c>
      <c r="G169" s="186">
        <f t="shared" si="9"/>
        <v>1.283582089552239</v>
      </c>
    </row>
    <row r="170" spans="2:7">
      <c r="B170" s="185" t="s">
        <v>47</v>
      </c>
      <c r="C170" s="52">
        <f>GETPIVOTDATA("dato",'[1]graficas evolución mensual'!$A$195,"mes",3,"año",2008)</f>
        <v>67</v>
      </c>
      <c r="D170" s="52">
        <f>GETPIVOTDATA("dato",'[1]graficas evolución mensual'!$A$195,"mes",3,"año",2009)</f>
        <v>50</v>
      </c>
      <c r="E170" s="52">
        <f>GETPIVOTDATA("dato",'[1]graficas evolución mensual'!$A$195,"mes",3,"año",2010)</f>
        <v>42</v>
      </c>
      <c r="F170" s="186">
        <f t="shared" si="9"/>
        <v>-0.25373134328358204</v>
      </c>
      <c r="G170" s="186">
        <f t="shared" si="9"/>
        <v>-0.16000000000000003</v>
      </c>
    </row>
    <row r="171" spans="2:7">
      <c r="B171" s="185" t="s">
        <v>46</v>
      </c>
      <c r="C171" s="52">
        <f>GETPIVOTDATA("dato",'[1]graficas evolución mensual'!$A$195,"mes",4,"año",2008)</f>
        <v>52</v>
      </c>
      <c r="D171" s="52">
        <f>GETPIVOTDATA("dato",'[1]graficas evolución mensual'!$A$195,"mes",4,"año",2009)</f>
        <v>37</v>
      </c>
      <c r="E171" s="52">
        <f>GETPIVOTDATA("dato",'[1]graficas evolución mensual'!$A$195,"mes",4,"año",2010)</f>
        <v>71</v>
      </c>
      <c r="F171" s="186">
        <f t="shared" si="9"/>
        <v>-0.28846153846153844</v>
      </c>
      <c r="G171" s="186">
        <f t="shared" si="9"/>
        <v>0.91891891891891886</v>
      </c>
    </row>
    <row r="172" spans="2:7">
      <c r="B172" s="185" t="s">
        <v>45</v>
      </c>
      <c r="C172" s="52">
        <f>GETPIVOTDATA("dato",'[1]graficas evolución mensual'!$A$195,"mes",5,"año",2008)</f>
        <v>53</v>
      </c>
      <c r="D172" s="52">
        <f>GETPIVOTDATA("dato",'[1]graficas evolución mensual'!$A$195,"mes",5,"año",2009)</f>
        <v>50</v>
      </c>
      <c r="E172" s="52">
        <f>GETPIVOTDATA("dato",'[1]graficas evolución mensual'!$A$195,"mes",5,"año",2010)</f>
        <v>53</v>
      </c>
      <c r="F172" s="186">
        <f t="shared" si="9"/>
        <v>-5.6603773584905648E-2</v>
      </c>
      <c r="G172" s="186">
        <f t="shared" si="9"/>
        <v>6.0000000000000053E-2</v>
      </c>
    </row>
    <row r="173" spans="2:7">
      <c r="B173" s="185" t="s">
        <v>44</v>
      </c>
      <c r="C173" s="52">
        <f>GETPIVOTDATA("dato",'[1]graficas evolución mensual'!$A$195,"mes",6,"año",2008)</f>
        <v>23</v>
      </c>
      <c r="D173" s="52">
        <f>GETPIVOTDATA("dato",'[1]graficas evolución mensual'!$A$195,"mes",6,"año",2009)</f>
        <v>30</v>
      </c>
      <c r="E173" s="52">
        <f>GETPIVOTDATA("dato",'[1]graficas evolución mensual'!$A$195,"mes",6,"año",2010)</f>
        <v>35</v>
      </c>
      <c r="F173" s="186">
        <f t="shared" si="9"/>
        <v>0.30434782608695654</v>
      </c>
      <c r="G173" s="186">
        <f t="shared" si="9"/>
        <v>0.16666666666666674</v>
      </c>
    </row>
    <row r="174" spans="2:7">
      <c r="B174" s="185" t="s">
        <v>43</v>
      </c>
      <c r="C174" s="52">
        <f>GETPIVOTDATA("dato",'[1]graficas evolución mensual'!$A$195,"mes",7,"año",2008)</f>
        <v>29</v>
      </c>
      <c r="D174" s="52">
        <f>GETPIVOTDATA("dato",'[1]graficas evolución mensual'!$A$195,"mes",7,"año",2009)</f>
        <v>55</v>
      </c>
      <c r="E174" s="52">
        <f>GETPIVOTDATA("dato",'[1]graficas evolución mensual'!$A$195,"mes",7,"año",2010)</f>
        <v>54</v>
      </c>
      <c r="F174" s="186">
        <f t="shared" si="9"/>
        <v>0.89655172413793105</v>
      </c>
      <c r="G174" s="186">
        <f t="shared" si="9"/>
        <v>-1.8181818181818188E-2</v>
      </c>
    </row>
    <row r="175" spans="2:7">
      <c r="B175" s="185" t="s">
        <v>42</v>
      </c>
      <c r="C175" s="52">
        <f>GETPIVOTDATA("dato",'[1]graficas evolución mensual'!$A$195,"mes",8,"año",2008)</f>
        <v>24</v>
      </c>
      <c r="D175" s="52">
        <f>GETPIVOTDATA("dato",'[1]graficas evolución mensual'!$A$195,"mes",8,"año",2009)</f>
        <v>39</v>
      </c>
      <c r="E175" s="52">
        <f>GETPIVOTDATA("dato",'[1]graficas evolución mensual'!$A$195,"mes",8,"año",2010)</f>
        <v>0</v>
      </c>
      <c r="F175" s="186">
        <f t="shared" si="9"/>
        <v>0.625</v>
      </c>
      <c r="G175" s="186"/>
    </row>
    <row r="176" spans="2:7">
      <c r="B176" s="185" t="s">
        <v>41</v>
      </c>
      <c r="C176" s="52">
        <f>GETPIVOTDATA("dato",'[1]graficas evolución mensual'!$A$195,"mes",9,"año",2008)</f>
        <v>38</v>
      </c>
      <c r="D176" s="52">
        <f>GETPIVOTDATA("dato",'[1]graficas evolución mensual'!$A$195,"mes",9,"año",2009)</f>
        <v>36</v>
      </c>
      <c r="E176" s="52">
        <f>GETPIVOTDATA("dato",'[1]graficas evolución mensual'!$A$195,"mes",9,"año",2010)</f>
        <v>0</v>
      </c>
      <c r="F176" s="186">
        <f t="shared" si="9"/>
        <v>-5.2631578947368474E-2</v>
      </c>
      <c r="G176" s="186"/>
    </row>
    <row r="177" spans="2:7">
      <c r="B177" s="185" t="s">
        <v>40</v>
      </c>
      <c r="C177" s="52">
        <f>GETPIVOTDATA("dato",'[1]graficas evolución mensual'!$A$195,"mes",10,"año",2008)</f>
        <v>48</v>
      </c>
      <c r="D177" s="52">
        <f>GETPIVOTDATA("dato",'[1]graficas evolución mensual'!$A$195,"mes",10,"año",2009)</f>
        <v>54</v>
      </c>
      <c r="E177" s="52">
        <f>GETPIVOTDATA("dato",'[1]graficas evolución mensual'!$A$195,"mes",10,"año",2010)</f>
        <v>0</v>
      </c>
      <c r="F177" s="186">
        <f t="shared" si="9"/>
        <v>0.125</v>
      </c>
      <c r="G177" s="186"/>
    </row>
    <row r="178" spans="2:7">
      <c r="B178" s="185" t="s">
        <v>39</v>
      </c>
      <c r="C178" s="52">
        <f>GETPIVOTDATA("dato",'[1]graficas evolución mensual'!$A$195,"mes",11,"año",2008)</f>
        <v>60</v>
      </c>
      <c r="D178" s="52">
        <f>GETPIVOTDATA("dato",'[1]graficas evolución mensual'!$A$195,"mes",11,"año",2009)</f>
        <v>50</v>
      </c>
      <c r="E178" s="52">
        <f>GETPIVOTDATA("dato",'[1]graficas evolución mensual'!$A$195,"mes",11,"año",2010)</f>
        <v>0</v>
      </c>
      <c r="F178" s="186">
        <f t="shared" si="9"/>
        <v>-0.16666666666666663</v>
      </c>
      <c r="G178" s="186"/>
    </row>
    <row r="179" spans="2:7">
      <c r="B179" s="185" t="s">
        <v>38</v>
      </c>
      <c r="C179" s="52">
        <f>GETPIVOTDATA("dato",'[1]graficas evolución mensual'!$A$195,"mes",12,"año",2008)</f>
        <v>108</v>
      </c>
      <c r="D179" s="52">
        <f>GETPIVOTDATA("dato",'[1]graficas evolución mensual'!$A$195,"mes",12,"año",2009)</f>
        <v>99</v>
      </c>
      <c r="E179" s="52">
        <f>GETPIVOTDATA("dato",'[1]graficas evolución mensual'!$A$195,"mes",12,"año",2010)</f>
        <v>0</v>
      </c>
      <c r="F179" s="186">
        <f t="shared" si="9"/>
        <v>-8.333333333333337E-2</v>
      </c>
      <c r="G179" s="186"/>
    </row>
    <row r="180" spans="2:7">
      <c r="B180" s="187" t="s">
        <v>92</v>
      </c>
      <c r="C180" s="82">
        <f>SUM(C168:C179)</f>
        <v>611</v>
      </c>
      <c r="D180" s="82">
        <f>SUM(D168:D179)</f>
        <v>674</v>
      </c>
      <c r="E180" s="82">
        <f>SUM(E168:E179)</f>
        <v>506</v>
      </c>
      <c r="F180" s="188">
        <f t="shared" si="9"/>
        <v>0.10310965630114577</v>
      </c>
      <c r="G180" s="188"/>
    </row>
    <row r="181" spans="2:7" ht="23.25" customHeight="1">
      <c r="B181" s="189" t="s">
        <v>138</v>
      </c>
      <c r="C181" s="190"/>
      <c r="D181" s="190"/>
      <c r="E181" s="190"/>
      <c r="F181" s="190"/>
      <c r="G181" s="191"/>
    </row>
    <row r="182" spans="2:7" ht="9.75" customHeight="1"/>
    <row r="183" spans="2:7" ht="7.5" customHeight="1"/>
    <row r="184" spans="2:7" ht="45" customHeight="1">
      <c r="B184" s="180" t="s">
        <v>148</v>
      </c>
      <c r="C184" s="181"/>
      <c r="D184" s="181"/>
      <c r="E184" s="181"/>
      <c r="F184" s="181"/>
      <c r="G184" s="182"/>
    </row>
    <row r="185" spans="2:7">
      <c r="B185" s="86"/>
      <c r="C185" s="86">
        <v>2008</v>
      </c>
      <c r="D185" s="86">
        <v>2009</v>
      </c>
      <c r="E185" s="86">
        <v>2010</v>
      </c>
      <c r="F185" s="86" t="s">
        <v>136</v>
      </c>
      <c r="G185" s="86" t="s">
        <v>137</v>
      </c>
    </row>
    <row r="186" spans="2:7">
      <c r="B186" s="183" t="s">
        <v>49</v>
      </c>
      <c r="C186" s="79">
        <f>GETPIVOTDATA("dato",'[1]graficas evolución mensual'!$A$69,"mes",1,"año",2008)</f>
        <v>48</v>
      </c>
      <c r="D186" s="79">
        <f>GETPIVOTDATA("dato",'[1]graficas evolución mensual'!$A$69,"mes",1,"año",2009)</f>
        <v>71</v>
      </c>
      <c r="E186" s="79">
        <f>GETPIVOTDATA("dato",'[1]graficas evolución mensual'!$A$69,"mes",1,"año",2010)</f>
        <v>57</v>
      </c>
      <c r="F186" s="184">
        <f>D186/C186-1</f>
        <v>0.47916666666666674</v>
      </c>
      <c r="G186" s="184">
        <f>E186/D186-1</f>
        <v>-0.19718309859154926</v>
      </c>
    </row>
    <row r="187" spans="2:7">
      <c r="B187" s="185" t="s">
        <v>48</v>
      </c>
      <c r="C187" s="52">
        <f>GETPIVOTDATA("dato",'[1]graficas evolución mensual'!$A$69,"mes",2,"año",2008)</f>
        <v>46</v>
      </c>
      <c r="D187" s="52">
        <f>GETPIVOTDATA("dato",'[1]graficas evolución mensual'!$A$69,"mes",2,"año",2009)</f>
        <v>37</v>
      </c>
      <c r="E187" s="52">
        <f>GETPIVOTDATA("dato",'[1]graficas evolución mensual'!$A$69,"mes",2,"año",2010)</f>
        <v>45</v>
      </c>
      <c r="F187" s="186">
        <f t="shared" ref="F187:G198" si="10">D187/C187-1</f>
        <v>-0.19565217391304346</v>
      </c>
      <c r="G187" s="186">
        <f t="shared" si="10"/>
        <v>0.21621621621621623</v>
      </c>
    </row>
    <row r="188" spans="2:7">
      <c r="B188" s="185" t="s">
        <v>47</v>
      </c>
      <c r="C188" s="52">
        <f>GETPIVOTDATA("dato",'[1]graficas evolución mensual'!$A$69,"mes",3,"año",2008)</f>
        <v>87</v>
      </c>
      <c r="D188" s="52">
        <f>GETPIVOTDATA("dato",'[1]graficas evolución mensual'!$A$69,"mes",3,"año",2009)</f>
        <v>63</v>
      </c>
      <c r="E188" s="52">
        <f>GETPIVOTDATA("dato",'[1]graficas evolución mensual'!$A$69,"mes",3,"año",2010)</f>
        <v>47</v>
      </c>
      <c r="F188" s="186">
        <f t="shared" si="10"/>
        <v>-0.27586206896551724</v>
      </c>
      <c r="G188" s="186">
        <f t="shared" si="10"/>
        <v>-0.25396825396825395</v>
      </c>
    </row>
    <row r="189" spans="2:7">
      <c r="B189" s="185" t="s">
        <v>46</v>
      </c>
      <c r="C189" s="52">
        <f>GETPIVOTDATA("dato",'[1]graficas evolución mensual'!$A$69,"mes",4,"año",2008)</f>
        <v>50</v>
      </c>
      <c r="D189" s="52">
        <f>GETPIVOTDATA("dato",'[1]graficas evolución mensual'!$A$69,"mes",4,"año",2009)</f>
        <v>62</v>
      </c>
      <c r="E189" s="52">
        <f>GETPIVOTDATA("dato",'[1]graficas evolución mensual'!$A$69,"mes",4,"año",2010)</f>
        <v>52</v>
      </c>
      <c r="F189" s="186">
        <f t="shared" si="10"/>
        <v>0.24</v>
      </c>
      <c r="G189" s="186">
        <f t="shared" si="10"/>
        <v>-0.16129032258064513</v>
      </c>
    </row>
    <row r="190" spans="2:7">
      <c r="B190" s="185" t="s">
        <v>45</v>
      </c>
      <c r="C190" s="52">
        <f>GETPIVOTDATA("dato",'[1]graficas evolución mensual'!$A$69,"mes",5,"año",2008)</f>
        <v>39</v>
      </c>
      <c r="D190" s="52">
        <f>GETPIVOTDATA("dato",'[1]graficas evolución mensual'!$A$69,"mes",5,"año",2009)</f>
        <v>49</v>
      </c>
      <c r="E190" s="52">
        <f>GETPIVOTDATA("dato",'[1]graficas evolución mensual'!$A$69,"mes",5,"año",2010)</f>
        <v>62</v>
      </c>
      <c r="F190" s="186">
        <f t="shared" si="10"/>
        <v>0.25641025641025639</v>
      </c>
      <c r="G190" s="186">
        <f t="shared" si="10"/>
        <v>0.26530612244897966</v>
      </c>
    </row>
    <row r="191" spans="2:7">
      <c r="B191" s="185" t="s">
        <v>44</v>
      </c>
      <c r="C191" s="52">
        <f>GETPIVOTDATA("dato",'[1]graficas evolución mensual'!$A$69,"mes",6,"año",2008)</f>
        <v>37</v>
      </c>
      <c r="D191" s="52">
        <f>GETPIVOTDATA("dato",'[1]graficas evolución mensual'!$A$69,"mes",6,"año",2009)</f>
        <v>22</v>
      </c>
      <c r="E191" s="52">
        <f>GETPIVOTDATA("dato",'[1]graficas evolución mensual'!$A$69,"mes",6,"año",2010)</f>
        <v>39</v>
      </c>
      <c r="F191" s="186">
        <f t="shared" si="10"/>
        <v>-0.40540540540540537</v>
      </c>
      <c r="G191" s="186">
        <f t="shared" si="10"/>
        <v>0.77272727272727271</v>
      </c>
    </row>
    <row r="192" spans="2:7">
      <c r="B192" s="185" t="s">
        <v>43</v>
      </c>
      <c r="C192" s="52">
        <f>GETPIVOTDATA("dato",'[1]graficas evolución mensual'!$A$69,"mes",7,"año",2008)</f>
        <v>46</v>
      </c>
      <c r="D192" s="52">
        <f>GETPIVOTDATA("dato",'[1]graficas evolución mensual'!$A$69,"mes",7,"año",2009)</f>
        <v>22</v>
      </c>
      <c r="E192" s="52">
        <f>GETPIVOTDATA("dato",'[1]graficas evolución mensual'!$A$69,"mes",7,"año",2010)</f>
        <v>38</v>
      </c>
      <c r="F192" s="186">
        <f t="shared" si="10"/>
        <v>-0.52173913043478259</v>
      </c>
      <c r="G192" s="186">
        <f t="shared" si="10"/>
        <v>0.72727272727272729</v>
      </c>
    </row>
    <row r="193" spans="2:7">
      <c r="B193" s="185" t="s">
        <v>42</v>
      </c>
      <c r="C193" s="52">
        <f>GETPIVOTDATA("dato",'[1]graficas evolución mensual'!$A$69,"mes",8,"año",2008)</f>
        <v>32</v>
      </c>
      <c r="D193" s="52">
        <f>GETPIVOTDATA("dato",'[1]graficas evolución mensual'!$A$69,"mes",8,"año",2009)</f>
        <v>41</v>
      </c>
      <c r="E193" s="52">
        <f>GETPIVOTDATA("dato",'[1]graficas evolución mensual'!$A$69,"mes",8,"año",2010)</f>
        <v>0</v>
      </c>
      <c r="F193" s="186">
        <f t="shared" si="10"/>
        <v>0.28125</v>
      </c>
      <c r="G193" s="186"/>
    </row>
    <row r="194" spans="2:7">
      <c r="B194" s="185" t="s">
        <v>41</v>
      </c>
      <c r="C194" s="52">
        <f>GETPIVOTDATA("dato",'[1]graficas evolución mensual'!$A$69,"mes",9,"año",2008)</f>
        <v>23</v>
      </c>
      <c r="D194" s="52">
        <f>GETPIVOTDATA("dato",'[1]graficas evolución mensual'!$A$69,"mes",9,"año",2009)</f>
        <v>31</v>
      </c>
      <c r="E194" s="52">
        <f>GETPIVOTDATA("dato",'[1]graficas evolución mensual'!$A$69,"mes",9,"año",2010)</f>
        <v>0</v>
      </c>
      <c r="F194" s="186">
        <f t="shared" si="10"/>
        <v>0.34782608695652173</v>
      </c>
      <c r="G194" s="186"/>
    </row>
    <row r="195" spans="2:7">
      <c r="B195" s="185" t="s">
        <v>40</v>
      </c>
      <c r="C195" s="52">
        <f>GETPIVOTDATA("dato",'[1]graficas evolución mensual'!$A$69,"mes",10,"año",2008)</f>
        <v>35</v>
      </c>
      <c r="D195" s="52">
        <f>GETPIVOTDATA("dato",'[1]graficas evolución mensual'!$A$69,"mes",10,"año",2009)</f>
        <v>24</v>
      </c>
      <c r="E195" s="52">
        <f>GETPIVOTDATA("dato",'[1]graficas evolución mensual'!$A$69,"mes",10,"año",2010)</f>
        <v>0</v>
      </c>
      <c r="F195" s="186">
        <f t="shared" si="10"/>
        <v>-0.31428571428571428</v>
      </c>
      <c r="G195" s="186"/>
    </row>
    <row r="196" spans="2:7">
      <c r="B196" s="185" t="s">
        <v>39</v>
      </c>
      <c r="C196" s="52">
        <f>GETPIVOTDATA("dato",'[1]graficas evolución mensual'!$A$69,"mes",11,"año",2008)</f>
        <v>42</v>
      </c>
      <c r="D196" s="52">
        <f>GETPIVOTDATA("dato",'[1]graficas evolución mensual'!$A$69,"mes",11,"año",2009)</f>
        <v>56</v>
      </c>
      <c r="E196" s="52">
        <f>GETPIVOTDATA("dato",'[1]graficas evolución mensual'!$A$69,"mes",11,"año",2010)</f>
        <v>0</v>
      </c>
      <c r="F196" s="186">
        <f t="shared" si="10"/>
        <v>0.33333333333333326</v>
      </c>
      <c r="G196" s="186"/>
    </row>
    <row r="197" spans="2:7">
      <c r="B197" s="185" t="s">
        <v>38</v>
      </c>
      <c r="C197" s="52">
        <f>GETPIVOTDATA("dato",'[1]graficas evolución mensual'!$A$69,"mes",12,"año",2008)</f>
        <v>52</v>
      </c>
      <c r="D197" s="52">
        <f>GETPIVOTDATA("dato",'[1]graficas evolución mensual'!$A$69,"mes",12,"año",2009)</f>
        <v>96</v>
      </c>
      <c r="E197" s="52">
        <f>GETPIVOTDATA("dato",'[1]graficas evolución mensual'!$A$69,"mes",12,"año",2010)</f>
        <v>0</v>
      </c>
      <c r="F197" s="186">
        <f t="shared" si="10"/>
        <v>0.84615384615384626</v>
      </c>
      <c r="G197" s="186"/>
    </row>
    <row r="198" spans="2:7">
      <c r="B198" s="187" t="s">
        <v>92</v>
      </c>
      <c r="C198" s="82">
        <f>SUM(C186:C197)</f>
        <v>537</v>
      </c>
      <c r="D198" s="82">
        <f>SUM(D186:D197)</f>
        <v>574</v>
      </c>
      <c r="E198" s="82">
        <f>SUM(E186:E197)</f>
        <v>340</v>
      </c>
      <c r="F198" s="188">
        <f t="shared" si="10"/>
        <v>6.890130353817514E-2</v>
      </c>
      <c r="G198" s="188"/>
    </row>
    <row r="199" spans="2:7" ht="21.75" customHeight="1">
      <c r="B199" s="189" t="s">
        <v>138</v>
      </c>
      <c r="C199" s="190"/>
      <c r="D199" s="190"/>
      <c r="E199" s="190"/>
      <c r="F199" s="190"/>
      <c r="G199" s="191"/>
    </row>
    <row r="200" spans="2:7" ht="7.5" customHeight="1"/>
    <row r="201" spans="2:7" ht="7.5" customHeight="1"/>
    <row r="202" spans="2:7" ht="45.75" customHeight="1">
      <c r="B202" s="180" t="s">
        <v>149</v>
      </c>
      <c r="C202" s="181"/>
      <c r="D202" s="181"/>
      <c r="E202" s="181"/>
      <c r="F202" s="181"/>
      <c r="G202" s="182"/>
    </row>
    <row r="203" spans="2:7">
      <c r="B203" s="86"/>
      <c r="C203" s="86">
        <v>2008</v>
      </c>
      <c r="D203" s="86">
        <v>2009</v>
      </c>
      <c r="E203" s="86">
        <v>2010</v>
      </c>
      <c r="F203" s="86" t="s">
        <v>136</v>
      </c>
      <c r="G203" s="86" t="s">
        <v>137</v>
      </c>
    </row>
    <row r="204" spans="2:7">
      <c r="B204" s="183" t="s">
        <v>49</v>
      </c>
      <c r="C204" s="79">
        <f>GETPIVOTDATA("dato",'[1]graficas evolución mensual'!$A$237,"mes",1,"año",2008)</f>
        <v>304</v>
      </c>
      <c r="D204" s="79">
        <f>GETPIVOTDATA("dato",'[1]graficas evolución mensual'!$A$237,"mes",1,"año",2009)</f>
        <v>294</v>
      </c>
      <c r="E204" s="79">
        <f>GETPIVOTDATA("dato",'[1]graficas evolución mensual'!$A$237,"mes",1,"año",2010)</f>
        <v>282</v>
      </c>
      <c r="F204" s="184">
        <f>D204/C204-1</f>
        <v>-3.289473684210531E-2</v>
      </c>
      <c r="G204" s="184">
        <f>E204/D204-1</f>
        <v>-4.081632653061229E-2</v>
      </c>
    </row>
    <row r="205" spans="2:7">
      <c r="B205" s="185" t="s">
        <v>48</v>
      </c>
      <c r="C205" s="52">
        <f>GETPIVOTDATA("dato",'[1]graficas evolución mensual'!$A$237,"mes",2,"año",2008)</f>
        <v>295</v>
      </c>
      <c r="D205" s="52">
        <f>GETPIVOTDATA("dato",'[1]graficas evolución mensual'!$A$237,"mes",2,"año",2009)</f>
        <v>223</v>
      </c>
      <c r="E205" s="52">
        <f>GETPIVOTDATA("dato",'[1]graficas evolución mensual'!$A$237,"mes",2,"año",2010)</f>
        <v>318</v>
      </c>
      <c r="F205" s="186">
        <f t="shared" ref="F205:G216" si="11">D205/C205-1</f>
        <v>-0.24406779661016953</v>
      </c>
      <c r="G205" s="186">
        <f t="shared" si="11"/>
        <v>0.42600896860986537</v>
      </c>
    </row>
    <row r="206" spans="2:7">
      <c r="B206" s="185" t="s">
        <v>47</v>
      </c>
      <c r="C206" s="52">
        <f>GETPIVOTDATA("dato",'[1]graficas evolución mensual'!$A$237,"mes",3,"año",2008)</f>
        <v>286</v>
      </c>
      <c r="D206" s="52">
        <f>GETPIVOTDATA("dato",'[1]graficas evolución mensual'!$A$237,"mes",3,"año",2009)</f>
        <v>309</v>
      </c>
      <c r="E206" s="52">
        <f>GETPIVOTDATA("dato",'[1]graficas evolución mensual'!$A$237,"mes",3,"año",2010)</f>
        <v>203</v>
      </c>
      <c r="F206" s="186">
        <f t="shared" si="11"/>
        <v>8.0419580419580416E-2</v>
      </c>
      <c r="G206" s="186">
        <f t="shared" si="11"/>
        <v>-0.34304207119741104</v>
      </c>
    </row>
    <row r="207" spans="2:7">
      <c r="B207" s="185" t="s">
        <v>46</v>
      </c>
      <c r="C207" s="52">
        <f>GETPIVOTDATA("dato",'[1]graficas evolución mensual'!$A$237,"mes",4,"año",2008)</f>
        <v>223</v>
      </c>
      <c r="D207" s="52">
        <f>GETPIVOTDATA("dato",'[1]graficas evolución mensual'!$A$237,"mes",4,"año",2009)</f>
        <v>164</v>
      </c>
      <c r="E207" s="52">
        <f>GETPIVOTDATA("dato",'[1]graficas evolución mensual'!$A$237,"mes",4,"año",2010)</f>
        <v>179</v>
      </c>
      <c r="F207" s="186">
        <f t="shared" si="11"/>
        <v>-0.26457399103139012</v>
      </c>
      <c r="G207" s="186">
        <f t="shared" si="11"/>
        <v>9.1463414634146423E-2</v>
      </c>
    </row>
    <row r="208" spans="2:7">
      <c r="B208" s="185" t="s">
        <v>45</v>
      </c>
      <c r="C208" s="52">
        <f>GETPIVOTDATA("dato",'[1]graficas evolución mensual'!$A$237,"mes",5,"año",2008)</f>
        <v>201</v>
      </c>
      <c r="D208" s="52">
        <f>GETPIVOTDATA("dato",'[1]graficas evolución mensual'!$A$237,"mes",5,"año",2009)</f>
        <v>134</v>
      </c>
      <c r="E208" s="52">
        <f>GETPIVOTDATA("dato",'[1]graficas evolución mensual'!$A$237,"mes",5,"año",2010)</f>
        <v>150</v>
      </c>
      <c r="F208" s="186">
        <f t="shared" si="11"/>
        <v>-0.33333333333333337</v>
      </c>
      <c r="G208" s="186">
        <f t="shared" si="11"/>
        <v>0.11940298507462677</v>
      </c>
    </row>
    <row r="209" spans="2:7">
      <c r="B209" s="185" t="s">
        <v>44</v>
      </c>
      <c r="C209" s="52">
        <f>GETPIVOTDATA("dato",'[1]graficas evolución mensual'!$A$237,"mes",6,"año",2008)</f>
        <v>163</v>
      </c>
      <c r="D209" s="52">
        <f>GETPIVOTDATA("dato",'[1]graficas evolución mensual'!$A$237,"mes",6,"año",2009)</f>
        <v>197</v>
      </c>
      <c r="E209" s="52">
        <f>GETPIVOTDATA("dato",'[1]graficas evolución mensual'!$A$237,"mes",6,"año",2010)</f>
        <v>168</v>
      </c>
      <c r="F209" s="186">
        <f t="shared" si="11"/>
        <v>0.20858895705521463</v>
      </c>
      <c r="G209" s="186">
        <f t="shared" si="11"/>
        <v>-0.14720812182741116</v>
      </c>
    </row>
    <row r="210" spans="2:7">
      <c r="B210" s="185" t="s">
        <v>43</v>
      </c>
      <c r="C210" s="52">
        <f>GETPIVOTDATA("dato",'[1]graficas evolución mensual'!$A$237,"mes",7,"año",2008)</f>
        <v>230</v>
      </c>
      <c r="D210" s="52">
        <f>GETPIVOTDATA("dato",'[1]graficas evolución mensual'!$A$237,"mes",7,"año",2009)</f>
        <v>218</v>
      </c>
      <c r="E210" s="52">
        <f>GETPIVOTDATA("dato",'[1]graficas evolución mensual'!$A$237,"mes",7,"año",2010)</f>
        <v>193</v>
      </c>
      <c r="F210" s="186">
        <f t="shared" si="11"/>
        <v>-5.2173913043478293E-2</v>
      </c>
      <c r="G210" s="186">
        <f t="shared" si="11"/>
        <v>-0.11467889908256879</v>
      </c>
    </row>
    <row r="211" spans="2:7">
      <c r="B211" s="185" t="s">
        <v>42</v>
      </c>
      <c r="C211" s="52">
        <f>GETPIVOTDATA("dato",'[1]graficas evolución mensual'!$A$237,"mes",8,"año",2008)</f>
        <v>362</v>
      </c>
      <c r="D211" s="52">
        <f>GETPIVOTDATA("dato",'[1]graficas evolución mensual'!$A$237,"mes",8,"año",2009)</f>
        <v>279</v>
      </c>
      <c r="E211" s="52">
        <f>GETPIVOTDATA("dato",'[1]graficas evolución mensual'!$A$237,"mes",8,"año",2010)</f>
        <v>0</v>
      </c>
      <c r="F211" s="186">
        <f t="shared" si="11"/>
        <v>-0.22928176795580113</v>
      </c>
      <c r="G211" s="186"/>
    </row>
    <row r="212" spans="2:7">
      <c r="B212" s="185" t="s">
        <v>41</v>
      </c>
      <c r="C212" s="52">
        <f>GETPIVOTDATA("dato",'[1]graficas evolución mensual'!$A$237,"mes",9,"año",2008)</f>
        <v>201</v>
      </c>
      <c r="D212" s="52">
        <f>GETPIVOTDATA("dato",'[1]graficas evolución mensual'!$A$237,"mes",9,"año",2009)</f>
        <v>195</v>
      </c>
      <c r="E212" s="52">
        <f>GETPIVOTDATA("dato",'[1]graficas evolución mensual'!$A$237,"mes",9,"año",2010)</f>
        <v>0</v>
      </c>
      <c r="F212" s="186">
        <f t="shared" si="11"/>
        <v>-2.9850746268656692E-2</v>
      </c>
      <c r="G212" s="186"/>
    </row>
    <row r="213" spans="2:7">
      <c r="B213" s="185" t="s">
        <v>40</v>
      </c>
      <c r="C213" s="52">
        <f>GETPIVOTDATA("dato",'[1]graficas evolución mensual'!$A$237,"mes",10,"año",2008)</f>
        <v>301</v>
      </c>
      <c r="D213" s="52">
        <f>GETPIVOTDATA("dato",'[1]graficas evolución mensual'!$A$237,"mes",10,"año",2009)</f>
        <v>176</v>
      </c>
      <c r="E213" s="52">
        <f>GETPIVOTDATA("dato",'[1]graficas evolución mensual'!$A$237,"mes",10,"año",2010)</f>
        <v>0</v>
      </c>
      <c r="F213" s="186">
        <f t="shared" si="11"/>
        <v>-0.41528239202657802</v>
      </c>
      <c r="G213" s="186"/>
    </row>
    <row r="214" spans="2:7">
      <c r="B214" s="185" t="s">
        <v>39</v>
      </c>
      <c r="C214" s="52">
        <f>GETPIVOTDATA("dato",'[1]graficas evolución mensual'!$A$237,"mes",11,"año",2008)</f>
        <v>297</v>
      </c>
      <c r="D214" s="52">
        <f>GETPIVOTDATA("dato",'[1]graficas evolución mensual'!$A$237,"mes",11,"año",2009)</f>
        <v>205</v>
      </c>
      <c r="E214" s="52">
        <f>GETPIVOTDATA("dato",'[1]graficas evolución mensual'!$A$237,"mes",11,"año",2010)</f>
        <v>0</v>
      </c>
      <c r="F214" s="186">
        <f t="shared" si="11"/>
        <v>-0.3097643097643098</v>
      </c>
      <c r="G214" s="186"/>
    </row>
    <row r="215" spans="2:7">
      <c r="B215" s="185" t="s">
        <v>38</v>
      </c>
      <c r="C215" s="52">
        <f>GETPIVOTDATA("dato",'[1]graficas evolución mensual'!$A$237,"mes",12,"año",2008)</f>
        <v>263</v>
      </c>
      <c r="D215" s="52">
        <f>GETPIVOTDATA("dato",'[1]graficas evolución mensual'!$A$237,"mes",12,"año",2009)</f>
        <v>272</v>
      </c>
      <c r="E215" s="52">
        <f>GETPIVOTDATA("dato",'[1]graficas evolución mensual'!$A$237,"mes",12,"año",2010)</f>
        <v>0</v>
      </c>
      <c r="F215" s="186">
        <f t="shared" si="11"/>
        <v>3.4220532319391594E-2</v>
      </c>
      <c r="G215" s="186"/>
    </row>
    <row r="216" spans="2:7">
      <c r="B216" s="187" t="s">
        <v>92</v>
      </c>
      <c r="C216" s="82">
        <f>SUM(C204:C215)</f>
        <v>3126</v>
      </c>
      <c r="D216" s="82">
        <f>SUM(D204:D215)</f>
        <v>2666</v>
      </c>
      <c r="E216" s="82">
        <f>SUM(E204:E215)</f>
        <v>1493</v>
      </c>
      <c r="F216" s="188">
        <f t="shared" si="11"/>
        <v>-0.14715291106845807</v>
      </c>
      <c r="G216" s="188"/>
    </row>
    <row r="217" spans="2:7" ht="22.5" customHeight="1">
      <c r="B217" s="189" t="s">
        <v>138</v>
      </c>
      <c r="C217" s="190"/>
      <c r="D217" s="190"/>
      <c r="E217" s="190"/>
      <c r="F217" s="190"/>
      <c r="G217" s="191"/>
    </row>
    <row r="218" spans="2:7" ht="8.25" customHeight="1"/>
    <row r="219" spans="2:7" ht="6.75" customHeight="1"/>
    <row r="220" spans="2:7" ht="45.75" customHeight="1">
      <c r="B220" s="180" t="s">
        <v>150</v>
      </c>
      <c r="C220" s="181"/>
      <c r="D220" s="181"/>
      <c r="E220" s="181"/>
      <c r="F220" s="181"/>
      <c r="G220" s="182"/>
    </row>
    <row r="221" spans="2:7">
      <c r="B221" s="86"/>
      <c r="C221" s="86">
        <v>2008</v>
      </c>
      <c r="D221" s="86">
        <v>2009</v>
      </c>
      <c r="E221" s="86">
        <v>2010</v>
      </c>
      <c r="F221" s="86" t="s">
        <v>136</v>
      </c>
      <c r="G221" s="86" t="s">
        <v>137</v>
      </c>
    </row>
    <row r="222" spans="2:7">
      <c r="B222" s="183" t="s">
        <v>49</v>
      </c>
      <c r="C222" s="79">
        <f>GETPIVOTDATA("dato",'[1]graficas evolución mensual'!$A$279,"mes",1,"año",2008)</f>
        <v>49</v>
      </c>
      <c r="D222" s="79">
        <f>GETPIVOTDATA("dato",'[1]graficas evolución mensual'!$A$279,"mes",1,"año",2009)</f>
        <v>67</v>
      </c>
      <c r="E222" s="79">
        <f>GETPIVOTDATA("dato",'[1]graficas evolución mensual'!$A$279,"mes",1,"año",2010)</f>
        <v>38</v>
      </c>
      <c r="F222" s="184">
        <f>D222/C222-1</f>
        <v>0.36734693877551017</v>
      </c>
      <c r="G222" s="184">
        <f>E222/D222-1</f>
        <v>-0.43283582089552242</v>
      </c>
    </row>
    <row r="223" spans="2:7">
      <c r="B223" s="185" t="s">
        <v>48</v>
      </c>
      <c r="C223" s="52">
        <f>GETPIVOTDATA("dato",'[1]graficas evolución mensual'!$A$279,"mes",2,"año",2008)</f>
        <v>36</v>
      </c>
      <c r="D223" s="52">
        <f>GETPIVOTDATA("dato",'[1]graficas evolución mensual'!$A$279,"mes",2,"año",2009)</f>
        <v>22</v>
      </c>
      <c r="E223" s="52">
        <f>GETPIVOTDATA("dato",'[1]graficas evolución mensual'!$A$279,"mes",2,"año",2010)</f>
        <v>73</v>
      </c>
      <c r="F223" s="186">
        <f t="shared" ref="F223:G234" si="12">D223/C223-1</f>
        <v>-0.38888888888888884</v>
      </c>
      <c r="G223" s="186">
        <f t="shared" si="12"/>
        <v>2.3181818181818183</v>
      </c>
    </row>
    <row r="224" spans="2:7">
      <c r="B224" s="185" t="s">
        <v>47</v>
      </c>
      <c r="C224" s="52">
        <f>GETPIVOTDATA("dato",'[1]graficas evolución mensual'!$A$279,"mes",3,"año",2008)</f>
        <v>28</v>
      </c>
      <c r="D224" s="52">
        <f>GETPIVOTDATA("dato",'[1]graficas evolución mensual'!$A$279,"mes",3,"año",2009)</f>
        <v>36</v>
      </c>
      <c r="E224" s="52">
        <f>GETPIVOTDATA("dato",'[1]graficas evolución mensual'!$A$279,"mes",3,"año",2010)</f>
        <v>41</v>
      </c>
      <c r="F224" s="186">
        <f t="shared" si="12"/>
        <v>0.28571428571428581</v>
      </c>
      <c r="G224" s="186">
        <f t="shared" si="12"/>
        <v>0.13888888888888884</v>
      </c>
    </row>
    <row r="225" spans="2:7">
      <c r="B225" s="185" t="s">
        <v>46</v>
      </c>
      <c r="C225" s="52">
        <f>GETPIVOTDATA("dato",'[1]graficas evolución mensual'!$A$279,"mes",4,"año",2008)</f>
        <v>47</v>
      </c>
      <c r="D225" s="52">
        <f>GETPIVOTDATA("dato",'[1]graficas evolución mensual'!$A$279,"mes",4,"año",2009)</f>
        <v>48</v>
      </c>
      <c r="E225" s="52">
        <f>GETPIVOTDATA("dato",'[1]graficas evolución mensual'!$A$279,"mes",4,"año",2010)</f>
        <v>32</v>
      </c>
      <c r="F225" s="186">
        <f t="shared" si="12"/>
        <v>2.1276595744680771E-2</v>
      </c>
      <c r="G225" s="186">
        <f t="shared" si="12"/>
        <v>-0.33333333333333337</v>
      </c>
    </row>
    <row r="226" spans="2:7">
      <c r="B226" s="185" t="s">
        <v>45</v>
      </c>
      <c r="C226" s="52">
        <f>GETPIVOTDATA("dato",'[1]graficas evolución mensual'!$A$279,"mes",5,"año",2008)</f>
        <v>40</v>
      </c>
      <c r="D226" s="52">
        <f>GETPIVOTDATA("dato",'[1]graficas evolución mensual'!$A$279,"mes",5,"año",2009)</f>
        <v>38</v>
      </c>
      <c r="E226" s="52">
        <f>GETPIVOTDATA("dato",'[1]graficas evolución mensual'!$A$279,"mes",5,"año",2010)</f>
        <v>33</v>
      </c>
      <c r="F226" s="186">
        <f t="shared" si="12"/>
        <v>-5.0000000000000044E-2</v>
      </c>
      <c r="G226" s="186">
        <f t="shared" si="12"/>
        <v>-0.13157894736842102</v>
      </c>
    </row>
    <row r="227" spans="2:7">
      <c r="B227" s="185" t="s">
        <v>44</v>
      </c>
      <c r="C227" s="52">
        <f>GETPIVOTDATA("dato",'[1]graficas evolución mensual'!$A$279,"mes",6,"año",2008)</f>
        <v>16</v>
      </c>
      <c r="D227" s="52">
        <f>GETPIVOTDATA("dato",'[1]graficas evolución mensual'!$A$279,"mes",6,"año",2009)</f>
        <v>25</v>
      </c>
      <c r="E227" s="52">
        <f>GETPIVOTDATA("dato",'[1]graficas evolución mensual'!$A$279,"mes",6,"año",2010)</f>
        <v>16</v>
      </c>
      <c r="F227" s="186">
        <f t="shared" si="12"/>
        <v>0.5625</v>
      </c>
      <c r="G227" s="186">
        <f t="shared" si="12"/>
        <v>-0.36</v>
      </c>
    </row>
    <row r="228" spans="2:7">
      <c r="B228" s="185" t="s">
        <v>43</v>
      </c>
      <c r="C228" s="52">
        <f>GETPIVOTDATA("dato",'[1]graficas evolución mensual'!$A$279,"mes",7,"año",2008)</f>
        <v>41</v>
      </c>
      <c r="D228" s="52">
        <f>GETPIVOTDATA("dato",'[1]graficas evolución mensual'!$A$279,"mes",7,"año",2009)</f>
        <v>20</v>
      </c>
      <c r="E228" s="52">
        <f>GETPIVOTDATA("dato",'[1]graficas evolución mensual'!$A$279,"mes",7,"año",2010)</f>
        <v>14</v>
      </c>
      <c r="F228" s="186">
        <f t="shared" si="12"/>
        <v>-0.51219512195121952</v>
      </c>
      <c r="G228" s="186">
        <f t="shared" si="12"/>
        <v>-0.30000000000000004</v>
      </c>
    </row>
    <row r="229" spans="2:7">
      <c r="B229" s="185" t="s">
        <v>42</v>
      </c>
      <c r="C229" s="52">
        <f>GETPIVOTDATA("dato",'[1]graficas evolución mensual'!$A$279,"mes",8,"año",2008)</f>
        <v>386</v>
      </c>
      <c r="D229" s="52">
        <f>GETPIVOTDATA("dato",'[1]graficas evolución mensual'!$A$279,"mes",8,"año",2009)</f>
        <v>29</v>
      </c>
      <c r="E229" s="52">
        <f>GETPIVOTDATA("dato",'[1]graficas evolución mensual'!$A$279,"mes",8,"año",2010)</f>
        <v>0</v>
      </c>
      <c r="F229" s="186">
        <f t="shared" si="12"/>
        <v>-0.92487046632124348</v>
      </c>
      <c r="G229" s="186"/>
    </row>
    <row r="230" spans="2:7">
      <c r="B230" s="185" t="s">
        <v>41</v>
      </c>
      <c r="C230" s="52">
        <f>GETPIVOTDATA("dato",'[1]graficas evolución mensual'!$A$279,"mes",9,"año",2008)</f>
        <v>32</v>
      </c>
      <c r="D230" s="52">
        <f>GETPIVOTDATA("dato",'[1]graficas evolución mensual'!$A$279,"mes",9,"año",2009)</f>
        <v>22</v>
      </c>
      <c r="E230" s="52">
        <f>GETPIVOTDATA("dato",'[1]graficas evolución mensual'!$A$279,"mes",9,"año",2010)</f>
        <v>0</v>
      </c>
      <c r="F230" s="186">
        <f t="shared" si="12"/>
        <v>-0.3125</v>
      </c>
      <c r="G230" s="186"/>
    </row>
    <row r="231" spans="2:7">
      <c r="B231" s="185" t="s">
        <v>40</v>
      </c>
      <c r="C231" s="52">
        <f>GETPIVOTDATA("dato",'[1]graficas evolución mensual'!$A$279,"mes",10,"año",2008)</f>
        <v>67</v>
      </c>
      <c r="D231" s="52">
        <f>GETPIVOTDATA("dato",'[1]graficas evolución mensual'!$A$279,"mes",10,"año",2009)</f>
        <v>43</v>
      </c>
      <c r="E231" s="52">
        <f>GETPIVOTDATA("dato",'[1]graficas evolución mensual'!$A$279,"mes",10,"año",2010)</f>
        <v>0</v>
      </c>
      <c r="F231" s="186">
        <f t="shared" si="12"/>
        <v>-0.35820895522388063</v>
      </c>
      <c r="G231" s="186"/>
    </row>
    <row r="232" spans="2:7">
      <c r="B232" s="185" t="s">
        <v>39</v>
      </c>
      <c r="C232" s="52">
        <f>GETPIVOTDATA("dato",'[1]graficas evolución mensual'!$A$279,"mes",11,"año",2008)</f>
        <v>104</v>
      </c>
      <c r="D232" s="52">
        <f>GETPIVOTDATA("dato",'[1]graficas evolución mensual'!$A$279,"mes",11,"año",2009)</f>
        <v>34</v>
      </c>
      <c r="E232" s="52">
        <f>GETPIVOTDATA("dato",'[1]graficas evolución mensual'!$A$279,"mes",11,"año",2010)</f>
        <v>0</v>
      </c>
      <c r="F232" s="186">
        <f t="shared" si="12"/>
        <v>-0.67307692307692313</v>
      </c>
      <c r="G232" s="186"/>
    </row>
    <row r="233" spans="2:7">
      <c r="B233" s="185" t="s">
        <v>38</v>
      </c>
      <c r="C233" s="52">
        <f>GETPIVOTDATA("dato",'[1]graficas evolución mensual'!$A$279,"mes",12,"año",2008)</f>
        <v>97</v>
      </c>
      <c r="D233" s="52">
        <f>GETPIVOTDATA("dato",'[1]graficas evolución mensual'!$A$279,"mes",12,"año",2009)</f>
        <v>21</v>
      </c>
      <c r="E233" s="52">
        <f>GETPIVOTDATA("dato",'[1]graficas evolución mensual'!$A$279,"mes",12,"año",2010)</f>
        <v>0</v>
      </c>
      <c r="F233" s="186">
        <f t="shared" si="12"/>
        <v>-0.78350515463917525</v>
      </c>
      <c r="G233" s="186"/>
    </row>
    <row r="234" spans="2:7">
      <c r="B234" s="187" t="s">
        <v>92</v>
      </c>
      <c r="C234" s="82">
        <f>SUM(C222:C233)</f>
        <v>943</v>
      </c>
      <c r="D234" s="82">
        <f>SUM(D222:D233)</f>
        <v>405</v>
      </c>
      <c r="E234" s="82">
        <f>SUM(E222:E233)</f>
        <v>247</v>
      </c>
      <c r="F234" s="188">
        <f t="shared" si="12"/>
        <v>-0.57051961823966058</v>
      </c>
      <c r="G234" s="188"/>
    </row>
    <row r="235" spans="2:7" ht="22.5" customHeight="1">
      <c r="B235" s="189" t="s">
        <v>138</v>
      </c>
      <c r="C235" s="190"/>
      <c r="D235" s="190"/>
      <c r="E235" s="190"/>
      <c r="F235" s="190"/>
      <c r="G235" s="191"/>
    </row>
    <row r="236" spans="2:7" ht="7.5" customHeight="1"/>
    <row r="237" spans="2:7" ht="7.5" customHeight="1"/>
    <row r="238" spans="2:7" ht="46.5" customHeight="1">
      <c r="B238" s="180" t="s">
        <v>151</v>
      </c>
      <c r="C238" s="181"/>
      <c r="D238" s="181"/>
      <c r="E238" s="181"/>
      <c r="F238" s="181"/>
      <c r="G238" s="182"/>
    </row>
    <row r="239" spans="2:7">
      <c r="B239" s="86"/>
      <c r="C239" s="86">
        <v>2008</v>
      </c>
      <c r="D239" s="86">
        <v>2009</v>
      </c>
      <c r="E239" s="86">
        <v>2010</v>
      </c>
      <c r="F239" s="86" t="s">
        <v>136</v>
      </c>
      <c r="G239" s="86" t="s">
        <v>137</v>
      </c>
    </row>
    <row r="240" spans="2:7">
      <c r="B240" s="183" t="s">
        <v>49</v>
      </c>
      <c r="C240" s="79">
        <f>GETPIVOTDATA("dato",'[1]graficas evolución mensual'!$A$258,"mes",1,"año",2008)</f>
        <v>69</v>
      </c>
      <c r="D240" s="79">
        <f>GETPIVOTDATA("dato",'[1]graficas evolución mensual'!$A$258,"mes",1,"año",2009)</f>
        <v>75</v>
      </c>
      <c r="E240" s="79">
        <f>GETPIVOTDATA("dato",'[1]graficas evolución mensual'!$A$258,"mes",1,"año",2010)</f>
        <v>89</v>
      </c>
      <c r="F240" s="184">
        <f>D240/C240-1</f>
        <v>8.6956521739130377E-2</v>
      </c>
      <c r="G240" s="184">
        <f>E240/D240-1</f>
        <v>0.18666666666666676</v>
      </c>
    </row>
    <row r="241" spans="2:7">
      <c r="B241" s="185" t="s">
        <v>48</v>
      </c>
      <c r="C241" s="52">
        <f>GETPIVOTDATA("dato",'[1]graficas evolución mensual'!$A$258,"mes",2,"año",2008)</f>
        <v>40</v>
      </c>
      <c r="D241" s="52">
        <f>GETPIVOTDATA("dato",'[1]graficas evolución mensual'!$A$258,"mes",2,"año",2009)</f>
        <v>69</v>
      </c>
      <c r="E241" s="52">
        <f>GETPIVOTDATA("dato",'[1]graficas evolución mensual'!$A$258,"mes",2,"año",2010)</f>
        <v>86</v>
      </c>
      <c r="F241" s="186">
        <f t="shared" ref="F241:G252" si="13">D241/C241-1</f>
        <v>0.72500000000000009</v>
      </c>
      <c r="G241" s="186">
        <f t="shared" si="13"/>
        <v>0.24637681159420288</v>
      </c>
    </row>
    <row r="242" spans="2:7">
      <c r="B242" s="185" t="s">
        <v>47</v>
      </c>
      <c r="C242" s="52">
        <f>GETPIVOTDATA("dato",'[1]graficas evolución mensual'!$A$258,"mes",3,"año",2008)</f>
        <v>115</v>
      </c>
      <c r="D242" s="52">
        <f>GETPIVOTDATA("dato",'[1]graficas evolución mensual'!$A$258,"mes",3,"año",2009)</f>
        <v>110</v>
      </c>
      <c r="E242" s="52">
        <f>GETPIVOTDATA("dato",'[1]graficas evolución mensual'!$A$258,"mes",3,"año",2010)</f>
        <v>75</v>
      </c>
      <c r="F242" s="186">
        <f t="shared" si="13"/>
        <v>-4.3478260869565188E-2</v>
      </c>
      <c r="G242" s="186">
        <f t="shared" si="13"/>
        <v>-0.31818181818181823</v>
      </c>
    </row>
    <row r="243" spans="2:7">
      <c r="B243" s="185" t="s">
        <v>46</v>
      </c>
      <c r="C243" s="52">
        <f>GETPIVOTDATA("dato",'[1]graficas evolución mensual'!$A$258,"mes",4,"año",2008)</f>
        <v>59</v>
      </c>
      <c r="D243" s="52">
        <f>GETPIVOTDATA("dato",'[1]graficas evolución mensual'!$A$258,"mes",4,"año",2009)</f>
        <v>68</v>
      </c>
      <c r="E243" s="52">
        <f>GETPIVOTDATA("dato",'[1]graficas evolución mensual'!$A$258,"mes",4,"año",2010)</f>
        <v>76</v>
      </c>
      <c r="F243" s="186">
        <f t="shared" si="13"/>
        <v>0.15254237288135597</v>
      </c>
      <c r="G243" s="186">
        <f t="shared" si="13"/>
        <v>0.11764705882352944</v>
      </c>
    </row>
    <row r="244" spans="2:7">
      <c r="B244" s="185" t="s">
        <v>45</v>
      </c>
      <c r="C244" s="52">
        <f>GETPIVOTDATA("dato",'[1]graficas evolución mensual'!$A$258,"mes",5,"año",2008)</f>
        <v>100</v>
      </c>
      <c r="D244" s="52">
        <f>GETPIVOTDATA("dato",'[1]graficas evolución mensual'!$A$258,"mes",5,"año",2009)</f>
        <v>108</v>
      </c>
      <c r="E244" s="52">
        <f>GETPIVOTDATA("dato",'[1]graficas evolución mensual'!$A$258,"mes",5,"año",2010)</f>
        <v>52</v>
      </c>
      <c r="F244" s="186">
        <f t="shared" si="13"/>
        <v>8.0000000000000071E-2</v>
      </c>
      <c r="G244" s="186">
        <f t="shared" si="13"/>
        <v>-0.5185185185185186</v>
      </c>
    </row>
    <row r="245" spans="2:7">
      <c r="B245" s="185" t="s">
        <v>44</v>
      </c>
      <c r="C245" s="52">
        <f>GETPIVOTDATA("dato",'[1]graficas evolución mensual'!$A$258,"mes",6,"año",2008)</f>
        <v>46</v>
      </c>
      <c r="D245" s="52">
        <f>GETPIVOTDATA("dato",'[1]graficas evolución mensual'!$A$258,"mes",6,"año",2009)</f>
        <v>71</v>
      </c>
      <c r="E245" s="52">
        <f>GETPIVOTDATA("dato",'[1]graficas evolución mensual'!$A$258,"mes",6,"año",2010)</f>
        <v>46</v>
      </c>
      <c r="F245" s="186">
        <f t="shared" si="13"/>
        <v>0.54347826086956519</v>
      </c>
      <c r="G245" s="186">
        <f t="shared" si="13"/>
        <v>-0.352112676056338</v>
      </c>
    </row>
    <row r="246" spans="2:7">
      <c r="B246" s="185" t="s">
        <v>43</v>
      </c>
      <c r="C246" s="52">
        <f>GETPIVOTDATA("dato",'[1]graficas evolución mensual'!$A$258,"mes",7,"año",2008)</f>
        <v>81</v>
      </c>
      <c r="D246" s="52">
        <f>GETPIVOTDATA("dato",'[1]graficas evolución mensual'!$A$258,"mes",7,"año",2009)</f>
        <v>79</v>
      </c>
      <c r="E246" s="52">
        <f>GETPIVOTDATA("dato",'[1]graficas evolución mensual'!$A$258,"mes",7,"año",2010)</f>
        <v>44</v>
      </c>
      <c r="F246" s="186">
        <f t="shared" si="13"/>
        <v>-2.4691358024691357E-2</v>
      </c>
      <c r="G246" s="186">
        <f t="shared" si="13"/>
        <v>-0.44303797468354433</v>
      </c>
    </row>
    <row r="247" spans="2:7">
      <c r="B247" s="185" t="s">
        <v>42</v>
      </c>
      <c r="C247" s="52">
        <f>GETPIVOTDATA("dato",'[1]graficas evolución mensual'!$A$258,"mes",8,"año",2008)</f>
        <v>64</v>
      </c>
      <c r="D247" s="52">
        <f>GETPIVOTDATA("dato",'[1]graficas evolución mensual'!$A$258,"mes",8,"año",2009)</f>
        <v>37</v>
      </c>
      <c r="E247" s="52">
        <f>GETPIVOTDATA("dato",'[1]graficas evolución mensual'!$A$258,"mes",8,"año",2010)</f>
        <v>0</v>
      </c>
      <c r="F247" s="186">
        <f t="shared" si="13"/>
        <v>-0.421875</v>
      </c>
      <c r="G247" s="186"/>
    </row>
    <row r="248" spans="2:7">
      <c r="B248" s="185" t="s">
        <v>41</v>
      </c>
      <c r="C248" s="52">
        <f>GETPIVOTDATA("dato",'[1]graficas evolución mensual'!$A$258,"mes",9,"año",2008)</f>
        <v>67</v>
      </c>
      <c r="D248" s="52">
        <f>GETPIVOTDATA("dato",'[1]graficas evolución mensual'!$A$258,"mes",9,"año",2009)</f>
        <v>82</v>
      </c>
      <c r="E248" s="52">
        <f>GETPIVOTDATA("dato",'[1]graficas evolución mensual'!$A$258,"mes",9,"año",2010)</f>
        <v>0</v>
      </c>
      <c r="F248" s="186">
        <f t="shared" si="13"/>
        <v>0.22388059701492535</v>
      </c>
      <c r="G248" s="186"/>
    </row>
    <row r="249" spans="2:7">
      <c r="B249" s="185" t="s">
        <v>40</v>
      </c>
      <c r="C249" s="52">
        <f>GETPIVOTDATA("dato",'[1]graficas evolución mensual'!$A$258,"mes",10,"año",2008)</f>
        <v>128</v>
      </c>
      <c r="D249" s="52">
        <f>GETPIVOTDATA("dato",'[1]graficas evolución mensual'!$A$258,"mes",10,"año",2009)</f>
        <v>70</v>
      </c>
      <c r="E249" s="52">
        <f>GETPIVOTDATA("dato",'[1]graficas evolución mensual'!$A$258,"mes",10,"año",2010)</f>
        <v>0</v>
      </c>
      <c r="F249" s="186">
        <f t="shared" si="13"/>
        <v>-0.453125</v>
      </c>
      <c r="G249" s="186"/>
    </row>
    <row r="250" spans="2:7">
      <c r="B250" s="185" t="s">
        <v>39</v>
      </c>
      <c r="C250" s="52">
        <f>GETPIVOTDATA("dato",'[1]graficas evolución mensual'!$A$258,"mes",11,"año",2008)</f>
        <v>89</v>
      </c>
      <c r="D250" s="52">
        <f>GETPIVOTDATA("dato",'[1]graficas evolución mensual'!$A$258,"mes",11,"año",2009)</f>
        <v>103</v>
      </c>
      <c r="E250" s="52">
        <f>GETPIVOTDATA("dato",'[1]graficas evolución mensual'!$A$258,"mes",11,"año",2010)</f>
        <v>0</v>
      </c>
      <c r="F250" s="186">
        <f t="shared" si="13"/>
        <v>0.15730337078651679</v>
      </c>
      <c r="G250" s="186"/>
    </row>
    <row r="251" spans="2:7">
      <c r="B251" s="185" t="s">
        <v>38</v>
      </c>
      <c r="C251" s="52">
        <f>GETPIVOTDATA("dato",'[1]graficas evolución mensual'!$A$258,"mes",12,"año",2008)</f>
        <v>96</v>
      </c>
      <c r="D251" s="52">
        <f>GETPIVOTDATA("dato",'[1]graficas evolución mensual'!$A$258,"mes",12,"año",2009)</f>
        <v>75</v>
      </c>
      <c r="E251" s="52">
        <f>GETPIVOTDATA("dato",'[1]graficas evolución mensual'!$A$258,"mes",12,"año",2010)</f>
        <v>0</v>
      </c>
      <c r="F251" s="186">
        <f t="shared" si="13"/>
        <v>-0.21875</v>
      </c>
      <c r="G251" s="186"/>
    </row>
    <row r="252" spans="2:7">
      <c r="B252" s="187" t="s">
        <v>92</v>
      </c>
      <c r="C252" s="82">
        <f>SUM(C240:C251)</f>
        <v>954</v>
      </c>
      <c r="D252" s="82">
        <f>SUM(D240:D251)</f>
        <v>947</v>
      </c>
      <c r="E252" s="82">
        <f>SUM(E240:E251)</f>
        <v>468</v>
      </c>
      <c r="F252" s="188">
        <f t="shared" si="13"/>
        <v>-7.3375262054506951E-3</v>
      </c>
      <c r="G252" s="188"/>
    </row>
    <row r="253" spans="2:7" ht="23.25" customHeight="1">
      <c r="B253" s="189" t="s">
        <v>138</v>
      </c>
      <c r="C253" s="190"/>
      <c r="D253" s="190"/>
      <c r="E253" s="190"/>
      <c r="F253" s="190"/>
      <c r="G253" s="191"/>
    </row>
    <row r="254" spans="2:7" ht="6.75" customHeight="1"/>
    <row r="255" spans="2:7" ht="7.5" customHeight="1"/>
    <row r="256" spans="2:7" ht="46.5" customHeight="1">
      <c r="B256" s="180" t="s">
        <v>152</v>
      </c>
      <c r="C256" s="181"/>
      <c r="D256" s="181"/>
      <c r="E256" s="181"/>
      <c r="F256" s="181"/>
      <c r="G256" s="182"/>
    </row>
    <row r="257" spans="2:7">
      <c r="B257" s="86"/>
      <c r="C257" s="86">
        <v>2008</v>
      </c>
      <c r="D257" s="86">
        <v>2009</v>
      </c>
      <c r="E257" s="86">
        <v>2010</v>
      </c>
      <c r="F257" s="86" t="s">
        <v>136</v>
      </c>
      <c r="G257" s="86" t="s">
        <v>137</v>
      </c>
    </row>
    <row r="258" spans="2:7">
      <c r="B258" s="183" t="s">
        <v>49</v>
      </c>
      <c r="C258" s="79">
        <f>GETPIVOTDATA("dato",'[1]graficas evolución mensual'!$A$216,"mes",1,"año",2008)</f>
        <v>30</v>
      </c>
      <c r="D258" s="79">
        <f>GETPIVOTDATA("dato",'[1]graficas evolución mensual'!$A$216,"mes",1,"año",2009)</f>
        <v>49</v>
      </c>
      <c r="E258" s="79">
        <f>GETPIVOTDATA("dato",'[1]graficas evolución mensual'!$A$216,"mes",1,"año",2010)</f>
        <v>58</v>
      </c>
      <c r="F258" s="184">
        <f>D258/C258-1</f>
        <v>0.6333333333333333</v>
      </c>
      <c r="G258" s="184">
        <f>E258/D258-1</f>
        <v>0.18367346938775508</v>
      </c>
    </row>
    <row r="259" spans="2:7">
      <c r="B259" s="185" t="s">
        <v>48</v>
      </c>
      <c r="C259" s="52">
        <f>GETPIVOTDATA("dato",'[1]graficas evolución mensual'!$A$216,"mes",2,"año",2008)</f>
        <v>39</v>
      </c>
      <c r="D259" s="52">
        <f>GETPIVOTDATA("dato",'[1]graficas evolución mensual'!$A$216,"mes",2,"año",2009)</f>
        <v>45</v>
      </c>
      <c r="E259" s="52">
        <f>GETPIVOTDATA("dato",'[1]graficas evolución mensual'!$A$216,"mes",2,"año",2010)</f>
        <v>52</v>
      </c>
      <c r="F259" s="186">
        <f t="shared" ref="F259:G270" si="14">D259/C259-1</f>
        <v>0.15384615384615374</v>
      </c>
      <c r="G259" s="186">
        <f t="shared" si="14"/>
        <v>0.15555555555555545</v>
      </c>
    </row>
    <row r="260" spans="2:7">
      <c r="B260" s="185" t="s">
        <v>47</v>
      </c>
      <c r="C260" s="52">
        <f>GETPIVOTDATA("dato",'[1]graficas evolución mensual'!$A$216,"mes",3,"año",2008)</f>
        <v>54</v>
      </c>
      <c r="D260" s="52">
        <f>GETPIVOTDATA("dato",'[1]graficas evolución mensual'!$A$216,"mes",3,"año",2009)</f>
        <v>52</v>
      </c>
      <c r="E260" s="52">
        <f>GETPIVOTDATA("dato",'[1]graficas evolución mensual'!$A$216,"mes",3,"año",2010)</f>
        <v>33</v>
      </c>
      <c r="F260" s="186">
        <f t="shared" si="14"/>
        <v>-3.703703703703709E-2</v>
      </c>
      <c r="G260" s="186">
        <f t="shared" si="14"/>
        <v>-0.36538461538461542</v>
      </c>
    </row>
    <row r="261" spans="2:7">
      <c r="B261" s="185" t="s">
        <v>46</v>
      </c>
      <c r="C261" s="52">
        <f>GETPIVOTDATA("dato",'[1]graficas evolución mensual'!$A$216,"mes",4,"año",2008)</f>
        <v>24</v>
      </c>
      <c r="D261" s="52">
        <f>GETPIVOTDATA("dato",'[1]graficas evolución mensual'!$A$216,"mes",4,"año",2009)</f>
        <v>32</v>
      </c>
      <c r="E261" s="52">
        <f>GETPIVOTDATA("dato",'[1]graficas evolución mensual'!$A$216,"mes",4,"año",2010)</f>
        <v>31</v>
      </c>
      <c r="F261" s="186">
        <f t="shared" si="14"/>
        <v>0.33333333333333326</v>
      </c>
      <c r="G261" s="186">
        <f t="shared" si="14"/>
        <v>-3.125E-2</v>
      </c>
    </row>
    <row r="262" spans="2:7">
      <c r="B262" s="185" t="s">
        <v>45</v>
      </c>
      <c r="C262" s="52">
        <f>GETPIVOTDATA("dato",'[1]graficas evolución mensual'!$A$216,"mes",5,"año",2008)</f>
        <v>16</v>
      </c>
      <c r="D262" s="52">
        <f>GETPIVOTDATA("dato",'[1]graficas evolución mensual'!$A$216,"mes",5,"año",2009)</f>
        <v>22</v>
      </c>
      <c r="E262" s="52">
        <f>GETPIVOTDATA("dato",'[1]graficas evolución mensual'!$A$216,"mes",5,"año",2010)</f>
        <v>20</v>
      </c>
      <c r="F262" s="186">
        <f t="shared" si="14"/>
        <v>0.375</v>
      </c>
      <c r="G262" s="186">
        <f t="shared" si="14"/>
        <v>-9.0909090909090939E-2</v>
      </c>
    </row>
    <row r="263" spans="2:7">
      <c r="B263" s="185" t="s">
        <v>44</v>
      </c>
      <c r="C263" s="52">
        <f>GETPIVOTDATA("dato",'[1]graficas evolución mensual'!$A$216,"mes",6,"año",2008)</f>
        <v>39</v>
      </c>
      <c r="D263" s="52">
        <f>GETPIVOTDATA("dato",'[1]graficas evolución mensual'!$A$216,"mes",6,"año",2009)</f>
        <v>8</v>
      </c>
      <c r="E263" s="52">
        <f>GETPIVOTDATA("dato",'[1]graficas evolución mensual'!$A$216,"mes",6,"año",2010)</f>
        <v>27</v>
      </c>
      <c r="F263" s="186">
        <f t="shared" si="14"/>
        <v>-0.79487179487179493</v>
      </c>
      <c r="G263" s="186">
        <f t="shared" si="14"/>
        <v>2.375</v>
      </c>
    </row>
    <row r="264" spans="2:7">
      <c r="B264" s="185" t="s">
        <v>43</v>
      </c>
      <c r="C264" s="52">
        <f>GETPIVOTDATA("dato",'[1]graficas evolución mensual'!$A$216,"mes",7,"año",2008)</f>
        <v>22</v>
      </c>
      <c r="D264" s="52">
        <f>GETPIVOTDATA("dato",'[1]graficas evolución mensual'!$A$216,"mes",7,"año",2009)</f>
        <v>29</v>
      </c>
      <c r="E264" s="52">
        <f>GETPIVOTDATA("dato",'[1]graficas evolución mensual'!$A$216,"mes",7,"año",2010)</f>
        <v>17</v>
      </c>
      <c r="F264" s="186">
        <f t="shared" si="14"/>
        <v>0.31818181818181812</v>
      </c>
      <c r="G264" s="186">
        <f t="shared" si="14"/>
        <v>-0.41379310344827591</v>
      </c>
    </row>
    <row r="265" spans="2:7">
      <c r="B265" s="185" t="s">
        <v>42</v>
      </c>
      <c r="C265" s="52">
        <f>GETPIVOTDATA("dato",'[1]graficas evolución mensual'!$A$216,"mes",8,"año",2008)</f>
        <v>23</v>
      </c>
      <c r="D265" s="52">
        <f>GETPIVOTDATA("dato",'[1]graficas evolución mensual'!$A$216,"mes",8,"año",2009)</f>
        <v>17</v>
      </c>
      <c r="E265" s="52">
        <f>GETPIVOTDATA("dato",'[1]graficas evolución mensual'!$A$216,"mes",8,"año",2010)</f>
        <v>0</v>
      </c>
      <c r="F265" s="186">
        <f t="shared" si="14"/>
        <v>-0.26086956521739135</v>
      </c>
      <c r="G265" s="186"/>
    </row>
    <row r="266" spans="2:7">
      <c r="B266" s="185" t="s">
        <v>41</v>
      </c>
      <c r="C266" s="52">
        <f>GETPIVOTDATA("dato",'[1]graficas evolución mensual'!$A$216,"mes",9,"año",2008)</f>
        <v>26</v>
      </c>
      <c r="D266" s="52">
        <f>GETPIVOTDATA("dato",'[1]graficas evolución mensual'!$A$216,"mes",9,"año",2009)</f>
        <v>30</v>
      </c>
      <c r="E266" s="52">
        <f>GETPIVOTDATA("dato",'[1]graficas evolución mensual'!$A$216,"mes",9,"año",2010)</f>
        <v>0</v>
      </c>
      <c r="F266" s="186">
        <f t="shared" si="14"/>
        <v>0.15384615384615374</v>
      </c>
      <c r="G266" s="186"/>
    </row>
    <row r="267" spans="2:7">
      <c r="B267" s="185" t="s">
        <v>40</v>
      </c>
      <c r="C267" s="52">
        <f>GETPIVOTDATA("dato",'[1]graficas evolución mensual'!$A$216,"mes",10,"año",2008)</f>
        <v>40</v>
      </c>
      <c r="D267" s="52">
        <f>GETPIVOTDATA("dato",'[1]graficas evolución mensual'!$A$216,"mes",10,"año",2009)</f>
        <v>24</v>
      </c>
      <c r="E267" s="52">
        <f>GETPIVOTDATA("dato",'[1]graficas evolución mensual'!$A$216,"mes",10,"año",2010)</f>
        <v>0</v>
      </c>
      <c r="F267" s="186">
        <f t="shared" si="14"/>
        <v>-0.4</v>
      </c>
      <c r="G267" s="186"/>
    </row>
    <row r="268" spans="2:7">
      <c r="B268" s="185" t="s">
        <v>39</v>
      </c>
      <c r="C268" s="52">
        <f>GETPIVOTDATA("dato",'[1]graficas evolución mensual'!$A$216,"mes",11,"año",2008)</f>
        <v>30</v>
      </c>
      <c r="D268" s="52">
        <f>GETPIVOTDATA("dato",'[1]graficas evolución mensual'!$A$216,"mes",11,"año",2009)</f>
        <v>26</v>
      </c>
      <c r="E268" s="52">
        <f>GETPIVOTDATA("dato",'[1]graficas evolución mensual'!$A$216,"mes",11,"año",2010)</f>
        <v>0</v>
      </c>
      <c r="F268" s="186">
        <f t="shared" si="14"/>
        <v>-0.1333333333333333</v>
      </c>
      <c r="G268" s="186"/>
    </row>
    <row r="269" spans="2:7">
      <c r="B269" s="185" t="s">
        <v>38</v>
      </c>
      <c r="C269" s="52">
        <f>GETPIVOTDATA("dato",'[1]graficas evolución mensual'!$A$216,"mes",12,"año",2008)</f>
        <v>67</v>
      </c>
      <c r="D269" s="52">
        <f>GETPIVOTDATA("dato",'[1]graficas evolución mensual'!$A$216,"mes",12,"año",2009)</f>
        <v>44</v>
      </c>
      <c r="E269" s="52">
        <f>GETPIVOTDATA("dato",'[1]graficas evolución mensual'!$A$216,"mes",12,"año",2010)</f>
        <v>0</v>
      </c>
      <c r="F269" s="186">
        <f t="shared" si="14"/>
        <v>-0.34328358208955223</v>
      </c>
      <c r="G269" s="186"/>
    </row>
    <row r="270" spans="2:7">
      <c r="B270" s="187" t="s">
        <v>92</v>
      </c>
      <c r="C270" s="82">
        <f>SUM(C258:C269)</f>
        <v>410</v>
      </c>
      <c r="D270" s="82">
        <f>SUM(D258:D269)</f>
        <v>378</v>
      </c>
      <c r="E270" s="82">
        <f>SUM(E258:E269)</f>
        <v>238</v>
      </c>
      <c r="F270" s="188">
        <f t="shared" si="14"/>
        <v>-7.8048780487804836E-2</v>
      </c>
      <c r="G270" s="188"/>
    </row>
    <row r="271" spans="2:7" ht="21.75" customHeight="1">
      <c r="B271" s="189" t="s">
        <v>138</v>
      </c>
      <c r="C271" s="190"/>
      <c r="D271" s="190"/>
      <c r="E271" s="190"/>
      <c r="F271" s="190"/>
      <c r="G271" s="191"/>
    </row>
    <row r="272" spans="2:7" ht="4.5" customHeight="1"/>
    <row r="273" spans="2:7" ht="7.5" customHeight="1"/>
    <row r="274" spans="2:7" ht="45" customHeight="1">
      <c r="B274" s="180" t="s">
        <v>153</v>
      </c>
      <c r="C274" s="181"/>
      <c r="D274" s="181"/>
      <c r="E274" s="181"/>
      <c r="F274" s="181"/>
      <c r="G274" s="182"/>
    </row>
    <row r="275" spans="2:7">
      <c r="B275" s="86"/>
      <c r="C275" s="86">
        <v>2008</v>
      </c>
      <c r="D275" s="86">
        <v>2009</v>
      </c>
      <c r="E275" s="86">
        <v>2010</v>
      </c>
      <c r="F275" s="86" t="s">
        <v>136</v>
      </c>
      <c r="G275" s="86" t="s">
        <v>137</v>
      </c>
    </row>
    <row r="276" spans="2:7">
      <c r="B276" s="183" t="s">
        <v>49</v>
      </c>
      <c r="C276" s="79">
        <f>GETPIVOTDATA("dato",'[1]graficas evolución mensual'!$A$299,"mes",1,"año",2008)</f>
        <v>60</v>
      </c>
      <c r="D276" s="79">
        <f>GETPIVOTDATA("dato",'[1]graficas evolución mensual'!$A$299,"mes",1,"año",2009)</f>
        <v>61</v>
      </c>
      <c r="E276" s="79">
        <f>GETPIVOTDATA("dato",'[1]graficas evolución mensual'!$A$299,"mes",1,"año",2010)</f>
        <v>75</v>
      </c>
      <c r="F276" s="184">
        <f>D276/C276-1</f>
        <v>1.6666666666666607E-2</v>
      </c>
      <c r="G276" s="184">
        <f>E276/D276-1</f>
        <v>0.22950819672131151</v>
      </c>
    </row>
    <row r="277" spans="2:7">
      <c r="B277" s="185" t="s">
        <v>48</v>
      </c>
      <c r="C277" s="52">
        <f>GETPIVOTDATA("dato",'[1]graficas evolución mensual'!$A$299,"mes",2,"año",2008)</f>
        <v>57</v>
      </c>
      <c r="D277" s="52">
        <f>GETPIVOTDATA("dato",'[1]graficas evolución mensual'!$A$299,"mes",2,"año",2009)</f>
        <v>64</v>
      </c>
      <c r="E277" s="52">
        <f>GETPIVOTDATA("dato",'[1]graficas evolución mensual'!$A$299,"mes",2,"año",2010)</f>
        <v>54</v>
      </c>
      <c r="F277" s="186">
        <f t="shared" ref="F277:G288" si="15">D277/C277-1</f>
        <v>0.12280701754385959</v>
      </c>
      <c r="G277" s="186">
        <f t="shared" si="15"/>
        <v>-0.15625</v>
      </c>
    </row>
    <row r="278" spans="2:7">
      <c r="B278" s="185" t="s">
        <v>47</v>
      </c>
      <c r="C278" s="52">
        <f>GETPIVOTDATA("dato",'[1]graficas evolución mensual'!$A$299,"mes",3,"año",2008)</f>
        <v>53</v>
      </c>
      <c r="D278" s="52">
        <f>GETPIVOTDATA("dato",'[1]graficas evolución mensual'!$A$299,"mes",3,"año",2009)</f>
        <v>49</v>
      </c>
      <c r="E278" s="52">
        <f>GETPIVOTDATA("dato",'[1]graficas evolución mensual'!$A$299,"mes",3,"año",2010)</f>
        <v>39</v>
      </c>
      <c r="F278" s="186">
        <f t="shared" si="15"/>
        <v>-7.547169811320753E-2</v>
      </c>
      <c r="G278" s="186">
        <f t="shared" si="15"/>
        <v>-0.20408163265306123</v>
      </c>
    </row>
    <row r="279" spans="2:7">
      <c r="B279" s="185" t="s">
        <v>46</v>
      </c>
      <c r="C279" s="52">
        <f>GETPIVOTDATA("dato",'[1]graficas evolución mensual'!$A$299,"mes",4,"año",2008)</f>
        <v>57</v>
      </c>
      <c r="D279" s="52">
        <f>GETPIVOTDATA("dato",'[1]graficas evolución mensual'!$A$299,"mes",4,"año",2009)</f>
        <v>59</v>
      </c>
      <c r="E279" s="52">
        <f>GETPIVOTDATA("dato",'[1]graficas evolución mensual'!$A$299,"mes",4,"año",2010)</f>
        <v>42</v>
      </c>
      <c r="F279" s="186">
        <f t="shared" si="15"/>
        <v>3.5087719298245723E-2</v>
      </c>
      <c r="G279" s="186">
        <f t="shared" si="15"/>
        <v>-0.28813559322033899</v>
      </c>
    </row>
    <row r="280" spans="2:7">
      <c r="B280" s="185" t="s">
        <v>45</v>
      </c>
      <c r="C280" s="52">
        <f>GETPIVOTDATA("dato",'[1]graficas evolución mensual'!$A$299,"mes",5,"año",2008)</f>
        <v>44</v>
      </c>
      <c r="D280" s="52">
        <f>GETPIVOTDATA("dato",'[1]graficas evolución mensual'!$A$299,"mes",5,"año",2009)</f>
        <v>40</v>
      </c>
      <c r="E280" s="52">
        <f>GETPIVOTDATA("dato",'[1]graficas evolución mensual'!$A$299,"mes",5,"año",2010)</f>
        <v>34</v>
      </c>
      <c r="F280" s="186">
        <f t="shared" si="15"/>
        <v>-9.0909090909090939E-2</v>
      </c>
      <c r="G280" s="186">
        <f t="shared" si="15"/>
        <v>-0.15000000000000002</v>
      </c>
    </row>
    <row r="281" spans="2:7">
      <c r="B281" s="185" t="s">
        <v>44</v>
      </c>
      <c r="C281" s="52">
        <f>GETPIVOTDATA("dato",'[1]graficas evolución mensual'!$A$299,"mes",6,"año",2008)</f>
        <v>28</v>
      </c>
      <c r="D281" s="52">
        <f>GETPIVOTDATA("dato",'[1]graficas evolución mensual'!$A$299,"mes",6,"año",2009)</f>
        <v>18</v>
      </c>
      <c r="E281" s="52">
        <f>GETPIVOTDATA("dato",'[1]graficas evolución mensual'!$A$299,"mes",6,"año",2010)</f>
        <v>35</v>
      </c>
      <c r="F281" s="186">
        <f t="shared" si="15"/>
        <v>-0.3571428571428571</v>
      </c>
      <c r="G281" s="186">
        <f t="shared" si="15"/>
        <v>0.94444444444444442</v>
      </c>
    </row>
    <row r="282" spans="2:7">
      <c r="B282" s="185" t="s">
        <v>43</v>
      </c>
      <c r="C282" s="52">
        <f>GETPIVOTDATA("dato",'[1]graficas evolución mensual'!$A$299,"mes",7,"año",2008)</f>
        <v>23</v>
      </c>
      <c r="D282" s="52">
        <f>GETPIVOTDATA("dato",'[1]graficas evolución mensual'!$A$299,"mes",7,"año",2009)</f>
        <v>32</v>
      </c>
      <c r="E282" s="52">
        <f>GETPIVOTDATA("dato",'[1]graficas evolución mensual'!$A$299,"mes",7,"año",2010)</f>
        <v>30</v>
      </c>
      <c r="F282" s="186">
        <f t="shared" si="15"/>
        <v>0.39130434782608692</v>
      </c>
      <c r="G282" s="186">
        <f t="shared" si="15"/>
        <v>-6.25E-2</v>
      </c>
    </row>
    <row r="283" spans="2:7">
      <c r="B283" s="185" t="s">
        <v>42</v>
      </c>
      <c r="C283" s="52">
        <f>GETPIVOTDATA("dato",'[1]graficas evolución mensual'!$A$299,"mes",8,"año",2008)</f>
        <v>7</v>
      </c>
      <c r="D283" s="52">
        <f>GETPIVOTDATA("dato",'[1]graficas evolución mensual'!$A$299,"mes",8,"año",2009)</f>
        <v>12</v>
      </c>
      <c r="E283" s="52">
        <f>GETPIVOTDATA("dato",'[1]graficas evolución mensual'!$A$299,"mes",8,"año",2010)</f>
        <v>0</v>
      </c>
      <c r="F283" s="186">
        <f t="shared" si="15"/>
        <v>0.71428571428571419</v>
      </c>
      <c r="G283" s="186"/>
    </row>
    <row r="284" spans="2:7">
      <c r="B284" s="185" t="s">
        <v>41</v>
      </c>
      <c r="C284" s="52">
        <f>GETPIVOTDATA("dato",'[1]graficas evolución mensual'!$A$299,"mes",9,"año",2008)</f>
        <v>61</v>
      </c>
      <c r="D284" s="52">
        <f>GETPIVOTDATA("dato",'[1]graficas evolución mensual'!$A$299,"mes",9,"año",2009)</f>
        <v>30</v>
      </c>
      <c r="E284" s="52">
        <f>GETPIVOTDATA("dato",'[1]graficas evolución mensual'!$A$299,"mes",9,"año",2010)</f>
        <v>0</v>
      </c>
      <c r="F284" s="186">
        <f t="shared" si="15"/>
        <v>-0.50819672131147542</v>
      </c>
      <c r="G284" s="186"/>
    </row>
    <row r="285" spans="2:7">
      <c r="B285" s="185" t="s">
        <v>40</v>
      </c>
      <c r="C285" s="52">
        <f>GETPIVOTDATA("dato",'[1]graficas evolución mensual'!$A$299,"mes",10,"año",2008)</f>
        <v>107</v>
      </c>
      <c r="D285" s="52">
        <f>GETPIVOTDATA("dato",'[1]graficas evolución mensual'!$A$299,"mes",10,"año",2009)</f>
        <v>54</v>
      </c>
      <c r="E285" s="52">
        <f>GETPIVOTDATA("dato",'[1]graficas evolución mensual'!$A$299,"mes",10,"año",2010)</f>
        <v>0</v>
      </c>
      <c r="F285" s="186">
        <f t="shared" si="15"/>
        <v>-0.49532710280373837</v>
      </c>
      <c r="G285" s="186"/>
    </row>
    <row r="286" spans="2:7">
      <c r="B286" s="185" t="s">
        <v>39</v>
      </c>
      <c r="C286" s="52">
        <f>GETPIVOTDATA("dato",'[1]graficas evolución mensual'!$A$299,"mes",11,"año",2008)</f>
        <v>65</v>
      </c>
      <c r="D286" s="52">
        <f>GETPIVOTDATA("dato",'[1]graficas evolución mensual'!$A$299,"mes",11,"año",2009)</f>
        <v>47</v>
      </c>
      <c r="E286" s="52">
        <f>GETPIVOTDATA("dato",'[1]graficas evolución mensual'!$A$299,"mes",11,"año",2010)</f>
        <v>0</v>
      </c>
      <c r="F286" s="186">
        <f t="shared" si="15"/>
        <v>-0.27692307692307694</v>
      </c>
      <c r="G286" s="186"/>
    </row>
    <row r="287" spans="2:7">
      <c r="B287" s="185" t="s">
        <v>38</v>
      </c>
      <c r="C287" s="52">
        <f>GETPIVOTDATA("dato",'[1]graficas evolución mensual'!$A$299,"mes",12,"año",2008)</f>
        <v>59</v>
      </c>
      <c r="D287" s="52">
        <f>GETPIVOTDATA("dato",'[1]graficas evolución mensual'!$A$299,"mes",12,"año",2009)</f>
        <v>91</v>
      </c>
      <c r="E287" s="52">
        <f>GETPIVOTDATA("dato",'[1]graficas evolución mensual'!$A$299,"mes",12,"año",2010)</f>
        <v>0</v>
      </c>
      <c r="F287" s="186">
        <f t="shared" si="15"/>
        <v>0.54237288135593231</v>
      </c>
      <c r="G287" s="186"/>
    </row>
    <row r="288" spans="2:7">
      <c r="B288" s="187" t="s">
        <v>92</v>
      </c>
      <c r="C288" s="82">
        <f>SUM(C276:C287)</f>
        <v>621</v>
      </c>
      <c r="D288" s="82">
        <f>SUM(D276:D287)</f>
        <v>557</v>
      </c>
      <c r="E288" s="82">
        <f>SUM(E276:E287)</f>
        <v>309</v>
      </c>
      <c r="F288" s="188">
        <f t="shared" si="15"/>
        <v>-0.1030595813204509</v>
      </c>
      <c r="G288" s="188"/>
    </row>
    <row r="289" spans="2:7" ht="22.5" customHeight="1">
      <c r="B289" s="189" t="s">
        <v>138</v>
      </c>
      <c r="C289" s="190"/>
      <c r="D289" s="190"/>
      <c r="E289" s="190"/>
      <c r="F289" s="190"/>
      <c r="G289" s="191"/>
    </row>
  </sheetData>
  <mergeCells count="33">
    <mergeCell ref="B271:G271"/>
    <mergeCell ref="B274:G274"/>
    <mergeCell ref="B289:G289"/>
    <mergeCell ref="B217:G217"/>
    <mergeCell ref="B220:G220"/>
    <mergeCell ref="B235:G235"/>
    <mergeCell ref="B238:G238"/>
    <mergeCell ref="B253:G253"/>
    <mergeCell ref="B256:G256"/>
    <mergeCell ref="B163:G163"/>
    <mergeCell ref="B166:G166"/>
    <mergeCell ref="B181:G181"/>
    <mergeCell ref="B184:G184"/>
    <mergeCell ref="B199:G199"/>
    <mergeCell ref="B202:G202"/>
    <mergeCell ref="B109:G109"/>
    <mergeCell ref="B112:G112"/>
    <mergeCell ref="B127:G127"/>
    <mergeCell ref="B130:G130"/>
    <mergeCell ref="B145:G145"/>
    <mergeCell ref="B148:G148"/>
    <mergeCell ref="B55:G55"/>
    <mergeCell ref="B58:G58"/>
    <mergeCell ref="B73:G73"/>
    <mergeCell ref="B76:G76"/>
    <mergeCell ref="B91:G91"/>
    <mergeCell ref="B94:G94"/>
    <mergeCell ref="B2:N2"/>
    <mergeCell ref="B4:G4"/>
    <mergeCell ref="B19:G19"/>
    <mergeCell ref="B22:G22"/>
    <mergeCell ref="B37:G37"/>
    <mergeCell ref="B40:G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0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1"/>
  <sheetViews>
    <sheetView showGridLines="0" showRowColHeaders="0" zoomScaleNormal="100" workbookViewId="0">
      <pane xSplit="2" ySplit="6" topLeftCell="C7" activePane="bottomRight" state="frozen"/>
      <selection activeCell="I13" sqref="I13"/>
      <selection pane="topRight" activeCell="I13" sqref="I13"/>
      <selection pane="bottomLeft" activeCell="I13" sqref="I13"/>
      <selection pane="bottomRight" activeCell="I13" sqref="I13"/>
    </sheetView>
  </sheetViews>
  <sheetFormatPr baseColWidth="10" defaultRowHeight="15" outlineLevelRow="1"/>
  <cols>
    <col min="1" max="1" width="11.42578125" style="194"/>
    <col min="2" max="2" width="15.5703125" style="194" customWidth="1"/>
    <col min="19" max="20" width="10.28515625" customWidth="1"/>
    <col min="50" max="276" width="11.42578125" style="194"/>
    <col min="277" max="277" width="36.7109375" style="194" customWidth="1"/>
    <col min="278" max="278" width="12.7109375" style="194" customWidth="1"/>
    <col min="279" max="279" width="12.42578125" style="194" customWidth="1"/>
    <col min="280" max="280" width="10.7109375" style="194" customWidth="1"/>
    <col min="281" max="281" width="4.7109375" style="194" customWidth="1"/>
    <col min="282" max="282" width="36.7109375" style="194" customWidth="1"/>
    <col min="283" max="532" width="11.42578125" style="194"/>
    <col min="533" max="533" width="36.7109375" style="194" customWidth="1"/>
    <col min="534" max="534" width="12.7109375" style="194" customWidth="1"/>
    <col min="535" max="535" width="12.42578125" style="194" customWidth="1"/>
    <col min="536" max="536" width="10.7109375" style="194" customWidth="1"/>
    <col min="537" max="537" width="4.7109375" style="194" customWidth="1"/>
    <col min="538" max="538" width="36.7109375" style="194" customWidth="1"/>
    <col min="539" max="788" width="11.42578125" style="194"/>
    <col min="789" max="789" width="36.7109375" style="194" customWidth="1"/>
    <col min="790" max="790" width="12.7109375" style="194" customWidth="1"/>
    <col min="791" max="791" width="12.42578125" style="194" customWidth="1"/>
    <col min="792" max="792" width="10.7109375" style="194" customWidth="1"/>
    <col min="793" max="793" width="4.7109375" style="194" customWidth="1"/>
    <col min="794" max="794" width="36.7109375" style="194" customWidth="1"/>
    <col min="795" max="1044" width="11.42578125" style="194"/>
    <col min="1045" max="1045" width="36.7109375" style="194" customWidth="1"/>
    <col min="1046" max="1046" width="12.7109375" style="194" customWidth="1"/>
    <col min="1047" max="1047" width="12.42578125" style="194" customWidth="1"/>
    <col min="1048" max="1048" width="10.7109375" style="194" customWidth="1"/>
    <col min="1049" max="1049" width="4.7109375" style="194" customWidth="1"/>
    <col min="1050" max="1050" width="36.7109375" style="194" customWidth="1"/>
    <col min="1051" max="1300" width="11.42578125" style="194"/>
    <col min="1301" max="1301" width="36.7109375" style="194" customWidth="1"/>
    <col min="1302" max="1302" width="12.7109375" style="194" customWidth="1"/>
    <col min="1303" max="1303" width="12.42578125" style="194" customWidth="1"/>
    <col min="1304" max="1304" width="10.7109375" style="194" customWidth="1"/>
    <col min="1305" max="1305" width="4.7109375" style="194" customWidth="1"/>
    <col min="1306" max="1306" width="36.7109375" style="194" customWidth="1"/>
    <col min="1307" max="1556" width="11.42578125" style="194"/>
    <col min="1557" max="1557" width="36.7109375" style="194" customWidth="1"/>
    <col min="1558" max="1558" width="12.7109375" style="194" customWidth="1"/>
    <col min="1559" max="1559" width="12.42578125" style="194" customWidth="1"/>
    <col min="1560" max="1560" width="10.7109375" style="194" customWidth="1"/>
    <col min="1561" max="1561" width="4.7109375" style="194" customWidth="1"/>
    <col min="1562" max="1562" width="36.7109375" style="194" customWidth="1"/>
    <col min="1563" max="1812" width="11.42578125" style="194"/>
    <col min="1813" max="1813" width="36.7109375" style="194" customWidth="1"/>
    <col min="1814" max="1814" width="12.7109375" style="194" customWidth="1"/>
    <col min="1815" max="1815" width="12.42578125" style="194" customWidth="1"/>
    <col min="1816" max="1816" width="10.7109375" style="194" customWidth="1"/>
    <col min="1817" max="1817" width="4.7109375" style="194" customWidth="1"/>
    <col min="1818" max="1818" width="36.7109375" style="194" customWidth="1"/>
    <col min="1819" max="2068" width="11.42578125" style="194"/>
    <col min="2069" max="2069" width="36.7109375" style="194" customWidth="1"/>
    <col min="2070" max="2070" width="12.7109375" style="194" customWidth="1"/>
    <col min="2071" max="2071" width="12.42578125" style="194" customWidth="1"/>
    <col min="2072" max="2072" width="10.7109375" style="194" customWidth="1"/>
    <col min="2073" max="2073" width="4.7109375" style="194" customWidth="1"/>
    <col min="2074" max="2074" width="36.7109375" style="194" customWidth="1"/>
    <col min="2075" max="2324" width="11.42578125" style="194"/>
    <col min="2325" max="2325" width="36.7109375" style="194" customWidth="1"/>
    <col min="2326" max="2326" width="12.7109375" style="194" customWidth="1"/>
    <col min="2327" max="2327" width="12.42578125" style="194" customWidth="1"/>
    <col min="2328" max="2328" width="10.7109375" style="194" customWidth="1"/>
    <col min="2329" max="2329" width="4.7109375" style="194" customWidth="1"/>
    <col min="2330" max="2330" width="36.7109375" style="194" customWidth="1"/>
    <col min="2331" max="2580" width="11.42578125" style="194"/>
    <col min="2581" max="2581" width="36.7109375" style="194" customWidth="1"/>
    <col min="2582" max="2582" width="12.7109375" style="194" customWidth="1"/>
    <col min="2583" max="2583" width="12.42578125" style="194" customWidth="1"/>
    <col min="2584" max="2584" width="10.7109375" style="194" customWidth="1"/>
    <col min="2585" max="2585" width="4.7109375" style="194" customWidth="1"/>
    <col min="2586" max="2586" width="36.7109375" style="194" customWidth="1"/>
    <col min="2587" max="2836" width="11.42578125" style="194"/>
    <col min="2837" max="2837" width="36.7109375" style="194" customWidth="1"/>
    <col min="2838" max="2838" width="12.7109375" style="194" customWidth="1"/>
    <col min="2839" max="2839" width="12.42578125" style="194" customWidth="1"/>
    <col min="2840" max="2840" width="10.7109375" style="194" customWidth="1"/>
    <col min="2841" max="2841" width="4.7109375" style="194" customWidth="1"/>
    <col min="2842" max="2842" width="36.7109375" style="194" customWidth="1"/>
    <col min="2843" max="3092" width="11.42578125" style="194"/>
    <col min="3093" max="3093" width="36.7109375" style="194" customWidth="1"/>
    <col min="3094" max="3094" width="12.7109375" style="194" customWidth="1"/>
    <col min="3095" max="3095" width="12.42578125" style="194" customWidth="1"/>
    <col min="3096" max="3096" width="10.7109375" style="194" customWidth="1"/>
    <col min="3097" max="3097" width="4.7109375" style="194" customWidth="1"/>
    <col min="3098" max="3098" width="36.7109375" style="194" customWidth="1"/>
    <col min="3099" max="3348" width="11.42578125" style="194"/>
    <col min="3349" max="3349" width="36.7109375" style="194" customWidth="1"/>
    <col min="3350" max="3350" width="12.7109375" style="194" customWidth="1"/>
    <col min="3351" max="3351" width="12.42578125" style="194" customWidth="1"/>
    <col min="3352" max="3352" width="10.7109375" style="194" customWidth="1"/>
    <col min="3353" max="3353" width="4.7109375" style="194" customWidth="1"/>
    <col min="3354" max="3354" width="36.7109375" style="194" customWidth="1"/>
    <col min="3355" max="3604" width="11.42578125" style="194"/>
    <col min="3605" max="3605" width="36.7109375" style="194" customWidth="1"/>
    <col min="3606" max="3606" width="12.7109375" style="194" customWidth="1"/>
    <col min="3607" max="3607" width="12.42578125" style="194" customWidth="1"/>
    <col min="3608" max="3608" width="10.7109375" style="194" customWidth="1"/>
    <col min="3609" max="3609" width="4.7109375" style="194" customWidth="1"/>
    <col min="3610" max="3610" width="36.7109375" style="194" customWidth="1"/>
    <col min="3611" max="3860" width="11.42578125" style="194"/>
    <col min="3861" max="3861" width="36.7109375" style="194" customWidth="1"/>
    <col min="3862" max="3862" width="12.7109375" style="194" customWidth="1"/>
    <col min="3863" max="3863" width="12.42578125" style="194" customWidth="1"/>
    <col min="3864" max="3864" width="10.7109375" style="194" customWidth="1"/>
    <col min="3865" max="3865" width="4.7109375" style="194" customWidth="1"/>
    <col min="3866" max="3866" width="36.7109375" style="194" customWidth="1"/>
    <col min="3867" max="4116" width="11.42578125" style="194"/>
    <col min="4117" max="4117" width="36.7109375" style="194" customWidth="1"/>
    <col min="4118" max="4118" width="12.7109375" style="194" customWidth="1"/>
    <col min="4119" max="4119" width="12.42578125" style="194" customWidth="1"/>
    <col min="4120" max="4120" width="10.7109375" style="194" customWidth="1"/>
    <col min="4121" max="4121" width="4.7109375" style="194" customWidth="1"/>
    <col min="4122" max="4122" width="36.7109375" style="194" customWidth="1"/>
    <col min="4123" max="4372" width="11.42578125" style="194"/>
    <col min="4373" max="4373" width="36.7109375" style="194" customWidth="1"/>
    <col min="4374" max="4374" width="12.7109375" style="194" customWidth="1"/>
    <col min="4375" max="4375" width="12.42578125" style="194" customWidth="1"/>
    <col min="4376" max="4376" width="10.7109375" style="194" customWidth="1"/>
    <col min="4377" max="4377" width="4.7109375" style="194" customWidth="1"/>
    <col min="4378" max="4378" width="36.7109375" style="194" customWidth="1"/>
    <col min="4379" max="4628" width="11.42578125" style="194"/>
    <col min="4629" max="4629" width="36.7109375" style="194" customWidth="1"/>
    <col min="4630" max="4630" width="12.7109375" style="194" customWidth="1"/>
    <col min="4631" max="4631" width="12.42578125" style="194" customWidth="1"/>
    <col min="4632" max="4632" width="10.7109375" style="194" customWidth="1"/>
    <col min="4633" max="4633" width="4.7109375" style="194" customWidth="1"/>
    <col min="4634" max="4634" width="36.7109375" style="194" customWidth="1"/>
    <col min="4635" max="4884" width="11.42578125" style="194"/>
    <col min="4885" max="4885" width="36.7109375" style="194" customWidth="1"/>
    <col min="4886" max="4886" width="12.7109375" style="194" customWidth="1"/>
    <col min="4887" max="4887" width="12.42578125" style="194" customWidth="1"/>
    <col min="4888" max="4888" width="10.7109375" style="194" customWidth="1"/>
    <col min="4889" max="4889" width="4.7109375" style="194" customWidth="1"/>
    <col min="4890" max="4890" width="36.7109375" style="194" customWidth="1"/>
    <col min="4891" max="5140" width="11.42578125" style="194"/>
    <col min="5141" max="5141" width="36.7109375" style="194" customWidth="1"/>
    <col min="5142" max="5142" width="12.7109375" style="194" customWidth="1"/>
    <col min="5143" max="5143" width="12.42578125" style="194" customWidth="1"/>
    <col min="5144" max="5144" width="10.7109375" style="194" customWidth="1"/>
    <col min="5145" max="5145" width="4.7109375" style="194" customWidth="1"/>
    <col min="5146" max="5146" width="36.7109375" style="194" customWidth="1"/>
    <col min="5147" max="5396" width="11.42578125" style="194"/>
    <col min="5397" max="5397" width="36.7109375" style="194" customWidth="1"/>
    <col min="5398" max="5398" width="12.7109375" style="194" customWidth="1"/>
    <col min="5399" max="5399" width="12.42578125" style="194" customWidth="1"/>
    <col min="5400" max="5400" width="10.7109375" style="194" customWidth="1"/>
    <col min="5401" max="5401" width="4.7109375" style="194" customWidth="1"/>
    <col min="5402" max="5402" width="36.7109375" style="194" customWidth="1"/>
    <col min="5403" max="5652" width="11.42578125" style="194"/>
    <col min="5653" max="5653" width="36.7109375" style="194" customWidth="1"/>
    <col min="5654" max="5654" width="12.7109375" style="194" customWidth="1"/>
    <col min="5655" max="5655" width="12.42578125" style="194" customWidth="1"/>
    <col min="5656" max="5656" width="10.7109375" style="194" customWidth="1"/>
    <col min="5657" max="5657" width="4.7109375" style="194" customWidth="1"/>
    <col min="5658" max="5658" width="36.7109375" style="194" customWidth="1"/>
    <col min="5659" max="5908" width="11.42578125" style="194"/>
    <col min="5909" max="5909" width="36.7109375" style="194" customWidth="1"/>
    <col min="5910" max="5910" width="12.7109375" style="194" customWidth="1"/>
    <col min="5911" max="5911" width="12.42578125" style="194" customWidth="1"/>
    <col min="5912" max="5912" width="10.7109375" style="194" customWidth="1"/>
    <col min="5913" max="5913" width="4.7109375" style="194" customWidth="1"/>
    <col min="5914" max="5914" width="36.7109375" style="194" customWidth="1"/>
    <col min="5915" max="6164" width="11.42578125" style="194"/>
    <col min="6165" max="6165" width="36.7109375" style="194" customWidth="1"/>
    <col min="6166" max="6166" width="12.7109375" style="194" customWidth="1"/>
    <col min="6167" max="6167" width="12.42578125" style="194" customWidth="1"/>
    <col min="6168" max="6168" width="10.7109375" style="194" customWidth="1"/>
    <col min="6169" max="6169" width="4.7109375" style="194" customWidth="1"/>
    <col min="6170" max="6170" width="36.7109375" style="194" customWidth="1"/>
    <col min="6171" max="6420" width="11.42578125" style="194"/>
    <col min="6421" max="6421" width="36.7109375" style="194" customWidth="1"/>
    <col min="6422" max="6422" width="12.7109375" style="194" customWidth="1"/>
    <col min="6423" max="6423" width="12.42578125" style="194" customWidth="1"/>
    <col min="6424" max="6424" width="10.7109375" style="194" customWidth="1"/>
    <col min="6425" max="6425" width="4.7109375" style="194" customWidth="1"/>
    <col min="6426" max="6426" width="36.7109375" style="194" customWidth="1"/>
    <col min="6427" max="6676" width="11.42578125" style="194"/>
    <col min="6677" max="6677" width="36.7109375" style="194" customWidth="1"/>
    <col min="6678" max="6678" width="12.7109375" style="194" customWidth="1"/>
    <col min="6679" max="6679" width="12.42578125" style="194" customWidth="1"/>
    <col min="6680" max="6680" width="10.7109375" style="194" customWidth="1"/>
    <col min="6681" max="6681" width="4.7109375" style="194" customWidth="1"/>
    <col min="6682" max="6682" width="36.7109375" style="194" customWidth="1"/>
    <col min="6683" max="6932" width="11.42578125" style="194"/>
    <col min="6933" max="6933" width="36.7109375" style="194" customWidth="1"/>
    <col min="6934" max="6934" width="12.7109375" style="194" customWidth="1"/>
    <col min="6935" max="6935" width="12.42578125" style="194" customWidth="1"/>
    <col min="6936" max="6936" width="10.7109375" style="194" customWidth="1"/>
    <col min="6937" max="6937" width="4.7109375" style="194" customWidth="1"/>
    <col min="6938" max="6938" width="36.7109375" style="194" customWidth="1"/>
    <col min="6939" max="7188" width="11.42578125" style="194"/>
    <col min="7189" max="7189" width="36.7109375" style="194" customWidth="1"/>
    <col min="7190" max="7190" width="12.7109375" style="194" customWidth="1"/>
    <col min="7191" max="7191" width="12.42578125" style="194" customWidth="1"/>
    <col min="7192" max="7192" width="10.7109375" style="194" customWidth="1"/>
    <col min="7193" max="7193" width="4.7109375" style="194" customWidth="1"/>
    <col min="7194" max="7194" width="36.7109375" style="194" customWidth="1"/>
    <col min="7195" max="7444" width="11.42578125" style="194"/>
    <col min="7445" max="7445" width="36.7109375" style="194" customWidth="1"/>
    <col min="7446" max="7446" width="12.7109375" style="194" customWidth="1"/>
    <col min="7447" max="7447" width="12.42578125" style="194" customWidth="1"/>
    <col min="7448" max="7448" width="10.7109375" style="194" customWidth="1"/>
    <col min="7449" max="7449" width="4.7109375" style="194" customWidth="1"/>
    <col min="7450" max="7450" width="36.7109375" style="194" customWidth="1"/>
    <col min="7451" max="7700" width="11.42578125" style="194"/>
    <col min="7701" max="7701" width="36.7109375" style="194" customWidth="1"/>
    <col min="7702" max="7702" width="12.7109375" style="194" customWidth="1"/>
    <col min="7703" max="7703" width="12.42578125" style="194" customWidth="1"/>
    <col min="7704" max="7704" width="10.7109375" style="194" customWidth="1"/>
    <col min="7705" max="7705" width="4.7109375" style="194" customWidth="1"/>
    <col min="7706" max="7706" width="36.7109375" style="194" customWidth="1"/>
    <col min="7707" max="7956" width="11.42578125" style="194"/>
    <col min="7957" max="7957" width="36.7109375" style="194" customWidth="1"/>
    <col min="7958" max="7958" width="12.7109375" style="194" customWidth="1"/>
    <col min="7959" max="7959" width="12.42578125" style="194" customWidth="1"/>
    <col min="7960" max="7960" width="10.7109375" style="194" customWidth="1"/>
    <col min="7961" max="7961" width="4.7109375" style="194" customWidth="1"/>
    <col min="7962" max="7962" width="36.7109375" style="194" customWidth="1"/>
    <col min="7963" max="8212" width="11.42578125" style="194"/>
    <col min="8213" max="8213" width="36.7109375" style="194" customWidth="1"/>
    <col min="8214" max="8214" width="12.7109375" style="194" customWidth="1"/>
    <col min="8215" max="8215" width="12.42578125" style="194" customWidth="1"/>
    <col min="8216" max="8216" width="10.7109375" style="194" customWidth="1"/>
    <col min="8217" max="8217" width="4.7109375" style="194" customWidth="1"/>
    <col min="8218" max="8218" width="36.7109375" style="194" customWidth="1"/>
    <col min="8219" max="8468" width="11.42578125" style="194"/>
    <col min="8469" max="8469" width="36.7109375" style="194" customWidth="1"/>
    <col min="8470" max="8470" width="12.7109375" style="194" customWidth="1"/>
    <col min="8471" max="8471" width="12.42578125" style="194" customWidth="1"/>
    <col min="8472" max="8472" width="10.7109375" style="194" customWidth="1"/>
    <col min="8473" max="8473" width="4.7109375" style="194" customWidth="1"/>
    <col min="8474" max="8474" width="36.7109375" style="194" customWidth="1"/>
    <col min="8475" max="8724" width="11.42578125" style="194"/>
    <col min="8725" max="8725" width="36.7109375" style="194" customWidth="1"/>
    <col min="8726" max="8726" width="12.7109375" style="194" customWidth="1"/>
    <col min="8727" max="8727" width="12.42578125" style="194" customWidth="1"/>
    <col min="8728" max="8728" width="10.7109375" style="194" customWidth="1"/>
    <col min="8729" max="8729" width="4.7109375" style="194" customWidth="1"/>
    <col min="8730" max="8730" width="36.7109375" style="194" customWidth="1"/>
    <col min="8731" max="8980" width="11.42578125" style="194"/>
    <col min="8981" max="8981" width="36.7109375" style="194" customWidth="1"/>
    <col min="8982" max="8982" width="12.7109375" style="194" customWidth="1"/>
    <col min="8983" max="8983" width="12.42578125" style="194" customWidth="1"/>
    <col min="8984" max="8984" width="10.7109375" style="194" customWidth="1"/>
    <col min="8985" max="8985" width="4.7109375" style="194" customWidth="1"/>
    <col min="8986" max="8986" width="36.7109375" style="194" customWidth="1"/>
    <col min="8987" max="9236" width="11.42578125" style="194"/>
    <col min="9237" max="9237" width="36.7109375" style="194" customWidth="1"/>
    <col min="9238" max="9238" width="12.7109375" style="194" customWidth="1"/>
    <col min="9239" max="9239" width="12.42578125" style="194" customWidth="1"/>
    <col min="9240" max="9240" width="10.7109375" style="194" customWidth="1"/>
    <col min="9241" max="9241" width="4.7109375" style="194" customWidth="1"/>
    <col min="9242" max="9242" width="36.7109375" style="194" customWidth="1"/>
    <col min="9243" max="9492" width="11.42578125" style="194"/>
    <col min="9493" max="9493" width="36.7109375" style="194" customWidth="1"/>
    <col min="9494" max="9494" width="12.7109375" style="194" customWidth="1"/>
    <col min="9495" max="9495" width="12.42578125" style="194" customWidth="1"/>
    <col min="9496" max="9496" width="10.7109375" style="194" customWidth="1"/>
    <col min="9497" max="9497" width="4.7109375" style="194" customWidth="1"/>
    <col min="9498" max="9498" width="36.7109375" style="194" customWidth="1"/>
    <col min="9499" max="9748" width="11.42578125" style="194"/>
    <col min="9749" max="9749" width="36.7109375" style="194" customWidth="1"/>
    <col min="9750" max="9750" width="12.7109375" style="194" customWidth="1"/>
    <col min="9751" max="9751" width="12.42578125" style="194" customWidth="1"/>
    <col min="9752" max="9752" width="10.7109375" style="194" customWidth="1"/>
    <col min="9753" max="9753" width="4.7109375" style="194" customWidth="1"/>
    <col min="9754" max="9754" width="36.7109375" style="194" customWidth="1"/>
    <col min="9755" max="10004" width="11.42578125" style="194"/>
    <col min="10005" max="10005" width="36.7109375" style="194" customWidth="1"/>
    <col min="10006" max="10006" width="12.7109375" style="194" customWidth="1"/>
    <col min="10007" max="10007" width="12.42578125" style="194" customWidth="1"/>
    <col min="10008" max="10008" width="10.7109375" style="194" customWidth="1"/>
    <col min="10009" max="10009" width="4.7109375" style="194" customWidth="1"/>
    <col min="10010" max="10010" width="36.7109375" style="194" customWidth="1"/>
    <col min="10011" max="10260" width="11.42578125" style="194"/>
    <col min="10261" max="10261" width="36.7109375" style="194" customWidth="1"/>
    <col min="10262" max="10262" width="12.7109375" style="194" customWidth="1"/>
    <col min="10263" max="10263" width="12.42578125" style="194" customWidth="1"/>
    <col min="10264" max="10264" width="10.7109375" style="194" customWidth="1"/>
    <col min="10265" max="10265" width="4.7109375" style="194" customWidth="1"/>
    <col min="10266" max="10266" width="36.7109375" style="194" customWidth="1"/>
    <col min="10267" max="10516" width="11.42578125" style="194"/>
    <col min="10517" max="10517" width="36.7109375" style="194" customWidth="1"/>
    <col min="10518" max="10518" width="12.7109375" style="194" customWidth="1"/>
    <col min="10519" max="10519" width="12.42578125" style="194" customWidth="1"/>
    <col min="10520" max="10520" width="10.7109375" style="194" customWidth="1"/>
    <col min="10521" max="10521" width="4.7109375" style="194" customWidth="1"/>
    <col min="10522" max="10522" width="36.7109375" style="194" customWidth="1"/>
    <col min="10523" max="10772" width="11.42578125" style="194"/>
    <col min="10773" max="10773" width="36.7109375" style="194" customWidth="1"/>
    <col min="10774" max="10774" width="12.7109375" style="194" customWidth="1"/>
    <col min="10775" max="10775" width="12.42578125" style="194" customWidth="1"/>
    <col min="10776" max="10776" width="10.7109375" style="194" customWidth="1"/>
    <col min="10777" max="10777" width="4.7109375" style="194" customWidth="1"/>
    <col min="10778" max="10778" width="36.7109375" style="194" customWidth="1"/>
    <col min="10779" max="11028" width="11.42578125" style="194"/>
    <col min="11029" max="11029" width="36.7109375" style="194" customWidth="1"/>
    <col min="11030" max="11030" width="12.7109375" style="194" customWidth="1"/>
    <col min="11031" max="11031" width="12.42578125" style="194" customWidth="1"/>
    <col min="11032" max="11032" width="10.7109375" style="194" customWidth="1"/>
    <col min="11033" max="11033" width="4.7109375" style="194" customWidth="1"/>
    <col min="11034" max="11034" width="36.7109375" style="194" customWidth="1"/>
    <col min="11035" max="11284" width="11.42578125" style="194"/>
    <col min="11285" max="11285" width="36.7109375" style="194" customWidth="1"/>
    <col min="11286" max="11286" width="12.7109375" style="194" customWidth="1"/>
    <col min="11287" max="11287" width="12.42578125" style="194" customWidth="1"/>
    <col min="11288" max="11288" width="10.7109375" style="194" customWidth="1"/>
    <col min="11289" max="11289" width="4.7109375" style="194" customWidth="1"/>
    <col min="11290" max="11290" width="36.7109375" style="194" customWidth="1"/>
    <col min="11291" max="11540" width="11.42578125" style="194"/>
    <col min="11541" max="11541" width="36.7109375" style="194" customWidth="1"/>
    <col min="11542" max="11542" width="12.7109375" style="194" customWidth="1"/>
    <col min="11543" max="11543" width="12.42578125" style="194" customWidth="1"/>
    <col min="11544" max="11544" width="10.7109375" style="194" customWidth="1"/>
    <col min="11545" max="11545" width="4.7109375" style="194" customWidth="1"/>
    <col min="11546" max="11546" width="36.7109375" style="194" customWidth="1"/>
    <col min="11547" max="11796" width="11.42578125" style="194"/>
    <col min="11797" max="11797" width="36.7109375" style="194" customWidth="1"/>
    <col min="11798" max="11798" width="12.7109375" style="194" customWidth="1"/>
    <col min="11799" max="11799" width="12.42578125" style="194" customWidth="1"/>
    <col min="11800" max="11800" width="10.7109375" style="194" customWidth="1"/>
    <col min="11801" max="11801" width="4.7109375" style="194" customWidth="1"/>
    <col min="11802" max="11802" width="36.7109375" style="194" customWidth="1"/>
    <col min="11803" max="12052" width="11.42578125" style="194"/>
    <col min="12053" max="12053" width="36.7109375" style="194" customWidth="1"/>
    <col min="12054" max="12054" width="12.7109375" style="194" customWidth="1"/>
    <col min="12055" max="12055" width="12.42578125" style="194" customWidth="1"/>
    <col min="12056" max="12056" width="10.7109375" style="194" customWidth="1"/>
    <col min="12057" max="12057" width="4.7109375" style="194" customWidth="1"/>
    <col min="12058" max="12058" width="36.7109375" style="194" customWidth="1"/>
    <col min="12059" max="12308" width="11.42578125" style="194"/>
    <col min="12309" max="12309" width="36.7109375" style="194" customWidth="1"/>
    <col min="12310" max="12310" width="12.7109375" style="194" customWidth="1"/>
    <col min="12311" max="12311" width="12.42578125" style="194" customWidth="1"/>
    <col min="12312" max="12312" width="10.7109375" style="194" customWidth="1"/>
    <col min="12313" max="12313" width="4.7109375" style="194" customWidth="1"/>
    <col min="12314" max="12314" width="36.7109375" style="194" customWidth="1"/>
    <col min="12315" max="12564" width="11.42578125" style="194"/>
    <col min="12565" max="12565" width="36.7109375" style="194" customWidth="1"/>
    <col min="12566" max="12566" width="12.7109375" style="194" customWidth="1"/>
    <col min="12567" max="12567" width="12.42578125" style="194" customWidth="1"/>
    <col min="12568" max="12568" width="10.7109375" style="194" customWidth="1"/>
    <col min="12569" max="12569" width="4.7109375" style="194" customWidth="1"/>
    <col min="12570" max="12570" width="36.7109375" style="194" customWidth="1"/>
    <col min="12571" max="12820" width="11.42578125" style="194"/>
    <col min="12821" max="12821" width="36.7109375" style="194" customWidth="1"/>
    <col min="12822" max="12822" width="12.7109375" style="194" customWidth="1"/>
    <col min="12823" max="12823" width="12.42578125" style="194" customWidth="1"/>
    <col min="12824" max="12824" width="10.7109375" style="194" customWidth="1"/>
    <col min="12825" max="12825" width="4.7109375" style="194" customWidth="1"/>
    <col min="12826" max="12826" width="36.7109375" style="194" customWidth="1"/>
    <col min="12827" max="13076" width="11.42578125" style="194"/>
    <col min="13077" max="13077" width="36.7109375" style="194" customWidth="1"/>
    <col min="13078" max="13078" width="12.7109375" style="194" customWidth="1"/>
    <col min="13079" max="13079" width="12.42578125" style="194" customWidth="1"/>
    <col min="13080" max="13080" width="10.7109375" style="194" customWidth="1"/>
    <col min="13081" max="13081" width="4.7109375" style="194" customWidth="1"/>
    <col min="13082" max="13082" width="36.7109375" style="194" customWidth="1"/>
    <col min="13083" max="13332" width="11.42578125" style="194"/>
    <col min="13333" max="13333" width="36.7109375" style="194" customWidth="1"/>
    <col min="13334" max="13334" width="12.7109375" style="194" customWidth="1"/>
    <col min="13335" max="13335" width="12.42578125" style="194" customWidth="1"/>
    <col min="13336" max="13336" width="10.7109375" style="194" customWidth="1"/>
    <col min="13337" max="13337" width="4.7109375" style="194" customWidth="1"/>
    <col min="13338" max="13338" width="36.7109375" style="194" customWidth="1"/>
    <col min="13339" max="13588" width="11.42578125" style="194"/>
    <col min="13589" max="13589" width="36.7109375" style="194" customWidth="1"/>
    <col min="13590" max="13590" width="12.7109375" style="194" customWidth="1"/>
    <col min="13591" max="13591" width="12.42578125" style="194" customWidth="1"/>
    <col min="13592" max="13592" width="10.7109375" style="194" customWidth="1"/>
    <col min="13593" max="13593" width="4.7109375" style="194" customWidth="1"/>
    <col min="13594" max="13594" width="36.7109375" style="194" customWidth="1"/>
    <col min="13595" max="13844" width="11.42578125" style="194"/>
    <col min="13845" max="13845" width="36.7109375" style="194" customWidth="1"/>
    <col min="13846" max="13846" width="12.7109375" style="194" customWidth="1"/>
    <col min="13847" max="13847" width="12.42578125" style="194" customWidth="1"/>
    <col min="13848" max="13848" width="10.7109375" style="194" customWidth="1"/>
    <col min="13849" max="13849" width="4.7109375" style="194" customWidth="1"/>
    <col min="13850" max="13850" width="36.7109375" style="194" customWidth="1"/>
    <col min="13851" max="14100" width="11.42578125" style="194"/>
    <col min="14101" max="14101" width="36.7109375" style="194" customWidth="1"/>
    <col min="14102" max="14102" width="12.7109375" style="194" customWidth="1"/>
    <col min="14103" max="14103" width="12.42578125" style="194" customWidth="1"/>
    <col min="14104" max="14104" width="10.7109375" style="194" customWidth="1"/>
    <col min="14105" max="14105" width="4.7109375" style="194" customWidth="1"/>
    <col min="14106" max="14106" width="36.7109375" style="194" customWidth="1"/>
    <col min="14107" max="14356" width="11.42578125" style="194"/>
    <col min="14357" max="14357" width="36.7109375" style="194" customWidth="1"/>
    <col min="14358" max="14358" width="12.7109375" style="194" customWidth="1"/>
    <col min="14359" max="14359" width="12.42578125" style="194" customWidth="1"/>
    <col min="14360" max="14360" width="10.7109375" style="194" customWidth="1"/>
    <col min="14361" max="14361" width="4.7109375" style="194" customWidth="1"/>
    <col min="14362" max="14362" width="36.7109375" style="194" customWidth="1"/>
    <col min="14363" max="14612" width="11.42578125" style="194"/>
    <col min="14613" max="14613" width="36.7109375" style="194" customWidth="1"/>
    <col min="14614" max="14614" width="12.7109375" style="194" customWidth="1"/>
    <col min="14615" max="14615" width="12.42578125" style="194" customWidth="1"/>
    <col min="14616" max="14616" width="10.7109375" style="194" customWidth="1"/>
    <col min="14617" max="14617" width="4.7109375" style="194" customWidth="1"/>
    <col min="14618" max="14618" width="36.7109375" style="194" customWidth="1"/>
    <col min="14619" max="14868" width="11.42578125" style="194"/>
    <col min="14869" max="14869" width="36.7109375" style="194" customWidth="1"/>
    <col min="14870" max="14870" width="12.7109375" style="194" customWidth="1"/>
    <col min="14871" max="14871" width="12.42578125" style="194" customWidth="1"/>
    <col min="14872" max="14872" width="10.7109375" style="194" customWidth="1"/>
    <col min="14873" max="14873" width="4.7109375" style="194" customWidth="1"/>
    <col min="14874" max="14874" width="36.7109375" style="194" customWidth="1"/>
    <col min="14875" max="15124" width="11.42578125" style="194"/>
    <col min="15125" max="15125" width="36.7109375" style="194" customWidth="1"/>
    <col min="15126" max="15126" width="12.7109375" style="194" customWidth="1"/>
    <col min="15127" max="15127" width="12.42578125" style="194" customWidth="1"/>
    <col min="15128" max="15128" width="10.7109375" style="194" customWidth="1"/>
    <col min="15129" max="15129" width="4.7109375" style="194" customWidth="1"/>
    <col min="15130" max="15130" width="36.7109375" style="194" customWidth="1"/>
    <col min="15131" max="15380" width="11.42578125" style="194"/>
    <col min="15381" max="15381" width="36.7109375" style="194" customWidth="1"/>
    <col min="15382" max="15382" width="12.7109375" style="194" customWidth="1"/>
    <col min="15383" max="15383" width="12.42578125" style="194" customWidth="1"/>
    <col min="15384" max="15384" width="10.7109375" style="194" customWidth="1"/>
    <col min="15385" max="15385" width="4.7109375" style="194" customWidth="1"/>
    <col min="15386" max="15386" width="36.7109375" style="194" customWidth="1"/>
    <col min="15387" max="15636" width="11.42578125" style="194"/>
    <col min="15637" max="15637" width="36.7109375" style="194" customWidth="1"/>
    <col min="15638" max="15638" width="12.7109375" style="194" customWidth="1"/>
    <col min="15639" max="15639" width="12.42578125" style="194" customWidth="1"/>
    <col min="15640" max="15640" width="10.7109375" style="194" customWidth="1"/>
    <col min="15641" max="15641" width="4.7109375" style="194" customWidth="1"/>
    <col min="15642" max="15642" width="36.7109375" style="194" customWidth="1"/>
    <col min="15643" max="15892" width="11.42578125" style="194"/>
    <col min="15893" max="15893" width="36.7109375" style="194" customWidth="1"/>
    <col min="15894" max="15894" width="12.7109375" style="194" customWidth="1"/>
    <col min="15895" max="15895" width="12.42578125" style="194" customWidth="1"/>
    <col min="15896" max="15896" width="10.7109375" style="194" customWidth="1"/>
    <col min="15897" max="15897" width="4.7109375" style="194" customWidth="1"/>
    <col min="15898" max="15898" width="36.7109375" style="194" customWidth="1"/>
    <col min="15899" max="16148" width="11.42578125" style="194"/>
    <col min="16149" max="16149" width="36.7109375" style="194" customWidth="1"/>
    <col min="16150" max="16150" width="12.7109375" style="194" customWidth="1"/>
    <col min="16151" max="16151" width="12.42578125" style="194" customWidth="1"/>
    <col min="16152" max="16152" width="10.7109375" style="194" customWidth="1"/>
    <col min="16153" max="16153" width="4.7109375" style="194" customWidth="1"/>
    <col min="16154" max="16154" width="36.7109375" style="194" customWidth="1"/>
    <col min="16155" max="16384" width="11.42578125" style="194"/>
  </cols>
  <sheetData>
    <row r="5" spans="2:49" ht="15.75" customHeight="1">
      <c r="B5" s="193" t="s">
        <v>154</v>
      </c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2:49" s="201" customFormat="1" ht="25.5">
      <c r="B6" s="195" t="s">
        <v>155</v>
      </c>
      <c r="C6" s="196" t="s">
        <v>156</v>
      </c>
      <c r="D6" s="196" t="s">
        <v>157</v>
      </c>
      <c r="E6" s="196" t="s">
        <v>158</v>
      </c>
      <c r="F6" s="196" t="s">
        <v>157</v>
      </c>
      <c r="G6" s="196" t="s">
        <v>159</v>
      </c>
      <c r="H6" s="196" t="s">
        <v>157</v>
      </c>
      <c r="I6" s="196" t="s">
        <v>160</v>
      </c>
      <c r="J6" s="196" t="s">
        <v>157</v>
      </c>
      <c r="K6" s="197" t="s">
        <v>161</v>
      </c>
      <c r="L6" s="196" t="s">
        <v>157</v>
      </c>
      <c r="M6" s="197" t="s">
        <v>162</v>
      </c>
      <c r="N6" s="196" t="s">
        <v>157</v>
      </c>
      <c r="O6" s="197" t="s">
        <v>163</v>
      </c>
      <c r="P6" s="196" t="s">
        <v>157</v>
      </c>
      <c r="Q6" s="197" t="s">
        <v>164</v>
      </c>
      <c r="R6" s="196" t="s">
        <v>157</v>
      </c>
      <c r="S6" s="196" t="s">
        <v>165</v>
      </c>
      <c r="T6" s="196" t="s">
        <v>157</v>
      </c>
      <c r="U6" s="198" t="s">
        <v>166</v>
      </c>
      <c r="V6" s="196" t="s">
        <v>157</v>
      </c>
      <c r="W6" s="198" t="s">
        <v>167</v>
      </c>
      <c r="X6" s="196" t="s">
        <v>157</v>
      </c>
      <c r="Y6" s="198" t="s">
        <v>168</v>
      </c>
      <c r="Z6" s="196" t="s">
        <v>157</v>
      </c>
      <c r="AA6" s="198" t="s">
        <v>169</v>
      </c>
      <c r="AB6" s="196" t="s">
        <v>157</v>
      </c>
      <c r="AC6" s="196" t="s">
        <v>170</v>
      </c>
      <c r="AD6" s="196" t="s">
        <v>157</v>
      </c>
      <c r="AE6" s="196" t="s">
        <v>171</v>
      </c>
      <c r="AF6" s="196" t="s">
        <v>157</v>
      </c>
      <c r="AG6" s="196" t="s">
        <v>172</v>
      </c>
      <c r="AH6" s="196" t="s">
        <v>157</v>
      </c>
      <c r="AI6" s="199" t="s">
        <v>173</v>
      </c>
      <c r="AJ6" s="196" t="s">
        <v>157</v>
      </c>
      <c r="AK6" s="199" t="s">
        <v>174</v>
      </c>
      <c r="AL6" s="196" t="s">
        <v>157</v>
      </c>
      <c r="AM6" s="199" t="s">
        <v>175</v>
      </c>
      <c r="AN6" s="196" t="s">
        <v>157</v>
      </c>
      <c r="AO6" s="199" t="s">
        <v>176</v>
      </c>
      <c r="AP6" s="196" t="s">
        <v>157</v>
      </c>
      <c r="AQ6" s="199" t="s">
        <v>177</v>
      </c>
      <c r="AR6" s="196" t="s">
        <v>157</v>
      </c>
      <c r="AS6" s="199" t="s">
        <v>178</v>
      </c>
      <c r="AT6" s="196" t="s">
        <v>157</v>
      </c>
      <c r="AU6" s="195" t="s">
        <v>105</v>
      </c>
      <c r="AV6" s="200" t="s">
        <v>157</v>
      </c>
      <c r="AW6"/>
    </row>
    <row r="7" spans="2:49" hidden="1">
      <c r="B7" s="51" t="s">
        <v>38</v>
      </c>
      <c r="C7" s="202" t="str">
        <f>IFERROR(GETPIVOTDATA("dato",'[1]evolucion mensual nacionali'!$A$4,"indicador","España","mes",12,"año",2010),"-")</f>
        <v>-</v>
      </c>
      <c r="D7" s="203" t="str">
        <f t="shared" ref="D7:D18" si="0">IFERROR(C7/C20-1,"-")</f>
        <v>-</v>
      </c>
      <c r="E7" s="202" t="str">
        <f>IFERROR(GETPIVOTDATA("dato",'[1]evolucion mensual nacionali'!$A$4,"indicador","HOLANDA","mes",12,"año",2010),"-")</f>
        <v>-</v>
      </c>
      <c r="F7" s="203" t="str">
        <f t="shared" ref="F7:F18" si="1">IFERROR(E7/E20-1,"-")</f>
        <v>-</v>
      </c>
      <c r="G7" s="202" t="str">
        <f>IFERROR(GETPIVOTDATA("dato",'[1]evolucion mensual nacionali'!$A$4,"indicador","BÉLGICA","mes",12,"año",2010),"-")</f>
        <v>-</v>
      </c>
      <c r="H7" s="203" t="str">
        <f t="shared" ref="H7:H18" si="2">IFERROR(G7/G20-1,"-")</f>
        <v>-</v>
      </c>
      <c r="I7" s="202" t="str">
        <f>IFERROR(GETPIVOTDATA("dato",'[1]evolucion mensual nacionali'!$A$4,"indicador","ALEMANIA","mes",12,"año",2010),"-")</f>
        <v>-</v>
      </c>
      <c r="J7" s="203" t="str">
        <f t="shared" ref="J7:J18" si="3">IFERROR(I7/I20-1,"-")</f>
        <v>-</v>
      </c>
      <c r="K7" s="202" t="str">
        <f>IFERROR(GETPIVOTDATA("dato",'[1]evolucion mensual nacionali'!$A$4,"indicador","FRANCIA","mes",12,"año",2010),"-")</f>
        <v>-</v>
      </c>
      <c r="L7" s="203" t="str">
        <f t="shared" ref="L7:L18" si="4">IFERROR(K7/K20-1,"-")</f>
        <v>-</v>
      </c>
      <c r="M7" s="202" t="str">
        <f>IFERROR(GETPIVOTDATA("dato",'[1]evolucion mensual nacionali'!$A$4,"indicador","REINO UNIDO","mes",12,"año",2010),"-")</f>
        <v>-</v>
      </c>
      <c r="N7" s="203" t="str">
        <f t="shared" ref="N7:N18" si="5">IFERROR(M7/M20-1,"-")</f>
        <v>-</v>
      </c>
      <c r="O7" s="202" t="str">
        <f>IFERROR(GETPIVOTDATA("dato",'[1]evolucion mensual nacionali'!$A$4,"indicador","IRLANDA","mes",12,"año",2010),"-")</f>
        <v>-</v>
      </c>
      <c r="P7" s="203" t="str">
        <f t="shared" ref="P7:P18" si="6">IFERROR(O7/O20-1,"-")</f>
        <v>-</v>
      </c>
      <c r="Q7" s="202" t="str">
        <f>IFERROR(GETPIVOTDATA("dato",'[1]evolucion mensual nacionali'!$A$4,"indicador","ITALIA","mes",12,"año",2010),"-")</f>
        <v>-</v>
      </c>
      <c r="R7" s="203" t="str">
        <f t="shared" ref="R7:R18" si="7">IFERROR(Q7/Q20-1,"-")</f>
        <v>-</v>
      </c>
      <c r="S7" s="202" t="e">
        <f>U7+W7+Y7+AA7</f>
        <v>#VALUE!</v>
      </c>
      <c r="T7" s="203" t="str">
        <f t="shared" ref="T7:T18" si="8">IFERROR(S7/S20-1,"-")</f>
        <v>-</v>
      </c>
      <c r="U7" s="202" t="str">
        <f>IFERROR(GETPIVOTDATA("dato",'[1]evolucion mensual nacionali'!$A$4,"indicador","SUECIA","mes",12,"año",2010),"-")</f>
        <v>-</v>
      </c>
      <c r="V7" s="203" t="str">
        <f t="shared" ref="V7:V18" si="9">IFERROR(U7/U20-1,"-")</f>
        <v>-</v>
      </c>
      <c r="W7" s="202" t="str">
        <f>IFERROR(GETPIVOTDATA("dato",'[1]evolucion mensual nacionali'!$A$4,"indicador","NORUEGA","mes",12,"año",2010),"-")</f>
        <v>-</v>
      </c>
      <c r="X7" s="203" t="str">
        <f t="shared" ref="X7:X18" si="10">IFERROR(W7/W20-1,"-")</f>
        <v>-</v>
      </c>
      <c r="Y7" s="202" t="str">
        <f>IFERROR(GETPIVOTDATA("dato",'[1]evolucion mensual nacionali'!$A$4,"indicador","DINAMARCA","mes",12,"año",2010),"-")</f>
        <v>-</v>
      </c>
      <c r="Z7" s="203" t="str">
        <f t="shared" ref="Z7:Z18" si="11">IFERROR(Y7/Y20-1,"-")</f>
        <v>-</v>
      </c>
      <c r="AA7" s="202" t="str">
        <f>IFERROR(GETPIVOTDATA("dato",'[1]evolucion mensual nacionali'!$A$4,"indicador","FINLANDIA","mes",12,"año",2010),"-")</f>
        <v>-</v>
      </c>
      <c r="AB7" s="203" t="str">
        <f t="shared" ref="AB7:AB18" si="12">IFERROR(AA7/AA20-1,"-")</f>
        <v>-</v>
      </c>
      <c r="AC7" s="202" t="str">
        <f>IFERROR(GETPIVOTDATA("dato",'[1]evolucion mensual nacionali'!$A$4,"indicador","SUIZA","mes",12,"año",2010),"-")</f>
        <v>-</v>
      </c>
      <c r="AD7" s="203" t="str">
        <f t="shared" ref="AD7:AD18" si="13">IFERROR(AC7/AC20-1,"-")</f>
        <v>-</v>
      </c>
      <c r="AE7" s="202" t="str">
        <f>IFERROR(GETPIVOTDATA("dato",'[1]evolucion mensual nacionali'!$A$4,"indicador","AUSTRIA","mes",12,"año",2010),"-")</f>
        <v>-</v>
      </c>
      <c r="AF7" s="203" t="str">
        <f t="shared" ref="AF7:AF18" si="14">IFERROR(AE7/AE20-1,"-")</f>
        <v>-</v>
      </c>
      <c r="AG7" s="202" t="str">
        <f>IFERROR(GETPIVOTDATA("dato",'[1]evolucion mensual nacionali'!$A$4,"indicador","RUSIA","mes",12,"año",2010),"-")</f>
        <v>-</v>
      </c>
      <c r="AH7" s="203" t="str">
        <f t="shared" ref="AH7:AH18" si="15">IFERROR(AG7/AG20-1,"-")</f>
        <v>-</v>
      </c>
      <c r="AI7" s="202" t="str">
        <f>IFERROR(GETPIVOTDATA("dato",'[1]evolucion mensual nacionali'!$A$4,"indicador","PAÍSES DEL ESTE","mes",12,"año",2010),"-")</f>
        <v>-</v>
      </c>
      <c r="AJ7" s="203" t="str">
        <f t="shared" ref="AJ7:AJ18" si="16">IFERROR(AI7/AI20-1,"-")</f>
        <v>-</v>
      </c>
      <c r="AK7" s="202" t="str">
        <f>IFERROR(GETPIVOTDATA("dato",'[1]evolucion mensual nacionali'!$A$4,"indicador","RESTO DE EUROPA","mes",12,"año",2010),"-")</f>
        <v>-</v>
      </c>
      <c r="AL7" s="203" t="str">
        <f t="shared" ref="AL7:AL18" si="17">IFERROR(AK7/AK20-1,"-")</f>
        <v>-</v>
      </c>
      <c r="AM7" s="202" t="str">
        <f>IFERROR(GETPIVOTDATA("dato",'[1]evolucion mensual nacionali'!$A$4,"indicador","USA","mes",12,"año",2010),"-")</f>
        <v>-</v>
      </c>
      <c r="AN7" s="203" t="str">
        <f t="shared" ref="AN7:AN18" si="18">IFERROR(AM7/AM20-1,"-")</f>
        <v>-</v>
      </c>
      <c r="AO7" s="202" t="str">
        <f>IFERROR(GETPIVOTDATA("dato",'[1]evolucion mensual nacionali'!$A$4,"indicador","RESTO DE AMÉRICA","mes",12,"año",2010),"-")</f>
        <v>-</v>
      </c>
      <c r="AP7" s="203" t="str">
        <f t="shared" ref="AP7:AP18" si="19">IFERROR(AO7/AO20-1,"-")</f>
        <v>-</v>
      </c>
      <c r="AQ7" s="202" t="str">
        <f>IFERROR(GETPIVOTDATA("dato",'[1]evolucion mensual nacionali'!$A$4,"indicador","RESTO DEL MUNDO","mes",12,"año",2010),"-")</f>
        <v>-</v>
      </c>
      <c r="AR7" s="203" t="str">
        <f t="shared" ref="AR7:AR18" si="20">IFERROR(AQ7/AQ20-1,"-")</f>
        <v>-</v>
      </c>
      <c r="AS7" s="202" t="e">
        <f>AU7-C7</f>
        <v>#VALUE!</v>
      </c>
      <c r="AT7" s="203" t="str">
        <f t="shared" ref="AT7:AT18" si="21">IFERROR(AS7/AS20-1,"-")</f>
        <v>-</v>
      </c>
      <c r="AU7" s="204" t="str">
        <f>IFERROR(GETPIVOTDATA("dato",'[1]evolucion mensual nacionali'!$A$4,"indicador","TOTAL","mes",12,"año",2010),"-")</f>
        <v>-</v>
      </c>
      <c r="AV7" s="205" t="str">
        <f t="shared" ref="AV7:AV18" si="22">IFERROR(AU7/AU20-1,"-")</f>
        <v>-</v>
      </c>
    </row>
    <row r="8" spans="2:49" hidden="1">
      <c r="B8" s="51" t="s">
        <v>39</v>
      </c>
      <c r="C8" s="202" t="str">
        <f>IFERROR(GETPIVOTDATA("dato",'[1]evolucion mensual nacionali'!$A$4,"indicador","España","mes",11,"año",2010),"-")</f>
        <v>-</v>
      </c>
      <c r="D8" s="203" t="str">
        <f t="shared" si="0"/>
        <v>-</v>
      </c>
      <c r="E8" s="202" t="str">
        <f>IFERROR(GETPIVOTDATA("dato",'[1]evolucion mensual nacionali'!$A$4,"indicador","HOLANDA","mes",11,"año",2010),"-")</f>
        <v>-</v>
      </c>
      <c r="F8" s="203" t="str">
        <f t="shared" si="1"/>
        <v>-</v>
      </c>
      <c r="G8" s="202" t="str">
        <f>IFERROR(GETPIVOTDATA("dato",'[1]evolucion mensual nacionali'!$A$4,"indicador","BÉLGICA","mes",11,"año",2010),"-")</f>
        <v>-</v>
      </c>
      <c r="H8" s="203" t="str">
        <f t="shared" si="2"/>
        <v>-</v>
      </c>
      <c r="I8" s="202" t="str">
        <f>IFERROR(GETPIVOTDATA("dato",'[1]evolucion mensual nacionali'!$A$4,"indicador","ALEMANIA","mes",11,"año",2010),"-")</f>
        <v>-</v>
      </c>
      <c r="J8" s="203" t="str">
        <f t="shared" si="3"/>
        <v>-</v>
      </c>
      <c r="K8" s="202" t="str">
        <f>IFERROR(GETPIVOTDATA("dato",'[1]evolucion mensual nacionali'!$A$4,"indicador","FRANCIA","mes",11,"año",2010),"-")</f>
        <v>-</v>
      </c>
      <c r="L8" s="203" t="str">
        <f t="shared" si="4"/>
        <v>-</v>
      </c>
      <c r="M8" s="202" t="str">
        <f>IFERROR(GETPIVOTDATA("dato",'[1]evolucion mensual nacionali'!$A$4,"indicador","REINO UNIDO","mes",11,"año",2010),"-")</f>
        <v>-</v>
      </c>
      <c r="N8" s="203" t="str">
        <f t="shared" si="5"/>
        <v>-</v>
      </c>
      <c r="O8" s="202" t="str">
        <f>IFERROR(GETPIVOTDATA("dato",'[1]evolucion mensual nacionali'!$A$4,"indicador","IRLANDA","mes",11,"año",2010),"-")</f>
        <v>-</v>
      </c>
      <c r="P8" s="203" t="str">
        <f t="shared" si="6"/>
        <v>-</v>
      </c>
      <c r="Q8" s="202" t="str">
        <f>IFERROR(GETPIVOTDATA("dato",'[1]evolucion mensual nacionali'!$A$4,"indicador","ITALIA","mes",11,"año",2010),"-")</f>
        <v>-</v>
      </c>
      <c r="R8" s="203" t="str">
        <f t="shared" si="7"/>
        <v>-</v>
      </c>
      <c r="S8" s="202" t="e">
        <f t="shared" ref="S8:S19" si="23">U8+W8+Y8+AA8</f>
        <v>#VALUE!</v>
      </c>
      <c r="T8" s="203" t="str">
        <f t="shared" si="8"/>
        <v>-</v>
      </c>
      <c r="U8" s="202" t="str">
        <f>IFERROR(GETPIVOTDATA("dato",'[1]evolucion mensual nacionali'!$A$4,"indicador","SUECIA","mes",11,"año",2010),"-")</f>
        <v>-</v>
      </c>
      <c r="V8" s="203" t="str">
        <f t="shared" si="9"/>
        <v>-</v>
      </c>
      <c r="W8" s="202" t="str">
        <f>IFERROR(GETPIVOTDATA("dato",'[1]evolucion mensual nacionali'!$A$4,"indicador","NORUEGA","mes",11,"año",2010),"-")</f>
        <v>-</v>
      </c>
      <c r="X8" s="203" t="str">
        <f t="shared" si="10"/>
        <v>-</v>
      </c>
      <c r="Y8" s="202" t="str">
        <f>IFERROR(GETPIVOTDATA("dato",'[1]evolucion mensual nacionali'!$A$4,"indicador","DINAMARCA","mes",11,"año",2010),"-")</f>
        <v>-</v>
      </c>
      <c r="Z8" s="203" t="str">
        <f t="shared" si="11"/>
        <v>-</v>
      </c>
      <c r="AA8" s="202" t="str">
        <f>IFERROR(GETPIVOTDATA("dato",'[1]evolucion mensual nacionali'!$A$4,"indicador","FINLANDIA","mes",11,"año",2010),"-")</f>
        <v>-</v>
      </c>
      <c r="AB8" s="203" t="str">
        <f t="shared" si="12"/>
        <v>-</v>
      </c>
      <c r="AC8" s="202" t="str">
        <f>IFERROR(GETPIVOTDATA("dato",'[1]evolucion mensual nacionali'!$A$4,"indicador","SUIZA","mes",11,"año",2010),"-")</f>
        <v>-</v>
      </c>
      <c r="AD8" s="203" t="str">
        <f t="shared" si="13"/>
        <v>-</v>
      </c>
      <c r="AE8" s="202" t="str">
        <f>IFERROR(GETPIVOTDATA("dato",'[1]evolucion mensual nacionali'!$A$4,"indicador","AUSTRIA","mes",11,"año",2010),"-")</f>
        <v>-</v>
      </c>
      <c r="AF8" s="203" t="str">
        <f t="shared" si="14"/>
        <v>-</v>
      </c>
      <c r="AG8" s="202" t="str">
        <f>IFERROR(GETPIVOTDATA("dato",'[1]evolucion mensual nacionali'!$A$4,"indicador","RUSIA","mes",11,"año",2010),"-")</f>
        <v>-</v>
      </c>
      <c r="AH8" s="203" t="str">
        <f t="shared" si="15"/>
        <v>-</v>
      </c>
      <c r="AI8" s="202" t="str">
        <f>IFERROR(GETPIVOTDATA("dato",'[1]evolucion mensual nacionali'!$A$4,"indicador","PAÍSES DEL ESTE","mes",11,"año",2010),"-")</f>
        <v>-</v>
      </c>
      <c r="AJ8" s="203" t="str">
        <f t="shared" si="16"/>
        <v>-</v>
      </c>
      <c r="AK8" s="202" t="str">
        <f>IFERROR(GETPIVOTDATA("dato",'[1]evolucion mensual nacionali'!$A$4,"indicador","RESTO DE EUROPA","mes",11,"año",2010),"-")</f>
        <v>-</v>
      </c>
      <c r="AL8" s="203" t="str">
        <f t="shared" si="17"/>
        <v>-</v>
      </c>
      <c r="AM8" s="202" t="str">
        <f>IFERROR(GETPIVOTDATA("dato",'[1]evolucion mensual nacionali'!$A$4,"indicador","USA","mes",11,"año",2010),"-")</f>
        <v>-</v>
      </c>
      <c r="AN8" s="203" t="str">
        <f t="shared" si="18"/>
        <v>-</v>
      </c>
      <c r="AO8" s="202" t="str">
        <f>IFERROR(GETPIVOTDATA("dato",'[1]evolucion mensual nacionali'!$A$4,"indicador","RESTO DE AMÉRICA","mes",11,"año",2010),"-")</f>
        <v>-</v>
      </c>
      <c r="AP8" s="203" t="str">
        <f t="shared" si="19"/>
        <v>-</v>
      </c>
      <c r="AQ8" s="202" t="str">
        <f>IFERROR(GETPIVOTDATA("dato",'[1]evolucion mensual nacionali'!$A$4,"indicador","RESTO DEL MUNDO","mes",11,"año",2010),"-")</f>
        <v>-</v>
      </c>
      <c r="AR8" s="203" t="str">
        <f t="shared" si="20"/>
        <v>-</v>
      </c>
      <c r="AS8" s="202" t="e">
        <f t="shared" ref="AS8:AS19" si="24">AU8-C8</f>
        <v>#VALUE!</v>
      </c>
      <c r="AT8" s="203" t="str">
        <f t="shared" si="21"/>
        <v>-</v>
      </c>
      <c r="AU8" s="204" t="str">
        <f>IFERROR(GETPIVOTDATA("dato",'[1]evolucion mensual nacionali'!$A$4,"indicador","TOTAL","mes",11,"año",2010),"-")</f>
        <v>-</v>
      </c>
      <c r="AV8" s="205" t="str">
        <f t="shared" si="22"/>
        <v>-</v>
      </c>
    </row>
    <row r="9" spans="2:49" hidden="1">
      <c r="B9" s="51" t="s">
        <v>40</v>
      </c>
      <c r="C9" s="202" t="str">
        <f>IFERROR(GETPIVOTDATA("dato",'[1]evolucion mensual nacionali'!$A$4,"indicador","España","mes",10,"año",2010),"-")</f>
        <v>-</v>
      </c>
      <c r="D9" s="203" t="str">
        <f t="shared" si="0"/>
        <v>-</v>
      </c>
      <c r="E9" s="202" t="str">
        <f>IFERROR(GETPIVOTDATA("dato",'[1]evolucion mensual nacionali'!$A$4,"indicador","HOLANDA","mes",10,"año",2010),"-")</f>
        <v>-</v>
      </c>
      <c r="F9" s="203" t="str">
        <f t="shared" si="1"/>
        <v>-</v>
      </c>
      <c r="G9" s="202" t="str">
        <f>IFERROR(GETPIVOTDATA("dato",'[1]evolucion mensual nacionali'!$A$4,"indicador","BÉLGICA","mes",10,"año",2010),"-")</f>
        <v>-</v>
      </c>
      <c r="H9" s="203" t="str">
        <f t="shared" si="2"/>
        <v>-</v>
      </c>
      <c r="I9" s="202" t="str">
        <f>IFERROR(GETPIVOTDATA("dato",'[1]evolucion mensual nacionali'!$A$4,"indicador","ALEMANIA","mes",10,"año",2010),"-")</f>
        <v>-</v>
      </c>
      <c r="J9" s="203" t="str">
        <f t="shared" si="3"/>
        <v>-</v>
      </c>
      <c r="K9" s="202" t="str">
        <f>IFERROR(GETPIVOTDATA("dato",'[1]evolucion mensual nacionali'!$A$4,"indicador","FRANCIA","mes",10,"año",2010),"-")</f>
        <v>-</v>
      </c>
      <c r="L9" s="203" t="str">
        <f t="shared" si="4"/>
        <v>-</v>
      </c>
      <c r="M9" s="202" t="str">
        <f>IFERROR(GETPIVOTDATA("dato",'[1]evolucion mensual nacionali'!$A$4,"indicador","REINO UNIDO","mes",10,"año",2010),"-")</f>
        <v>-</v>
      </c>
      <c r="N9" s="203" t="str">
        <f t="shared" si="5"/>
        <v>-</v>
      </c>
      <c r="O9" s="202" t="str">
        <f>IFERROR(GETPIVOTDATA("dato",'[1]evolucion mensual nacionali'!$A$4,"indicador","IRLANDA","mes",10,"año",2010),"-")</f>
        <v>-</v>
      </c>
      <c r="P9" s="203" t="str">
        <f t="shared" si="6"/>
        <v>-</v>
      </c>
      <c r="Q9" s="202" t="str">
        <f>IFERROR(GETPIVOTDATA("dato",'[1]evolucion mensual nacionali'!$A$4,"indicador","ITALIA","mes",10,"año",2010),"-")</f>
        <v>-</v>
      </c>
      <c r="R9" s="203" t="str">
        <f t="shared" si="7"/>
        <v>-</v>
      </c>
      <c r="S9" s="202" t="e">
        <f t="shared" si="23"/>
        <v>#VALUE!</v>
      </c>
      <c r="T9" s="203" t="str">
        <f t="shared" si="8"/>
        <v>-</v>
      </c>
      <c r="U9" s="202" t="str">
        <f>IFERROR(GETPIVOTDATA("dato",'[1]evolucion mensual nacionali'!$A$4,"indicador","SUECIA","mes",10,"año",2010),"-")</f>
        <v>-</v>
      </c>
      <c r="V9" s="203" t="str">
        <f t="shared" si="9"/>
        <v>-</v>
      </c>
      <c r="W9" s="202" t="str">
        <f>IFERROR(GETPIVOTDATA("dato",'[1]evolucion mensual nacionali'!$A$4,"indicador","NORUEGA","mes",10,"año",2010),"-")</f>
        <v>-</v>
      </c>
      <c r="X9" s="203" t="str">
        <f t="shared" si="10"/>
        <v>-</v>
      </c>
      <c r="Y9" s="202" t="str">
        <f>IFERROR(GETPIVOTDATA("dato",'[1]evolucion mensual nacionali'!$A$4,"indicador","DINAMARCA","mes",10,"año",2010),"-")</f>
        <v>-</v>
      </c>
      <c r="Z9" s="203" t="str">
        <f t="shared" si="11"/>
        <v>-</v>
      </c>
      <c r="AA9" s="202" t="str">
        <f>IFERROR(GETPIVOTDATA("dato",'[1]evolucion mensual nacionali'!$A$4,"indicador","FINLANDIA","mes",10,"año",2010),"-")</f>
        <v>-</v>
      </c>
      <c r="AB9" s="203" t="str">
        <f t="shared" si="12"/>
        <v>-</v>
      </c>
      <c r="AC9" s="202" t="str">
        <f>IFERROR(GETPIVOTDATA("dato",'[1]evolucion mensual nacionali'!$A$4,"indicador","SUIZA","mes",10,"año",2010),"-")</f>
        <v>-</v>
      </c>
      <c r="AD9" s="203" t="str">
        <f t="shared" si="13"/>
        <v>-</v>
      </c>
      <c r="AE9" s="202" t="str">
        <f>IFERROR(GETPIVOTDATA("dato",'[1]evolucion mensual nacionali'!$A$4,"indicador","AUSTRIA","mes",10,"año",2010),"-")</f>
        <v>-</v>
      </c>
      <c r="AF9" s="203" t="str">
        <f t="shared" si="14"/>
        <v>-</v>
      </c>
      <c r="AG9" s="202" t="str">
        <f>IFERROR(GETPIVOTDATA("dato",'[1]evolucion mensual nacionali'!$A$4,"indicador","RUSIA","mes",10,"año",2010),"-")</f>
        <v>-</v>
      </c>
      <c r="AH9" s="203" t="str">
        <f t="shared" si="15"/>
        <v>-</v>
      </c>
      <c r="AI9" s="202" t="str">
        <f>IFERROR(GETPIVOTDATA("dato",'[1]evolucion mensual nacionali'!$A$4,"indicador","PAÍSES DEL ESTE","mes",10,"año",2010),"-")</f>
        <v>-</v>
      </c>
      <c r="AJ9" s="203" t="str">
        <f t="shared" si="16"/>
        <v>-</v>
      </c>
      <c r="AK9" s="202" t="str">
        <f>IFERROR(GETPIVOTDATA("dato",'[1]evolucion mensual nacionali'!$A$4,"indicador","RESTO DE EUROPA","mes",10,"año",2010),"-")</f>
        <v>-</v>
      </c>
      <c r="AL9" s="203" t="str">
        <f t="shared" si="17"/>
        <v>-</v>
      </c>
      <c r="AM9" s="202" t="str">
        <f>IFERROR(GETPIVOTDATA("dato",'[1]evolucion mensual nacionali'!$A$4,"indicador","USA","mes",10,"año",2010),"-")</f>
        <v>-</v>
      </c>
      <c r="AN9" s="203" t="str">
        <f t="shared" si="18"/>
        <v>-</v>
      </c>
      <c r="AO9" s="202" t="str">
        <f>IFERROR(GETPIVOTDATA("dato",'[1]evolucion mensual nacionali'!$A$4,"indicador","RESTO DE AMÉRICA","mes",10,"año",2010),"-")</f>
        <v>-</v>
      </c>
      <c r="AP9" s="203" t="str">
        <f t="shared" si="19"/>
        <v>-</v>
      </c>
      <c r="AQ9" s="202" t="str">
        <f>IFERROR(GETPIVOTDATA("dato",'[1]evolucion mensual nacionali'!$A$4,"indicador","RESTO DEL MUNDO","mes",10,"año",2010),"-")</f>
        <v>-</v>
      </c>
      <c r="AR9" s="203" t="str">
        <f t="shared" si="20"/>
        <v>-</v>
      </c>
      <c r="AS9" s="202" t="e">
        <f t="shared" si="24"/>
        <v>#VALUE!</v>
      </c>
      <c r="AT9" s="203" t="str">
        <f t="shared" si="21"/>
        <v>-</v>
      </c>
      <c r="AU9" s="204" t="str">
        <f>IFERROR(GETPIVOTDATA("dato",'[1]evolucion mensual nacionali'!$A$4,"indicador","TOTAL","mes",10,"año",2010),"-")</f>
        <v>-</v>
      </c>
      <c r="AV9" s="205" t="str">
        <f t="shared" si="22"/>
        <v>-</v>
      </c>
    </row>
    <row r="10" spans="2:49" hidden="1">
      <c r="B10" s="51" t="s">
        <v>41</v>
      </c>
      <c r="C10" s="202" t="str">
        <f>IFERROR(GETPIVOTDATA("dato",'[1]evolucion mensual nacionali'!$A$4,"indicador","España","mes",9,"año",2010),"-")</f>
        <v>-</v>
      </c>
      <c r="D10" s="203" t="str">
        <f t="shared" si="0"/>
        <v>-</v>
      </c>
      <c r="E10" s="202" t="str">
        <f>IFERROR(GETPIVOTDATA("dato",'[1]evolucion mensual nacionali'!$A$4,"indicador","HOLANDA","mes",9,"año",2010),"-")</f>
        <v>-</v>
      </c>
      <c r="F10" s="203" t="str">
        <f t="shared" si="1"/>
        <v>-</v>
      </c>
      <c r="G10" s="202" t="str">
        <f>IFERROR(GETPIVOTDATA("dato",'[1]evolucion mensual nacionali'!$A$4,"indicador","BÉLGICA","mes",9,"año",2010),"-")</f>
        <v>-</v>
      </c>
      <c r="H10" s="203" t="str">
        <f t="shared" si="2"/>
        <v>-</v>
      </c>
      <c r="I10" s="202" t="str">
        <f>IFERROR(GETPIVOTDATA("dato",'[1]evolucion mensual nacionali'!$A$4,"indicador","ALEMANIA","mes",9,"año",2010),"-")</f>
        <v>-</v>
      </c>
      <c r="J10" s="203" t="str">
        <f t="shared" si="3"/>
        <v>-</v>
      </c>
      <c r="K10" s="202" t="str">
        <f>IFERROR(GETPIVOTDATA("dato",'[1]evolucion mensual nacionali'!$A$4,"indicador","FRANCIA","mes",9,"año",2010),"-")</f>
        <v>-</v>
      </c>
      <c r="L10" s="203" t="str">
        <f t="shared" si="4"/>
        <v>-</v>
      </c>
      <c r="M10" s="202" t="str">
        <f>IFERROR(GETPIVOTDATA("dato",'[1]evolucion mensual nacionali'!$A$4,"indicador","REINO UNIDO","mes",9,"año",2010),"-")</f>
        <v>-</v>
      </c>
      <c r="N10" s="203" t="str">
        <f t="shared" si="5"/>
        <v>-</v>
      </c>
      <c r="O10" s="202" t="str">
        <f>IFERROR(GETPIVOTDATA("dato",'[1]evolucion mensual nacionali'!$A$4,"indicador","IRLANDA","mes",9,"año",2010),"-")</f>
        <v>-</v>
      </c>
      <c r="P10" s="203" t="str">
        <f t="shared" si="6"/>
        <v>-</v>
      </c>
      <c r="Q10" s="202" t="str">
        <f>IFERROR(GETPIVOTDATA("dato",'[1]evolucion mensual nacionali'!$A$4,"indicador","ITALIA","mes",9,"año",2010),"-")</f>
        <v>-</v>
      </c>
      <c r="R10" s="203" t="str">
        <f t="shared" si="7"/>
        <v>-</v>
      </c>
      <c r="S10" s="202" t="e">
        <f t="shared" si="23"/>
        <v>#VALUE!</v>
      </c>
      <c r="T10" s="203" t="str">
        <f t="shared" si="8"/>
        <v>-</v>
      </c>
      <c r="U10" s="202" t="str">
        <f>IFERROR(GETPIVOTDATA("dato",'[1]evolucion mensual nacionali'!$A$4,"indicador","SUECIA","mes",9,"año",2010),"-")</f>
        <v>-</v>
      </c>
      <c r="V10" s="203" t="str">
        <f t="shared" si="9"/>
        <v>-</v>
      </c>
      <c r="W10" s="202" t="str">
        <f>IFERROR(GETPIVOTDATA("dato",'[1]evolucion mensual nacionali'!$A$4,"indicador","NORUEGA","mes",9,"año",2010),"-")</f>
        <v>-</v>
      </c>
      <c r="X10" s="203" t="str">
        <f t="shared" si="10"/>
        <v>-</v>
      </c>
      <c r="Y10" s="202" t="str">
        <f>IFERROR(GETPIVOTDATA("dato",'[1]evolucion mensual nacionali'!$A$4,"indicador","DINAMARCA","mes",9,"año",2010),"-")</f>
        <v>-</v>
      </c>
      <c r="Z10" s="203" t="str">
        <f t="shared" si="11"/>
        <v>-</v>
      </c>
      <c r="AA10" s="202" t="str">
        <f>IFERROR(GETPIVOTDATA("dato",'[1]evolucion mensual nacionali'!$A$4,"indicador","FINLANDIA","mes",9,"año",2010),"-")</f>
        <v>-</v>
      </c>
      <c r="AB10" s="203" t="str">
        <f t="shared" si="12"/>
        <v>-</v>
      </c>
      <c r="AC10" s="202" t="str">
        <f>IFERROR(GETPIVOTDATA("dato",'[1]evolucion mensual nacionali'!$A$4,"indicador","SUIZA","mes",9,"año",2010),"-")</f>
        <v>-</v>
      </c>
      <c r="AD10" s="203" t="str">
        <f t="shared" si="13"/>
        <v>-</v>
      </c>
      <c r="AE10" s="202" t="str">
        <f>IFERROR(GETPIVOTDATA("dato",'[1]evolucion mensual nacionali'!$A$4,"indicador","AUSTRIA","mes",9,"año",2010),"-")</f>
        <v>-</v>
      </c>
      <c r="AF10" s="203" t="str">
        <f t="shared" si="14"/>
        <v>-</v>
      </c>
      <c r="AG10" s="202" t="str">
        <f>IFERROR(GETPIVOTDATA("dato",'[1]evolucion mensual nacionali'!$A$4,"indicador","RUSIA","mes",9,"año",2010),"-")</f>
        <v>-</v>
      </c>
      <c r="AH10" s="203" t="str">
        <f t="shared" si="15"/>
        <v>-</v>
      </c>
      <c r="AI10" s="202" t="str">
        <f>IFERROR(GETPIVOTDATA("dato",'[1]evolucion mensual nacionali'!$A$4,"indicador","PAÍSES DEL ESTE","mes",9,"año",2010),"-")</f>
        <v>-</v>
      </c>
      <c r="AJ10" s="203" t="str">
        <f t="shared" si="16"/>
        <v>-</v>
      </c>
      <c r="AK10" s="202" t="str">
        <f>IFERROR(GETPIVOTDATA("dato",'[1]evolucion mensual nacionali'!$A$4,"indicador","RESTO DE EUROPA","mes",9,"año",2010),"-")</f>
        <v>-</v>
      </c>
      <c r="AL10" s="203" t="str">
        <f t="shared" si="17"/>
        <v>-</v>
      </c>
      <c r="AM10" s="202" t="str">
        <f>IFERROR(GETPIVOTDATA("dato",'[1]evolucion mensual nacionali'!$A$4,"indicador","USA","mes",9,"año",2010),"-")</f>
        <v>-</v>
      </c>
      <c r="AN10" s="203" t="str">
        <f t="shared" si="18"/>
        <v>-</v>
      </c>
      <c r="AO10" s="202" t="str">
        <f>IFERROR(GETPIVOTDATA("dato",'[1]evolucion mensual nacionali'!$A$4,"indicador","RESTO DE AMÉRICA","mes",9,"año",2010),"-")</f>
        <v>-</v>
      </c>
      <c r="AP10" s="203" t="str">
        <f t="shared" si="19"/>
        <v>-</v>
      </c>
      <c r="AQ10" s="202" t="str">
        <f>IFERROR(GETPIVOTDATA("dato",'[1]evolucion mensual nacionali'!$A$4,"indicador","RESTO DEL MUNDO","mes",9,"año",2010),"-")</f>
        <v>-</v>
      </c>
      <c r="AR10" s="203" t="str">
        <f t="shared" si="20"/>
        <v>-</v>
      </c>
      <c r="AS10" s="202" t="e">
        <f t="shared" si="24"/>
        <v>#VALUE!</v>
      </c>
      <c r="AT10" s="203" t="str">
        <f t="shared" si="21"/>
        <v>-</v>
      </c>
      <c r="AU10" s="204" t="str">
        <f>IFERROR(GETPIVOTDATA("dato",'[1]evolucion mensual nacionali'!$A$4,"indicador","TOTAL","mes",9,"año",2010),"-")</f>
        <v>-</v>
      </c>
      <c r="AV10" s="205" t="str">
        <f t="shared" si="22"/>
        <v>-</v>
      </c>
    </row>
    <row r="11" spans="2:49" hidden="1">
      <c r="B11" s="51" t="s">
        <v>42</v>
      </c>
      <c r="C11" s="202" t="str">
        <f>IFERROR(GETPIVOTDATA("dato",'[1]evolucion mensual nacionali'!$A$4,"indicador","España","mes",8,"año",2010),"-")</f>
        <v>-</v>
      </c>
      <c r="D11" s="203" t="str">
        <f t="shared" si="0"/>
        <v>-</v>
      </c>
      <c r="E11" s="202" t="str">
        <f>IFERROR(GETPIVOTDATA("dato",'[1]evolucion mensual nacionali'!$A$4,"indicador","HOLANDA","mes",8,"año",2010),"-")</f>
        <v>-</v>
      </c>
      <c r="F11" s="203" t="str">
        <f t="shared" si="1"/>
        <v>-</v>
      </c>
      <c r="G11" s="202" t="str">
        <f>IFERROR(GETPIVOTDATA("dato",'[1]evolucion mensual nacionali'!$A$4,"indicador","BÉLGICA","mes",8,"año",2010),"-")</f>
        <v>-</v>
      </c>
      <c r="H11" s="203" t="str">
        <f t="shared" si="2"/>
        <v>-</v>
      </c>
      <c r="I11" s="202" t="str">
        <f>IFERROR(GETPIVOTDATA("dato",'[1]evolucion mensual nacionali'!$A$4,"indicador","ALEMANIA","mes",8,"año",2010),"-")</f>
        <v>-</v>
      </c>
      <c r="J11" s="203" t="str">
        <f t="shared" si="3"/>
        <v>-</v>
      </c>
      <c r="K11" s="202" t="str">
        <f>IFERROR(GETPIVOTDATA("dato",'[1]evolucion mensual nacionali'!$A$4,"indicador","FRANCIA","mes",8,"año",2010),"-")</f>
        <v>-</v>
      </c>
      <c r="L11" s="203" t="str">
        <f t="shared" si="4"/>
        <v>-</v>
      </c>
      <c r="M11" s="202" t="str">
        <f>IFERROR(GETPIVOTDATA("dato",'[1]evolucion mensual nacionali'!$A$4,"indicador","REINO UNIDO","mes",8,"año",2010),"-")</f>
        <v>-</v>
      </c>
      <c r="N11" s="203" t="str">
        <f t="shared" si="5"/>
        <v>-</v>
      </c>
      <c r="O11" s="202" t="str">
        <f>IFERROR(GETPIVOTDATA("dato",'[1]evolucion mensual nacionali'!$A$4,"indicador","IRLANDA","mes",8,"año",2010),"-")</f>
        <v>-</v>
      </c>
      <c r="P11" s="203" t="str">
        <f t="shared" si="6"/>
        <v>-</v>
      </c>
      <c r="Q11" s="202" t="str">
        <f>IFERROR(GETPIVOTDATA("dato",'[1]evolucion mensual nacionali'!$A$4,"indicador","ITALIA","mes",8,"año",2010),"-")</f>
        <v>-</v>
      </c>
      <c r="R11" s="203" t="str">
        <f t="shared" si="7"/>
        <v>-</v>
      </c>
      <c r="S11" s="202" t="e">
        <f t="shared" si="23"/>
        <v>#VALUE!</v>
      </c>
      <c r="T11" s="203" t="str">
        <f t="shared" si="8"/>
        <v>-</v>
      </c>
      <c r="U11" s="202" t="str">
        <f>IFERROR(GETPIVOTDATA("dato",'[1]evolucion mensual nacionali'!$A$4,"indicador","SUECIA","mes",8,"año",2010),"-")</f>
        <v>-</v>
      </c>
      <c r="V11" s="203" t="str">
        <f t="shared" si="9"/>
        <v>-</v>
      </c>
      <c r="W11" s="202" t="str">
        <f>IFERROR(GETPIVOTDATA("dato",'[1]evolucion mensual nacionali'!$A$4,"indicador","NORUEGA","mes",8,"año",2010),"-")</f>
        <v>-</v>
      </c>
      <c r="X11" s="203" t="str">
        <f t="shared" si="10"/>
        <v>-</v>
      </c>
      <c r="Y11" s="202" t="str">
        <f>IFERROR(GETPIVOTDATA("dato",'[1]evolucion mensual nacionali'!$A$4,"indicador","DINAMARCA","mes",8,"año",2010),"-")</f>
        <v>-</v>
      </c>
      <c r="Z11" s="203" t="str">
        <f t="shared" si="11"/>
        <v>-</v>
      </c>
      <c r="AA11" s="202" t="str">
        <f>IFERROR(GETPIVOTDATA("dato",'[1]evolucion mensual nacionali'!$A$4,"indicador","FINLANDIA","mes",8,"año",2010),"-")</f>
        <v>-</v>
      </c>
      <c r="AB11" s="203" t="str">
        <f t="shared" si="12"/>
        <v>-</v>
      </c>
      <c r="AC11" s="202" t="str">
        <f>IFERROR(GETPIVOTDATA("dato",'[1]evolucion mensual nacionali'!$A$4,"indicador","SUIZA","mes",8,"año",2010),"-")</f>
        <v>-</v>
      </c>
      <c r="AD11" s="203" t="str">
        <f t="shared" si="13"/>
        <v>-</v>
      </c>
      <c r="AE11" s="202" t="str">
        <f>IFERROR(GETPIVOTDATA("dato",'[1]evolucion mensual nacionali'!$A$4,"indicador","AUSTRIA","mes",8,"año",2010),"-")</f>
        <v>-</v>
      </c>
      <c r="AF11" s="203" t="str">
        <f t="shared" si="14"/>
        <v>-</v>
      </c>
      <c r="AG11" s="202" t="str">
        <f>IFERROR(GETPIVOTDATA("dato",'[1]evolucion mensual nacionali'!$A$4,"indicador","RUSIA","mes",8,"año",2010),"-")</f>
        <v>-</v>
      </c>
      <c r="AH11" s="203" t="str">
        <f t="shared" si="15"/>
        <v>-</v>
      </c>
      <c r="AI11" s="202" t="str">
        <f>IFERROR(GETPIVOTDATA("dato",'[1]evolucion mensual nacionali'!$A$4,"indicador","PAÍSES DEL ESTE","mes",8,"año",2010),"-")</f>
        <v>-</v>
      </c>
      <c r="AJ11" s="203" t="str">
        <f t="shared" si="16"/>
        <v>-</v>
      </c>
      <c r="AK11" s="202" t="str">
        <f>IFERROR(GETPIVOTDATA("dato",'[1]evolucion mensual nacionali'!$A$4,"indicador","RESTO DE EUROPA","mes",8,"año",2010),"-")</f>
        <v>-</v>
      </c>
      <c r="AL11" s="203" t="str">
        <f t="shared" si="17"/>
        <v>-</v>
      </c>
      <c r="AM11" s="202" t="str">
        <f>IFERROR(GETPIVOTDATA("dato",'[1]evolucion mensual nacionali'!$A$4,"indicador","USA","mes",8,"año",2010),"-")</f>
        <v>-</v>
      </c>
      <c r="AN11" s="203" t="str">
        <f t="shared" si="18"/>
        <v>-</v>
      </c>
      <c r="AO11" s="202" t="str">
        <f>IFERROR(GETPIVOTDATA("dato",'[1]evolucion mensual nacionali'!$A$4,"indicador","RESTO DE AMÉRICA","mes",8,"año",2010),"-")</f>
        <v>-</v>
      </c>
      <c r="AP11" s="203" t="str">
        <f t="shared" si="19"/>
        <v>-</v>
      </c>
      <c r="AQ11" s="202" t="str">
        <f>IFERROR(GETPIVOTDATA("dato",'[1]evolucion mensual nacionali'!$A$4,"indicador","RESTO DEL MUNDO","mes",8,"año",2010),"-")</f>
        <v>-</v>
      </c>
      <c r="AR11" s="203" t="str">
        <f t="shared" si="20"/>
        <v>-</v>
      </c>
      <c r="AS11" s="202" t="e">
        <f t="shared" si="24"/>
        <v>#VALUE!</v>
      </c>
      <c r="AT11" s="203" t="str">
        <f t="shared" si="21"/>
        <v>-</v>
      </c>
      <c r="AU11" s="204" t="str">
        <f>IFERROR(GETPIVOTDATA("dato",'[1]evolucion mensual nacionali'!$A$4,"indicador","TOTAL","mes",8,"año",2010),"-")</f>
        <v>-</v>
      </c>
      <c r="AV11" s="205" t="str">
        <f t="shared" si="22"/>
        <v>-</v>
      </c>
    </row>
    <row r="12" spans="2:49" hidden="1">
      <c r="B12" s="51" t="s">
        <v>43</v>
      </c>
      <c r="C12" s="202">
        <f>IFERROR(GETPIVOTDATA("dato",'[1]evolucion mensual nacionali'!$A$4,"indicador","España","mes",7,"año",2010),"-")</f>
        <v>8749</v>
      </c>
      <c r="D12" s="203">
        <f t="shared" si="0"/>
        <v>-0.12088022508038587</v>
      </c>
      <c r="E12" s="202">
        <f>IFERROR(GETPIVOTDATA("dato",'[1]evolucion mensual nacionali'!$A$4,"indicador","HOLANDA","mes",7,"año",2010),"-")</f>
        <v>54</v>
      </c>
      <c r="F12" s="203">
        <f t="shared" si="1"/>
        <v>-1.8181818181818188E-2</v>
      </c>
      <c r="G12" s="202">
        <f>IFERROR(GETPIVOTDATA("dato",'[1]evolucion mensual nacionali'!$A$4,"indicador","BÉLGICA","mes",7,"año",2010),"-")</f>
        <v>38</v>
      </c>
      <c r="H12" s="203">
        <f t="shared" si="2"/>
        <v>0.72727272727272729</v>
      </c>
      <c r="I12" s="202">
        <f>IFERROR(GETPIVOTDATA("dato",'[1]evolucion mensual nacionali'!$A$4,"indicador","ALEMANIA","mes",7,"año",2010),"-")</f>
        <v>166</v>
      </c>
      <c r="J12" s="203">
        <f t="shared" si="3"/>
        <v>0.32800000000000007</v>
      </c>
      <c r="K12" s="202">
        <f>IFERROR(GETPIVOTDATA("dato",'[1]evolucion mensual nacionali'!$A$4,"indicador","FRANCIA","mes",7,"año",2010),"-")</f>
        <v>145</v>
      </c>
      <c r="L12" s="203">
        <f t="shared" si="4"/>
        <v>-0.24870466321243523</v>
      </c>
      <c r="M12" s="202">
        <f>IFERROR(GETPIVOTDATA("dato",'[1]evolucion mensual nacionali'!$A$4,"indicador","REINO UNIDO","mes",7,"año",2010),"-")</f>
        <v>125</v>
      </c>
      <c r="N12" s="203">
        <f t="shared" si="5"/>
        <v>-0.19871794871794868</v>
      </c>
      <c r="O12" s="202">
        <f>IFERROR(GETPIVOTDATA("dato",'[1]evolucion mensual nacionali'!$A$4,"indicador","IRLANDA","mes",7,"año",2010),"-")</f>
        <v>17</v>
      </c>
      <c r="P12" s="203">
        <f t="shared" si="6"/>
        <v>-0.41379310344827591</v>
      </c>
      <c r="Q12" s="202">
        <f>IFERROR(GETPIVOTDATA("dato",'[1]evolucion mensual nacionali'!$A$4,"indicador","ITALIA","mes",7,"año",2010),"-")</f>
        <v>193</v>
      </c>
      <c r="R12" s="203">
        <f t="shared" si="7"/>
        <v>-0.11467889908256879</v>
      </c>
      <c r="S12" s="202">
        <f t="shared" si="23"/>
        <v>90</v>
      </c>
      <c r="T12" s="203">
        <f t="shared" si="8"/>
        <v>-7.2164948453608213E-2</v>
      </c>
      <c r="U12" s="202">
        <f>IFERROR(GETPIVOTDATA("dato",'[1]evolucion mensual nacionali'!$A$4,"indicador","SUECIA","mes",7,"año",2010),"-")</f>
        <v>12</v>
      </c>
      <c r="V12" s="203">
        <f t="shared" si="9"/>
        <v>-0.33333333333333337</v>
      </c>
      <c r="W12" s="202">
        <f>IFERROR(GETPIVOTDATA("dato",'[1]evolucion mensual nacionali'!$A$4,"indicador","NORUEGA","mes",7,"año",2010),"-")</f>
        <v>23</v>
      </c>
      <c r="X12" s="203">
        <f t="shared" si="10"/>
        <v>-0.5</v>
      </c>
      <c r="Y12" s="202">
        <f>IFERROR(GETPIVOTDATA("dato",'[1]evolucion mensual nacionali'!$A$4,"indicador","DINAMARCA","mes",7,"año",2010),"-")</f>
        <v>23</v>
      </c>
      <c r="Z12" s="203">
        <f t="shared" si="11"/>
        <v>0.21052631578947367</v>
      </c>
      <c r="AA12" s="202">
        <f>IFERROR(GETPIVOTDATA("dato",'[1]evolucion mensual nacionali'!$A$4,"indicador","FINLANDIA","mes",7,"año",2010),"-")</f>
        <v>32</v>
      </c>
      <c r="AB12" s="203">
        <f t="shared" si="12"/>
        <v>1.2857142857142856</v>
      </c>
      <c r="AC12" s="202">
        <f>IFERROR(GETPIVOTDATA("dato",'[1]evolucion mensual nacionali'!$A$4,"indicador","SUIZA","mes",7,"año",2010),"-")</f>
        <v>30</v>
      </c>
      <c r="AD12" s="203">
        <f t="shared" si="13"/>
        <v>-6.25E-2</v>
      </c>
      <c r="AE12" s="202">
        <f>IFERROR(GETPIVOTDATA("dato",'[1]evolucion mensual nacionali'!$A$4,"indicador","AUSTRIA","mes",7,"año",2010),"-")</f>
        <v>22</v>
      </c>
      <c r="AF12" s="203">
        <f t="shared" si="14"/>
        <v>-0.12</v>
      </c>
      <c r="AG12" s="202">
        <f>IFERROR(GETPIVOTDATA("dato",'[1]evolucion mensual nacionali'!$A$4,"indicador","RUSIA","mes",7,"año",2010),"-")</f>
        <v>14</v>
      </c>
      <c r="AH12" s="203">
        <f t="shared" si="15"/>
        <v>-0.30000000000000004</v>
      </c>
      <c r="AI12" s="202">
        <f>IFERROR(GETPIVOTDATA("dato",'[1]evolucion mensual nacionali'!$A$4,"indicador","PAÍSES DEL ESTE","mes",7,"año",2010),"-")</f>
        <v>44</v>
      </c>
      <c r="AJ12" s="203">
        <f t="shared" si="16"/>
        <v>-0.44303797468354433</v>
      </c>
      <c r="AK12" s="202">
        <f>IFERROR(GETPIVOTDATA("dato",'[1]evolucion mensual nacionali'!$A$4,"indicador","RESTO DE EUROPA","mes",7,"año",2010),"-")</f>
        <v>88</v>
      </c>
      <c r="AL12" s="203">
        <f t="shared" si="17"/>
        <v>-0.3282442748091603</v>
      </c>
      <c r="AM12" s="202">
        <f>IFERROR(GETPIVOTDATA("dato",'[1]evolucion mensual nacionali'!$A$4,"indicador","USA","mes",7,"año",2010),"-")</f>
        <v>122</v>
      </c>
      <c r="AN12" s="203">
        <f t="shared" si="18"/>
        <v>0.17307692307692313</v>
      </c>
      <c r="AO12" s="202">
        <f>IFERROR(GETPIVOTDATA("dato",'[1]evolucion mensual nacionali'!$A$4,"indicador","RESTO DE AMÉRICA","mes",7,"año",2010),"-")</f>
        <v>430</v>
      </c>
      <c r="AP12" s="203">
        <f t="shared" si="19"/>
        <v>-2.3201856148491462E-3</v>
      </c>
      <c r="AQ12" s="202">
        <f>IFERROR(GETPIVOTDATA("dato",'[1]evolucion mensual nacionali'!$A$4,"indicador","RESTO DEL MUNDO","mes",7,"año",2010),"-")</f>
        <v>284</v>
      </c>
      <c r="AR12" s="203">
        <f t="shared" si="20"/>
        <v>0.28506787330316752</v>
      </c>
      <c r="AS12" s="202">
        <f t="shared" si="24"/>
        <v>1862</v>
      </c>
      <c r="AT12" s="203">
        <f t="shared" si="21"/>
        <v>-3.9215686274509776E-2</v>
      </c>
      <c r="AU12" s="204">
        <f>IFERROR(GETPIVOTDATA("dato",'[1]evolucion mensual nacionali'!$A$4,"indicador","TOTAL","mes",7,"año",2010),"-")</f>
        <v>10611</v>
      </c>
      <c r="AV12" s="205">
        <f t="shared" si="22"/>
        <v>-0.10756938603868793</v>
      </c>
    </row>
    <row r="13" spans="2:49">
      <c r="B13" s="51" t="s">
        <v>44</v>
      </c>
      <c r="C13" s="202">
        <f>IFERROR(GETPIVOTDATA("dato",'[1]evolucion mensual nacionali'!$A$4,"indicador","España","mes",6,"año",2010),"-")</f>
        <v>10858</v>
      </c>
      <c r="D13" s="203">
        <f t="shared" si="0"/>
        <v>-2.0389750992421463E-2</v>
      </c>
      <c r="E13" s="202">
        <f>IFERROR(GETPIVOTDATA("dato",'[1]evolucion mensual nacionali'!$A$4,"indicador","HOLANDA","mes",6,"año",2010),"-")</f>
        <v>35</v>
      </c>
      <c r="F13" s="203">
        <f t="shared" si="1"/>
        <v>0.16666666666666674</v>
      </c>
      <c r="G13" s="202">
        <f>IFERROR(GETPIVOTDATA("dato",'[1]evolucion mensual nacionali'!$A$4,"indicador","BÉLGICA","mes",6,"año",2010),"-")</f>
        <v>39</v>
      </c>
      <c r="H13" s="203">
        <f t="shared" si="2"/>
        <v>0.77272727272727271</v>
      </c>
      <c r="I13" s="202">
        <f>IFERROR(GETPIVOTDATA("dato",'[1]evolucion mensual nacionali'!$A$4,"indicador","ALEMANIA","mes",6,"año",2010),"-")</f>
        <v>149</v>
      </c>
      <c r="J13" s="203">
        <f t="shared" si="3"/>
        <v>-2.6143790849673221E-2</v>
      </c>
      <c r="K13" s="202">
        <f>IFERROR(GETPIVOTDATA("dato",'[1]evolucion mensual nacionali'!$A$4,"indicador","FRANCIA","mes",6,"año",2010),"-")</f>
        <v>114</v>
      </c>
      <c r="L13" s="203">
        <f t="shared" si="4"/>
        <v>-0.21917808219178081</v>
      </c>
      <c r="M13" s="202">
        <f>IFERROR(GETPIVOTDATA("dato",'[1]evolucion mensual nacionali'!$A$4,"indicador","REINO UNIDO","mes",6,"año",2010),"-")</f>
        <v>181</v>
      </c>
      <c r="N13" s="203">
        <f t="shared" si="5"/>
        <v>0.28368794326241131</v>
      </c>
      <c r="O13" s="202">
        <f>IFERROR(GETPIVOTDATA("dato",'[1]evolucion mensual nacionali'!$A$4,"indicador","IRLANDA","mes",6,"año",2010),"-")</f>
        <v>27</v>
      </c>
      <c r="P13" s="203">
        <f t="shared" si="6"/>
        <v>2.375</v>
      </c>
      <c r="Q13" s="202">
        <f>IFERROR(GETPIVOTDATA("dato",'[1]evolucion mensual nacionali'!$A$4,"indicador","ITALIA","mes",6,"año",2010),"-")</f>
        <v>168</v>
      </c>
      <c r="R13" s="203">
        <f t="shared" si="7"/>
        <v>-0.14720812182741116</v>
      </c>
      <c r="S13" s="202">
        <f t="shared" si="23"/>
        <v>43</v>
      </c>
      <c r="T13" s="203">
        <f t="shared" si="8"/>
        <v>0.22857142857142865</v>
      </c>
      <c r="U13" s="202">
        <f>IFERROR(GETPIVOTDATA("dato",'[1]evolucion mensual nacionali'!$A$4,"indicador","SUECIA","mes",6,"año",2010),"-")</f>
        <v>7</v>
      </c>
      <c r="V13" s="203">
        <f t="shared" si="9"/>
        <v>-0.46153846153846156</v>
      </c>
      <c r="W13" s="202">
        <f>IFERROR(GETPIVOTDATA("dato",'[1]evolucion mensual nacionali'!$A$4,"indicador","NORUEGA","mes",6,"año",2010),"-")</f>
        <v>9</v>
      </c>
      <c r="X13" s="203">
        <f t="shared" si="10"/>
        <v>-0.18181818181818177</v>
      </c>
      <c r="Y13" s="202">
        <f>IFERROR(GETPIVOTDATA("dato",'[1]evolucion mensual nacionali'!$A$4,"indicador","DINAMARCA","mes",6,"año",2010),"-")</f>
        <v>14</v>
      </c>
      <c r="Z13" s="203">
        <f t="shared" si="11"/>
        <v>1.3333333333333335</v>
      </c>
      <c r="AA13" s="202">
        <f>IFERROR(GETPIVOTDATA("dato",'[1]evolucion mensual nacionali'!$A$4,"indicador","FINLANDIA","mes",6,"año",2010),"-")</f>
        <v>13</v>
      </c>
      <c r="AB13" s="203">
        <f t="shared" si="12"/>
        <v>1.6</v>
      </c>
      <c r="AC13" s="202">
        <f>IFERROR(GETPIVOTDATA("dato",'[1]evolucion mensual nacionali'!$A$4,"indicador","SUIZA","mes",6,"año",2010),"-")</f>
        <v>35</v>
      </c>
      <c r="AD13" s="203">
        <f t="shared" si="13"/>
        <v>0.94444444444444442</v>
      </c>
      <c r="AE13" s="202">
        <f>IFERROR(GETPIVOTDATA("dato",'[1]evolucion mensual nacionali'!$A$4,"indicador","AUSTRIA","mes",6,"año",2010),"-")</f>
        <v>5</v>
      </c>
      <c r="AF13" s="203">
        <f t="shared" si="14"/>
        <v>-0.58333333333333326</v>
      </c>
      <c r="AG13" s="202">
        <f>IFERROR(GETPIVOTDATA("dato",'[1]evolucion mensual nacionali'!$A$4,"indicador","RUSIA","mes",6,"año",2010),"-")</f>
        <v>16</v>
      </c>
      <c r="AH13" s="203">
        <f t="shared" si="15"/>
        <v>-0.36</v>
      </c>
      <c r="AI13" s="202">
        <f>IFERROR(GETPIVOTDATA("dato",'[1]evolucion mensual nacionali'!$A$4,"indicador","PAÍSES DEL ESTE","mes",6,"año",2010),"-")</f>
        <v>46</v>
      </c>
      <c r="AJ13" s="203">
        <f t="shared" si="16"/>
        <v>-0.352112676056338</v>
      </c>
      <c r="AK13" s="202">
        <f>IFERROR(GETPIVOTDATA("dato",'[1]evolucion mensual nacionali'!$A$4,"indicador","RESTO DE EUROPA","mes",6,"año",2010),"-")</f>
        <v>156</v>
      </c>
      <c r="AL13" s="203">
        <f t="shared" si="17"/>
        <v>-0.16129032258064513</v>
      </c>
      <c r="AM13" s="202">
        <f>IFERROR(GETPIVOTDATA("dato",'[1]evolucion mensual nacionali'!$A$4,"indicador","USA","mes",6,"año",2010),"-")</f>
        <v>106</v>
      </c>
      <c r="AN13" s="203">
        <f t="shared" si="18"/>
        <v>0.58208955223880587</v>
      </c>
      <c r="AO13" s="202">
        <f>IFERROR(GETPIVOTDATA("dato",'[1]evolucion mensual nacionali'!$A$4,"indicador","RESTO DE AMÉRICA","mes",6,"año",2010),"-")</f>
        <v>403</v>
      </c>
      <c r="AP13" s="203">
        <f t="shared" si="19"/>
        <v>0.23241590214067287</v>
      </c>
      <c r="AQ13" s="202">
        <f>IFERROR(GETPIVOTDATA("dato",'[1]evolucion mensual nacionali'!$A$4,"indicador","RESTO DEL MUNDO","mes",6,"año",2010),"-")</f>
        <v>301</v>
      </c>
      <c r="AR13" s="203">
        <f t="shared" si="20"/>
        <v>0.32017543859649122</v>
      </c>
      <c r="AS13" s="202">
        <f t="shared" si="24"/>
        <v>1824</v>
      </c>
      <c r="AT13" s="203">
        <f t="shared" si="21"/>
        <v>9.4837935174069576E-2</v>
      </c>
      <c r="AU13" s="204">
        <f>IFERROR(GETPIVOTDATA("dato",'[1]evolucion mensual nacionali'!$A$4,"indicador","TOTAL","mes",6,"año",2010),"-")</f>
        <v>12682</v>
      </c>
      <c r="AV13" s="205">
        <f t="shared" si="22"/>
        <v>-5.3333333333333011E-3</v>
      </c>
    </row>
    <row r="14" spans="2:49">
      <c r="B14" s="51" t="s">
        <v>45</v>
      </c>
      <c r="C14" s="202">
        <f>IFERROR(GETPIVOTDATA("dato",'[1]evolucion mensual nacionali'!$A$4,"indicador","España","mes",5,"año",2010),"-")</f>
        <v>10629</v>
      </c>
      <c r="D14" s="203">
        <f t="shared" si="0"/>
        <v>-7.2189245810055813E-2</v>
      </c>
      <c r="E14" s="202">
        <f>IFERROR(GETPIVOTDATA("dato",'[1]evolucion mensual nacionali'!$A$4,"indicador","HOLANDA","mes",5,"año",2010),"-")</f>
        <v>53</v>
      </c>
      <c r="F14" s="203">
        <f t="shared" si="1"/>
        <v>6.0000000000000053E-2</v>
      </c>
      <c r="G14" s="202">
        <f>IFERROR(GETPIVOTDATA("dato",'[1]evolucion mensual nacionali'!$A$4,"indicador","BÉLGICA","mes",5,"año",2010),"-")</f>
        <v>62</v>
      </c>
      <c r="H14" s="203">
        <f t="shared" si="2"/>
        <v>0.26530612244897966</v>
      </c>
      <c r="I14" s="202">
        <f>IFERROR(GETPIVOTDATA("dato",'[1]evolucion mensual nacionali'!$A$4,"indicador","ALEMANIA","mes",5,"año",2010),"-")</f>
        <v>192</v>
      </c>
      <c r="J14" s="203">
        <f t="shared" si="3"/>
        <v>-0.15044247787610621</v>
      </c>
      <c r="K14" s="202">
        <f>IFERROR(GETPIVOTDATA("dato",'[1]evolucion mensual nacionali'!$A$4,"indicador","FRANCIA","mes",5,"año",2010),"-")</f>
        <v>142</v>
      </c>
      <c r="L14" s="203">
        <f t="shared" si="4"/>
        <v>-0.19774011299435024</v>
      </c>
      <c r="M14" s="202">
        <f>IFERROR(GETPIVOTDATA("dato",'[1]evolucion mensual nacionali'!$A$4,"indicador","REINO UNIDO","mes",5,"año",2010),"-")</f>
        <v>144</v>
      </c>
      <c r="N14" s="203">
        <f t="shared" si="5"/>
        <v>-0.28000000000000003</v>
      </c>
      <c r="O14" s="202">
        <f>IFERROR(GETPIVOTDATA("dato",'[1]evolucion mensual nacionali'!$A$4,"indicador","IRLANDA","mes",5,"año",2010),"-")</f>
        <v>20</v>
      </c>
      <c r="P14" s="203">
        <f t="shared" si="6"/>
        <v>-9.0909090909090939E-2</v>
      </c>
      <c r="Q14" s="202">
        <f>IFERROR(GETPIVOTDATA("dato",'[1]evolucion mensual nacionali'!$A$4,"indicador","ITALIA","mes",5,"año",2010),"-")</f>
        <v>150</v>
      </c>
      <c r="R14" s="203">
        <f t="shared" si="7"/>
        <v>0.11940298507462677</v>
      </c>
      <c r="S14" s="202">
        <f t="shared" si="23"/>
        <v>86</v>
      </c>
      <c r="T14" s="203">
        <f t="shared" si="8"/>
        <v>0.21126760563380276</v>
      </c>
      <c r="U14" s="202">
        <f>IFERROR(GETPIVOTDATA("dato",'[1]evolucion mensual nacionali'!$A$4,"indicador","SUECIA","mes",5,"año",2010),"-")</f>
        <v>29</v>
      </c>
      <c r="V14" s="203">
        <f t="shared" si="9"/>
        <v>0.93333333333333335</v>
      </c>
      <c r="W14" s="202">
        <f>IFERROR(GETPIVOTDATA("dato",'[1]evolucion mensual nacionali'!$A$4,"indicador","NORUEGA","mes",5,"año",2010),"-")</f>
        <v>25</v>
      </c>
      <c r="X14" s="203">
        <f t="shared" si="10"/>
        <v>0.19047619047619047</v>
      </c>
      <c r="Y14" s="202">
        <f>IFERROR(GETPIVOTDATA("dato",'[1]evolucion mensual nacionali'!$A$4,"indicador","DINAMARCA","mes",5,"año",2010),"-")</f>
        <v>10</v>
      </c>
      <c r="Z14" s="203">
        <f t="shared" si="11"/>
        <v>-0.23076923076923073</v>
      </c>
      <c r="AA14" s="202">
        <f>IFERROR(GETPIVOTDATA("dato",'[1]evolucion mensual nacionali'!$A$4,"indicador","FINLANDIA","mes",5,"año",2010),"-")</f>
        <v>22</v>
      </c>
      <c r="AB14" s="203">
        <f t="shared" si="12"/>
        <v>0</v>
      </c>
      <c r="AC14" s="202">
        <f>IFERROR(GETPIVOTDATA("dato",'[1]evolucion mensual nacionali'!$A$4,"indicador","SUIZA","mes",5,"año",2010),"-")</f>
        <v>34</v>
      </c>
      <c r="AD14" s="203">
        <f t="shared" si="13"/>
        <v>-0.15000000000000002</v>
      </c>
      <c r="AE14" s="202">
        <f>IFERROR(GETPIVOTDATA("dato",'[1]evolucion mensual nacionali'!$A$4,"indicador","AUSTRIA","mes",5,"año",2010),"-")</f>
        <v>17</v>
      </c>
      <c r="AF14" s="203">
        <f t="shared" si="14"/>
        <v>-0.10526315789473684</v>
      </c>
      <c r="AG14" s="202">
        <f>IFERROR(GETPIVOTDATA("dato",'[1]evolucion mensual nacionali'!$A$4,"indicador","RUSIA","mes",5,"año",2010),"-")</f>
        <v>33</v>
      </c>
      <c r="AH14" s="203">
        <f t="shared" si="15"/>
        <v>-0.13157894736842102</v>
      </c>
      <c r="AI14" s="202">
        <f>IFERROR(GETPIVOTDATA("dato",'[1]evolucion mensual nacionali'!$A$4,"indicador","PAÍSES DEL ESTE","mes",5,"año",2010),"-")</f>
        <v>52</v>
      </c>
      <c r="AJ14" s="203">
        <f t="shared" si="16"/>
        <v>-0.5185185185185186</v>
      </c>
      <c r="AK14" s="202">
        <f>IFERROR(GETPIVOTDATA("dato",'[1]evolucion mensual nacionali'!$A$4,"indicador","RESTO DE EUROPA","mes",5,"año",2010),"-")</f>
        <v>202</v>
      </c>
      <c r="AL14" s="203">
        <f t="shared" si="17"/>
        <v>0.71186440677966112</v>
      </c>
      <c r="AM14" s="202">
        <f>IFERROR(GETPIVOTDATA("dato",'[1]evolucion mensual nacionali'!$A$4,"indicador","USA","mes",5,"año",2010),"-")</f>
        <v>72</v>
      </c>
      <c r="AN14" s="203">
        <f t="shared" si="18"/>
        <v>-0.17241379310344829</v>
      </c>
      <c r="AO14" s="202">
        <f>IFERROR(GETPIVOTDATA("dato",'[1]evolucion mensual nacionali'!$A$4,"indicador","RESTO DE AMÉRICA","mes",5,"año",2010),"-")</f>
        <v>257</v>
      </c>
      <c r="AP14" s="203">
        <f t="shared" si="19"/>
        <v>-0.36228287841191065</v>
      </c>
      <c r="AQ14" s="202">
        <f>IFERROR(GETPIVOTDATA("dato",'[1]evolucion mensual nacionali'!$A$4,"indicador","RESTO DEL MUNDO","mes",5,"año",2010),"-")</f>
        <v>262</v>
      </c>
      <c r="AR14" s="203">
        <f t="shared" si="20"/>
        <v>-5.0724637681159424E-2</v>
      </c>
      <c r="AS14" s="202">
        <f t="shared" si="24"/>
        <v>1778</v>
      </c>
      <c r="AT14" s="203">
        <f t="shared" si="21"/>
        <v>-0.11892963330029738</v>
      </c>
      <c r="AU14" s="204">
        <f>IFERROR(GETPIVOTDATA("dato",'[1]evolucion mensual nacionali'!$A$4,"indicador","TOTAL","mes",5,"año",2010),"-")</f>
        <v>12407</v>
      </c>
      <c r="AV14" s="205">
        <f t="shared" si="22"/>
        <v>-7.918955024491614E-2</v>
      </c>
    </row>
    <row r="15" spans="2:49">
      <c r="B15" s="51" t="s">
        <v>46</v>
      </c>
      <c r="C15" s="202">
        <f>IFERROR(GETPIVOTDATA("dato",'[1]evolucion mensual nacionali'!$A$4,"indicador","España","mes",4,"año",2010),"-")</f>
        <v>10416</v>
      </c>
      <c r="D15" s="203">
        <f t="shared" si="0"/>
        <v>-3.5108846688281625E-2</v>
      </c>
      <c r="E15" s="202">
        <f>IFERROR(GETPIVOTDATA("dato",'[1]evolucion mensual nacionali'!$A$4,"indicador","HOLANDA","mes",4,"año",2010),"-")</f>
        <v>71</v>
      </c>
      <c r="F15" s="203">
        <f t="shared" si="1"/>
        <v>0.91891891891891886</v>
      </c>
      <c r="G15" s="202">
        <f>IFERROR(GETPIVOTDATA("dato",'[1]evolucion mensual nacionali'!$A$4,"indicador","BÉLGICA","mes",4,"año",2010),"-")</f>
        <v>52</v>
      </c>
      <c r="H15" s="203">
        <f t="shared" si="2"/>
        <v>-0.16129032258064513</v>
      </c>
      <c r="I15" s="202">
        <f>IFERROR(GETPIVOTDATA("dato",'[1]evolucion mensual nacionali'!$A$4,"indicador","ALEMANIA","mes",4,"año",2010),"-")</f>
        <v>266</v>
      </c>
      <c r="J15" s="203">
        <f t="shared" si="3"/>
        <v>0.22018348623853212</v>
      </c>
      <c r="K15" s="202">
        <f>IFERROR(GETPIVOTDATA("dato",'[1]evolucion mensual nacionali'!$A$4,"indicador","FRANCIA","mes",4,"año",2010),"-")</f>
        <v>238</v>
      </c>
      <c r="L15" s="203">
        <f t="shared" si="4"/>
        <v>-0.23961661341853036</v>
      </c>
      <c r="M15" s="202">
        <f>IFERROR(GETPIVOTDATA("dato",'[1]evolucion mensual nacionali'!$A$4,"indicador","REINO UNIDO","mes",4,"año",2010),"-")</f>
        <v>172</v>
      </c>
      <c r="N15" s="203">
        <f t="shared" si="5"/>
        <v>-5.4945054945054972E-2</v>
      </c>
      <c r="O15" s="202">
        <f>IFERROR(GETPIVOTDATA("dato",'[1]evolucion mensual nacionali'!$A$4,"indicador","IRLANDA","mes",4,"año",2010),"-")</f>
        <v>31</v>
      </c>
      <c r="P15" s="203">
        <f t="shared" si="6"/>
        <v>-3.125E-2</v>
      </c>
      <c r="Q15" s="202">
        <f>IFERROR(GETPIVOTDATA("dato",'[1]evolucion mensual nacionali'!$A$4,"indicador","ITALIA","mes",4,"año",2010),"-")</f>
        <v>179</v>
      </c>
      <c r="R15" s="203">
        <f t="shared" si="7"/>
        <v>9.1463414634146423E-2</v>
      </c>
      <c r="S15" s="202">
        <f t="shared" si="23"/>
        <v>91</v>
      </c>
      <c r="T15" s="203">
        <f t="shared" si="8"/>
        <v>-0.17272727272727273</v>
      </c>
      <c r="U15" s="202">
        <f>IFERROR(GETPIVOTDATA("dato",'[1]evolucion mensual nacionali'!$A$4,"indicador","SUECIA","mes",4,"año",2010),"-")</f>
        <v>20</v>
      </c>
      <c r="V15" s="203">
        <f t="shared" si="9"/>
        <v>-0.13043478260869568</v>
      </c>
      <c r="W15" s="202">
        <f>IFERROR(GETPIVOTDATA("dato",'[1]evolucion mensual nacionali'!$A$4,"indicador","NORUEGA","mes",4,"año",2010),"-")</f>
        <v>24</v>
      </c>
      <c r="X15" s="203">
        <f t="shared" si="10"/>
        <v>0.33333333333333326</v>
      </c>
      <c r="Y15" s="202">
        <f>IFERROR(GETPIVOTDATA("dato",'[1]evolucion mensual nacionali'!$A$4,"indicador","DINAMARCA","mes",4,"año",2010),"-")</f>
        <v>22</v>
      </c>
      <c r="Z15" s="203">
        <f t="shared" si="11"/>
        <v>-0.24137931034482762</v>
      </c>
      <c r="AA15" s="202">
        <f>IFERROR(GETPIVOTDATA("dato",'[1]evolucion mensual nacionali'!$A$4,"indicador","FINLANDIA","mes",4,"año",2010),"-")</f>
        <v>25</v>
      </c>
      <c r="AB15" s="203">
        <f t="shared" si="12"/>
        <v>-0.375</v>
      </c>
      <c r="AC15" s="202">
        <f>IFERROR(GETPIVOTDATA("dato",'[1]evolucion mensual nacionali'!$A$4,"indicador","SUIZA","mes",4,"año",2010),"-")</f>
        <v>42</v>
      </c>
      <c r="AD15" s="203">
        <f t="shared" si="13"/>
        <v>-0.28813559322033899</v>
      </c>
      <c r="AE15" s="202">
        <f>IFERROR(GETPIVOTDATA("dato",'[1]evolucion mensual nacionali'!$A$4,"indicador","AUSTRIA","mes",4,"año",2010),"-")</f>
        <v>17</v>
      </c>
      <c r="AF15" s="203">
        <f t="shared" si="14"/>
        <v>-0.29166666666666663</v>
      </c>
      <c r="AG15" s="202">
        <f>IFERROR(GETPIVOTDATA("dato",'[1]evolucion mensual nacionali'!$A$4,"indicador","RUSIA","mes",4,"año",2010),"-")</f>
        <v>32</v>
      </c>
      <c r="AH15" s="203">
        <f t="shared" si="15"/>
        <v>-0.33333333333333337</v>
      </c>
      <c r="AI15" s="202">
        <f>IFERROR(GETPIVOTDATA("dato",'[1]evolucion mensual nacionali'!$A$4,"indicador","PAÍSES DEL ESTE","mes",4,"año",2010),"-")</f>
        <v>76</v>
      </c>
      <c r="AJ15" s="203">
        <f t="shared" si="16"/>
        <v>0.11764705882352944</v>
      </c>
      <c r="AK15" s="202">
        <f>IFERROR(GETPIVOTDATA("dato",'[1]evolucion mensual nacionali'!$A$4,"indicador","RESTO DE EUROPA","mes",4,"año",2010),"-")</f>
        <v>101</v>
      </c>
      <c r="AL15" s="203">
        <f t="shared" si="17"/>
        <v>-0.42285714285714282</v>
      </c>
      <c r="AM15" s="202">
        <f>IFERROR(GETPIVOTDATA("dato",'[1]evolucion mensual nacionali'!$A$4,"indicador","USA","mes",4,"año",2010),"-")</f>
        <v>147</v>
      </c>
      <c r="AN15" s="203">
        <f t="shared" si="18"/>
        <v>0.860759493670886</v>
      </c>
      <c r="AO15" s="202">
        <f>IFERROR(GETPIVOTDATA("dato",'[1]evolucion mensual nacionali'!$A$4,"indicador","RESTO DE AMÉRICA","mes",4,"año",2010),"-")</f>
        <v>306</v>
      </c>
      <c r="AP15" s="203">
        <f t="shared" si="19"/>
        <v>-0.33041575492341357</v>
      </c>
      <c r="AQ15" s="202">
        <f>IFERROR(GETPIVOTDATA("dato",'[1]evolucion mensual nacionali'!$A$4,"indicador","RESTO DEL MUNDO","mes",4,"año",2010),"-")</f>
        <v>358</v>
      </c>
      <c r="AR15" s="203">
        <f t="shared" si="20"/>
        <v>0.3984375</v>
      </c>
      <c r="AS15" s="202">
        <f t="shared" si="24"/>
        <v>2179</v>
      </c>
      <c r="AT15" s="203">
        <f t="shared" si="21"/>
        <v>-4.5971978984238215E-2</v>
      </c>
      <c r="AU15" s="204">
        <f>IFERROR(GETPIVOTDATA("dato",'[1]evolucion mensual nacionali'!$A$4,"indicador","TOTAL","mes",4,"año",2010),"-")</f>
        <v>12595</v>
      </c>
      <c r="AV15" s="205">
        <f t="shared" si="22"/>
        <v>-3.7005887300252338E-2</v>
      </c>
    </row>
    <row r="16" spans="2:49">
      <c r="B16" s="51" t="s">
        <v>47</v>
      </c>
      <c r="C16" s="202">
        <f>IFERROR(GETPIVOTDATA("dato",'[1]evolucion mensual nacionali'!$A$4,"indicador","España","mes",3,"año",2010),"-")</f>
        <v>12149</v>
      </c>
      <c r="D16" s="203">
        <f t="shared" si="0"/>
        <v>-6.0692747796505353E-2</v>
      </c>
      <c r="E16" s="202">
        <f>IFERROR(GETPIVOTDATA("dato",'[1]evolucion mensual nacionali'!$A$4,"indicador","HOLANDA","mes",3,"año",2010),"-")</f>
        <v>42</v>
      </c>
      <c r="F16" s="203">
        <f t="shared" si="1"/>
        <v>-0.16000000000000003</v>
      </c>
      <c r="G16" s="202">
        <f>IFERROR(GETPIVOTDATA("dato",'[1]evolucion mensual nacionali'!$A$4,"indicador","BÉLGICA","mes",3,"año",2010),"-")</f>
        <v>47</v>
      </c>
      <c r="H16" s="203">
        <f t="shared" si="2"/>
        <v>-0.25396825396825395</v>
      </c>
      <c r="I16" s="202">
        <f>IFERROR(GETPIVOTDATA("dato",'[1]evolucion mensual nacionali'!$A$4,"indicador","ALEMANIA","mes",3,"año",2010),"-")</f>
        <v>388</v>
      </c>
      <c r="J16" s="203">
        <f t="shared" si="3"/>
        <v>6.0109289617486406E-2</v>
      </c>
      <c r="K16" s="202">
        <f>IFERROR(GETPIVOTDATA("dato",'[1]evolucion mensual nacionali'!$A$4,"indicador","FRANCIA","mes",3,"año",2010),"-")</f>
        <v>208</v>
      </c>
      <c r="L16" s="203">
        <f t="shared" si="4"/>
        <v>-0.3112582781456954</v>
      </c>
      <c r="M16" s="202">
        <f>IFERROR(GETPIVOTDATA("dato",'[1]evolucion mensual nacionali'!$A$4,"indicador","REINO UNIDO","mes",3,"año",2010),"-")</f>
        <v>248</v>
      </c>
      <c r="N16" s="203">
        <f t="shared" si="5"/>
        <v>-8.4870848708487046E-2</v>
      </c>
      <c r="O16" s="202">
        <f>IFERROR(GETPIVOTDATA("dato",'[1]evolucion mensual nacionali'!$A$4,"indicador","IRLANDA","mes",3,"año",2010),"-")</f>
        <v>33</v>
      </c>
      <c r="P16" s="203">
        <f t="shared" si="6"/>
        <v>-0.36538461538461542</v>
      </c>
      <c r="Q16" s="202">
        <f>IFERROR(GETPIVOTDATA("dato",'[1]evolucion mensual nacionali'!$A$4,"indicador","ITALIA","mes",3,"año",2010),"-")</f>
        <v>203</v>
      </c>
      <c r="R16" s="203">
        <f t="shared" si="7"/>
        <v>-0.34304207119741104</v>
      </c>
      <c r="S16" s="202">
        <f t="shared" si="23"/>
        <v>128</v>
      </c>
      <c r="T16" s="203">
        <f t="shared" si="8"/>
        <v>-0.43859649122807021</v>
      </c>
      <c r="U16" s="202">
        <f>IFERROR(GETPIVOTDATA("dato",'[1]evolucion mensual nacionali'!$A$4,"indicador","SUECIA","mes",3,"año",2010),"-")</f>
        <v>39</v>
      </c>
      <c r="V16" s="203">
        <f t="shared" si="9"/>
        <v>-0.4</v>
      </c>
      <c r="W16" s="202">
        <f>IFERROR(GETPIVOTDATA("dato",'[1]evolucion mensual nacionali'!$A$4,"indicador","NORUEGA","mes",3,"año",2010),"-")</f>
        <v>14</v>
      </c>
      <c r="X16" s="203">
        <f t="shared" si="10"/>
        <v>-0.65</v>
      </c>
      <c r="Y16" s="202">
        <f>IFERROR(GETPIVOTDATA("dato",'[1]evolucion mensual nacionali'!$A$4,"indicador","DINAMARCA","mes",3,"año",2010),"-")</f>
        <v>27</v>
      </c>
      <c r="Z16" s="203">
        <f t="shared" si="11"/>
        <v>-0.47058823529411764</v>
      </c>
      <c r="AA16" s="202">
        <f>IFERROR(GETPIVOTDATA("dato",'[1]evolucion mensual nacionali'!$A$4,"indicador","FINLANDIA","mes",3,"año",2010),"-")</f>
        <v>48</v>
      </c>
      <c r="AB16" s="203">
        <f t="shared" si="12"/>
        <v>-0.33333333333333337</v>
      </c>
      <c r="AC16" s="202">
        <f>IFERROR(GETPIVOTDATA("dato",'[1]evolucion mensual nacionali'!$A$4,"indicador","SUIZA","mes",3,"año",2010),"-")</f>
        <v>39</v>
      </c>
      <c r="AD16" s="203">
        <f t="shared" si="13"/>
        <v>-0.20408163265306123</v>
      </c>
      <c r="AE16" s="202">
        <f>IFERROR(GETPIVOTDATA("dato",'[1]evolucion mensual nacionali'!$A$4,"indicador","AUSTRIA","mes",3,"año",2010),"-")</f>
        <v>37</v>
      </c>
      <c r="AF16" s="203">
        <f t="shared" si="14"/>
        <v>-0.27450980392156865</v>
      </c>
      <c r="AG16" s="202">
        <f>IFERROR(GETPIVOTDATA("dato",'[1]evolucion mensual nacionali'!$A$4,"indicador","RUSIA","mes",3,"año",2010),"-")</f>
        <v>41</v>
      </c>
      <c r="AH16" s="203">
        <f t="shared" si="15"/>
        <v>0.13888888888888884</v>
      </c>
      <c r="AI16" s="202">
        <f>IFERROR(GETPIVOTDATA("dato",'[1]evolucion mensual nacionali'!$A$4,"indicador","PAÍSES DEL ESTE","mes",3,"año",2010),"-")</f>
        <v>75</v>
      </c>
      <c r="AJ16" s="203">
        <f t="shared" si="16"/>
        <v>-0.31818181818181823</v>
      </c>
      <c r="AK16" s="202">
        <f>IFERROR(GETPIVOTDATA("dato",'[1]evolucion mensual nacionali'!$A$4,"indicador","RESTO DE EUROPA","mes",3,"año",2010),"-")</f>
        <v>135</v>
      </c>
      <c r="AL16" s="203">
        <f t="shared" si="17"/>
        <v>-0.34782608695652173</v>
      </c>
      <c r="AM16" s="202">
        <f>IFERROR(GETPIVOTDATA("dato",'[1]evolucion mensual nacionali'!$A$4,"indicador","USA","mes",3,"año",2010),"-")</f>
        <v>133</v>
      </c>
      <c r="AN16" s="203">
        <f t="shared" si="18"/>
        <v>0.51136363636363646</v>
      </c>
      <c r="AO16" s="202">
        <f>IFERROR(GETPIVOTDATA("dato",'[1]evolucion mensual nacionali'!$A$4,"indicador","RESTO DE AMÉRICA","mes",3,"año",2010),"-")</f>
        <v>359</v>
      </c>
      <c r="AP16" s="203">
        <f t="shared" si="19"/>
        <v>0.48347107438016534</v>
      </c>
      <c r="AQ16" s="202">
        <f>IFERROR(GETPIVOTDATA("dato",'[1]evolucion mensual nacionali'!$A$4,"indicador","RESTO DEL MUNDO","mes",3,"año",2010),"-")</f>
        <v>309</v>
      </c>
      <c r="AR16" s="203">
        <f t="shared" si="20"/>
        <v>4.7457627118643986E-2</v>
      </c>
      <c r="AS16" s="202">
        <f t="shared" si="24"/>
        <v>2425</v>
      </c>
      <c r="AT16" s="203">
        <f t="shared" si="21"/>
        <v>-0.10812798823096725</v>
      </c>
      <c r="AU16" s="204">
        <f>IFERROR(GETPIVOTDATA("dato",'[1]evolucion mensual nacionali'!$A$4,"indicador","TOTAL","mes",3,"año",2010),"-")</f>
        <v>14574</v>
      </c>
      <c r="AV16" s="205">
        <f t="shared" si="22"/>
        <v>-6.8932473008369022E-2</v>
      </c>
    </row>
    <row r="17" spans="2:48">
      <c r="B17" s="51" t="s">
        <v>48</v>
      </c>
      <c r="C17" s="202">
        <f>IFERROR(GETPIVOTDATA("dato",'[1]evolucion mensual nacionali'!$A$4,"indicador","España","mes",2,"año",2010),"-")</f>
        <v>13462</v>
      </c>
      <c r="D17" s="203">
        <f t="shared" si="0"/>
        <v>5.9749665433362242E-2</v>
      </c>
      <c r="E17" s="202">
        <f>IFERROR(GETPIVOTDATA("dato",'[1]evolucion mensual nacionali'!$A$4,"indicador","HOLANDA","mes",2,"año",2010),"-")</f>
        <v>153</v>
      </c>
      <c r="F17" s="203">
        <f t="shared" si="1"/>
        <v>1.283582089552239</v>
      </c>
      <c r="G17" s="202">
        <f>IFERROR(GETPIVOTDATA("dato",'[1]evolucion mensual nacionali'!$A$4,"indicador","BÉLGICA","mes",2,"año",2010),"-")</f>
        <v>45</v>
      </c>
      <c r="H17" s="203">
        <f t="shared" si="2"/>
        <v>0.21621621621621623</v>
      </c>
      <c r="I17" s="202">
        <f>IFERROR(GETPIVOTDATA("dato",'[1]evolucion mensual nacionali'!$A$4,"indicador","ALEMANIA","mes",2,"año",2010),"-")</f>
        <v>407</v>
      </c>
      <c r="J17" s="203">
        <f t="shared" si="3"/>
        <v>0.12430939226519344</v>
      </c>
      <c r="K17" s="202">
        <f>IFERROR(GETPIVOTDATA("dato",'[1]evolucion mensual nacionali'!$A$4,"indicador","FRANCIA","mes",2,"año",2010),"-")</f>
        <v>300</v>
      </c>
      <c r="L17" s="203">
        <f t="shared" si="4"/>
        <v>0.31578947368421062</v>
      </c>
      <c r="M17" s="202">
        <f>IFERROR(GETPIVOTDATA("dato",'[1]evolucion mensual nacionali'!$A$4,"indicador","REINO UNIDO","mes",2,"año",2010),"-")</f>
        <v>348</v>
      </c>
      <c r="N17" s="203">
        <f t="shared" si="5"/>
        <v>8.0745341614906874E-2</v>
      </c>
      <c r="O17" s="202">
        <f>IFERROR(GETPIVOTDATA("dato",'[1]evolucion mensual nacionali'!$A$4,"indicador","IRLANDA","mes",2,"año",2010),"-")</f>
        <v>52</v>
      </c>
      <c r="P17" s="203">
        <f t="shared" si="6"/>
        <v>0.15555555555555545</v>
      </c>
      <c r="Q17" s="202">
        <f>IFERROR(GETPIVOTDATA("dato",'[1]evolucion mensual nacionali'!$A$4,"indicador","ITALIA","mes",2,"año",2010),"-")</f>
        <v>318</v>
      </c>
      <c r="R17" s="203">
        <f t="shared" si="7"/>
        <v>0.42600896860986537</v>
      </c>
      <c r="S17" s="202">
        <f t="shared" si="23"/>
        <v>293</v>
      </c>
      <c r="T17" s="203">
        <f t="shared" si="8"/>
        <v>0.23109243697478998</v>
      </c>
      <c r="U17" s="202">
        <f>IFERROR(GETPIVOTDATA("dato",'[1]evolucion mensual nacionali'!$A$4,"indicador","SUECIA","mes",2,"año",2010),"-")</f>
        <v>100</v>
      </c>
      <c r="V17" s="203">
        <f t="shared" si="9"/>
        <v>0.47058823529411775</v>
      </c>
      <c r="W17" s="202">
        <f>IFERROR(GETPIVOTDATA("dato",'[1]evolucion mensual nacionali'!$A$4,"indicador","NORUEGA","mes",2,"año",2010),"-")</f>
        <v>52</v>
      </c>
      <c r="X17" s="203">
        <f t="shared" si="10"/>
        <v>-3.703703703703709E-2</v>
      </c>
      <c r="Y17" s="202">
        <f>IFERROR(GETPIVOTDATA("dato",'[1]evolucion mensual nacionali'!$A$4,"indicador","DINAMARCA","mes",2,"año",2010),"-")</f>
        <v>75</v>
      </c>
      <c r="Z17" s="203">
        <f t="shared" si="11"/>
        <v>0.13636363636363646</v>
      </c>
      <c r="AA17" s="202">
        <f>IFERROR(GETPIVOTDATA("dato",'[1]evolucion mensual nacionali'!$A$4,"indicador","FINLANDIA","mes",2,"año",2010),"-")</f>
        <v>66</v>
      </c>
      <c r="AB17" s="203">
        <f t="shared" si="12"/>
        <v>0.32000000000000006</v>
      </c>
      <c r="AC17" s="202">
        <f>IFERROR(GETPIVOTDATA("dato",'[1]evolucion mensual nacionali'!$A$4,"indicador","SUIZA","mes",2,"año",2010),"-")</f>
        <v>54</v>
      </c>
      <c r="AD17" s="203">
        <f t="shared" si="13"/>
        <v>-0.15625</v>
      </c>
      <c r="AE17" s="202">
        <f>IFERROR(GETPIVOTDATA("dato",'[1]evolucion mensual nacionali'!$A$4,"indicador","AUSTRIA","mes",2,"año",2010),"-")</f>
        <v>68</v>
      </c>
      <c r="AF17" s="203">
        <f t="shared" si="14"/>
        <v>1.0606060606060606</v>
      </c>
      <c r="AG17" s="202">
        <f>IFERROR(GETPIVOTDATA("dato",'[1]evolucion mensual nacionali'!$A$4,"indicador","RUSIA","mes",2,"año",2010),"-")</f>
        <v>73</v>
      </c>
      <c r="AH17" s="203">
        <f t="shared" si="15"/>
        <v>2.3181818181818183</v>
      </c>
      <c r="AI17" s="202">
        <f>IFERROR(GETPIVOTDATA("dato",'[1]evolucion mensual nacionali'!$A$4,"indicador","PAÍSES DEL ESTE","mes",2,"año",2010),"-")</f>
        <v>86</v>
      </c>
      <c r="AJ17" s="203">
        <f t="shared" si="16"/>
        <v>0.24637681159420288</v>
      </c>
      <c r="AK17" s="202">
        <f>IFERROR(GETPIVOTDATA("dato",'[1]evolucion mensual nacionali'!$A$4,"indicador","RESTO DE EUROPA","mes",2,"año",2010),"-")</f>
        <v>173</v>
      </c>
      <c r="AL17" s="203">
        <f t="shared" si="17"/>
        <v>0.1768707482993197</v>
      </c>
      <c r="AM17" s="202">
        <f>IFERROR(GETPIVOTDATA("dato",'[1]evolucion mensual nacionali'!$A$4,"indicador","USA","mes",2,"año",2010),"-")</f>
        <v>106</v>
      </c>
      <c r="AN17" s="203">
        <f t="shared" si="18"/>
        <v>0.39473684210526305</v>
      </c>
      <c r="AO17" s="202">
        <f>IFERROR(GETPIVOTDATA("dato",'[1]evolucion mensual nacionali'!$A$4,"indicador","RESTO DE AMÉRICA","mes",2,"año",2010),"-")</f>
        <v>483</v>
      </c>
      <c r="AP17" s="203">
        <f t="shared" si="19"/>
        <v>0.67708333333333326</v>
      </c>
      <c r="AQ17" s="202">
        <f>IFERROR(GETPIVOTDATA("dato",'[1]evolucion mensual nacionali'!$A$4,"indicador","RESTO DEL MUNDO","mes",2,"año",2010),"-")</f>
        <v>338</v>
      </c>
      <c r="AR17" s="203">
        <f t="shared" si="20"/>
        <v>0.36290322580645151</v>
      </c>
      <c r="AS17" s="202">
        <f t="shared" si="24"/>
        <v>3297</v>
      </c>
      <c r="AT17" s="203">
        <f t="shared" si="21"/>
        <v>0.3353584447144593</v>
      </c>
      <c r="AU17" s="204">
        <f>IFERROR(GETPIVOTDATA("dato",'[1]evolucion mensual nacionali'!$A$4,"indicador","TOTAL","mes",2,"año",2010),"-")</f>
        <v>16759</v>
      </c>
      <c r="AV17" s="205">
        <f t="shared" si="22"/>
        <v>0.10460058001581851</v>
      </c>
    </row>
    <row r="18" spans="2:48">
      <c r="B18" s="51" t="s">
        <v>49</v>
      </c>
      <c r="C18" s="202">
        <f>IFERROR(GETPIVOTDATA("dato",'[1]evolucion mensual nacionali'!$A$4,"indicador","España","mes",1,"año",2010),"-")</f>
        <v>10110</v>
      </c>
      <c r="D18" s="203">
        <f t="shared" si="0"/>
        <v>-6.7859118569057686E-2</v>
      </c>
      <c r="E18" s="202">
        <f>IFERROR(GETPIVOTDATA("dato",'[1]evolucion mensual nacionali'!$A$4,"indicador","HOLANDA","mes",1,"año",2010),"-")</f>
        <v>98</v>
      </c>
      <c r="F18" s="203">
        <f t="shared" si="1"/>
        <v>-8.411214953271029E-2</v>
      </c>
      <c r="G18" s="202">
        <f>IFERROR(GETPIVOTDATA("dato",'[1]evolucion mensual nacionali'!$A$4,"indicador","BÉLGICA","mes",1,"año",2010),"-")</f>
        <v>57</v>
      </c>
      <c r="H18" s="203">
        <f t="shared" si="2"/>
        <v>-0.19718309859154926</v>
      </c>
      <c r="I18" s="202">
        <f>IFERROR(GETPIVOTDATA("dato",'[1]evolucion mensual nacionali'!$A$4,"indicador","ALEMANIA","mes",1,"año",2010),"-")</f>
        <v>382</v>
      </c>
      <c r="J18" s="203">
        <f t="shared" si="3"/>
        <v>-7.9518072289156638E-2</v>
      </c>
      <c r="K18" s="202">
        <f>IFERROR(GETPIVOTDATA("dato",'[1]evolucion mensual nacionali'!$A$4,"indicador","FRANCIA","mes",1,"año",2010),"-")</f>
        <v>228</v>
      </c>
      <c r="L18" s="203">
        <f t="shared" si="4"/>
        <v>0.2808988764044944</v>
      </c>
      <c r="M18" s="202">
        <f>IFERROR(GETPIVOTDATA("dato",'[1]evolucion mensual nacionali'!$A$4,"indicador","REINO UNIDO","mes",1,"año",2010),"-")</f>
        <v>517</v>
      </c>
      <c r="N18" s="203">
        <f t="shared" si="5"/>
        <v>0.45633802816901414</v>
      </c>
      <c r="O18" s="202">
        <f>IFERROR(GETPIVOTDATA("dato",'[1]evolucion mensual nacionali'!$A$4,"indicador","IRLANDA","mes",1,"año",2010),"-")</f>
        <v>58</v>
      </c>
      <c r="P18" s="203">
        <f t="shared" si="6"/>
        <v>0.18367346938775508</v>
      </c>
      <c r="Q18" s="202">
        <f>IFERROR(GETPIVOTDATA("dato",'[1]evolucion mensual nacionali'!$A$4,"indicador","ITALIA","mes",1,"año",2010),"-")</f>
        <v>282</v>
      </c>
      <c r="R18" s="203">
        <f t="shared" si="7"/>
        <v>-4.081632653061229E-2</v>
      </c>
      <c r="S18" s="202">
        <f t="shared" si="23"/>
        <v>186</v>
      </c>
      <c r="T18" s="203">
        <f t="shared" si="8"/>
        <v>-0.25600000000000001</v>
      </c>
      <c r="U18" s="202">
        <f>IFERROR(GETPIVOTDATA("dato",'[1]evolucion mensual nacionali'!$A$4,"indicador","SUECIA","mes",1,"año",2010),"-")</f>
        <v>47</v>
      </c>
      <c r="V18" s="203">
        <f t="shared" si="9"/>
        <v>0.34285714285714275</v>
      </c>
      <c r="W18" s="202">
        <f>IFERROR(GETPIVOTDATA("dato",'[1]evolucion mensual nacionali'!$A$4,"indicador","NORUEGA","mes",1,"año",2010),"-")</f>
        <v>24</v>
      </c>
      <c r="X18" s="203">
        <f t="shared" si="10"/>
        <v>-0.47826086956521741</v>
      </c>
      <c r="Y18" s="202">
        <f>IFERROR(GETPIVOTDATA("dato",'[1]evolucion mensual nacionali'!$A$4,"indicador","DINAMARCA","mes",1,"año",2010),"-")</f>
        <v>38</v>
      </c>
      <c r="Z18" s="203">
        <f t="shared" si="11"/>
        <v>-0.29629629629629628</v>
      </c>
      <c r="AA18" s="202">
        <f>IFERROR(GETPIVOTDATA("dato",'[1]evolucion mensual nacionali'!$A$4,"indicador","FINLANDIA","mes",1,"año",2010),"-")</f>
        <v>77</v>
      </c>
      <c r="AB18" s="203">
        <f t="shared" si="12"/>
        <v>-0.33043478260869563</v>
      </c>
      <c r="AC18" s="202">
        <f>IFERROR(GETPIVOTDATA("dato",'[1]evolucion mensual nacionali'!$A$4,"indicador","SUIZA","mes",1,"año",2010),"-")</f>
        <v>75</v>
      </c>
      <c r="AD18" s="203">
        <f t="shared" si="13"/>
        <v>0.22950819672131151</v>
      </c>
      <c r="AE18" s="202">
        <f>IFERROR(GETPIVOTDATA("dato",'[1]evolucion mensual nacionali'!$A$4,"indicador","AUSTRIA","mes",1,"año",2010),"-")</f>
        <v>35</v>
      </c>
      <c r="AF18" s="203">
        <f t="shared" si="14"/>
        <v>2.9411764705882248E-2</v>
      </c>
      <c r="AG18" s="202">
        <f>IFERROR(GETPIVOTDATA("dato",'[1]evolucion mensual nacionali'!$A$4,"indicador","RUSIA","mes",1,"año",2010),"-")</f>
        <v>38</v>
      </c>
      <c r="AH18" s="203">
        <f t="shared" si="15"/>
        <v>-0.43283582089552242</v>
      </c>
      <c r="AI18" s="202">
        <f>IFERROR(GETPIVOTDATA("dato",'[1]evolucion mensual nacionali'!$A$4,"indicador","PAÍSES DEL ESTE","mes",1,"año",2010),"-")</f>
        <v>89</v>
      </c>
      <c r="AJ18" s="203">
        <f t="shared" si="16"/>
        <v>0.18666666666666676</v>
      </c>
      <c r="AK18" s="202">
        <f>IFERROR(GETPIVOTDATA("dato",'[1]evolucion mensual nacionali'!$A$4,"indicador","RESTO DE EUROPA","mes",1,"año",2010),"-")</f>
        <v>129</v>
      </c>
      <c r="AL18" s="203">
        <f t="shared" si="17"/>
        <v>7.8125E-3</v>
      </c>
      <c r="AM18" s="202">
        <f>IFERROR(GETPIVOTDATA("dato",'[1]evolucion mensual nacionali'!$A$4,"indicador","USA","mes",1,"año",2010),"-")</f>
        <v>100</v>
      </c>
      <c r="AN18" s="203">
        <f t="shared" si="18"/>
        <v>0.81818181818181812</v>
      </c>
      <c r="AO18" s="202">
        <f>IFERROR(GETPIVOTDATA("dato",'[1]evolucion mensual nacionali'!$A$4,"indicador","RESTO DE AMÉRICA","mes",1,"año",2010),"-")</f>
        <v>503</v>
      </c>
      <c r="AP18" s="203">
        <f t="shared" si="19"/>
        <v>0.60191082802547768</v>
      </c>
      <c r="AQ18" s="202">
        <f>IFERROR(GETPIVOTDATA("dato",'[1]evolucion mensual nacionali'!$A$4,"indicador","RESTO DEL MUNDO","mes",1,"año",2010),"-")</f>
        <v>301</v>
      </c>
      <c r="AR18" s="203">
        <f t="shared" si="20"/>
        <v>0.11070110701107017</v>
      </c>
      <c r="AS18" s="202">
        <f t="shared" si="24"/>
        <v>3078</v>
      </c>
      <c r="AT18" s="203">
        <f t="shared" si="21"/>
        <v>0.12995594713656389</v>
      </c>
      <c r="AU18" s="204">
        <f>IFERROR(GETPIVOTDATA("dato",'[1]evolucion mensual nacionali'!$A$4,"indicador","TOTAL","mes",1,"año",2010),"-")</f>
        <v>13188</v>
      </c>
      <c r="AV18" s="205">
        <f t="shared" si="22"/>
        <v>-2.8150331613854052E-2</v>
      </c>
    </row>
    <row r="19" spans="2:48" ht="24">
      <c r="B19" s="206" t="s">
        <v>55</v>
      </c>
      <c r="C19" s="207">
        <f>GETPIVOTDATA("dato",'[1]evolucion mensual nacionali'!$A$4,"indicador","España","año",2010)</f>
        <v>76373</v>
      </c>
      <c r="D19" s="208">
        <f>IFERROR((C18+C17+C16+C15+C14+C13+C12)/(C31+C30+C29+C28+C27+C26+C25)-1,"-")</f>
        <v>-4.258493167857591E-2</v>
      </c>
      <c r="E19" s="207">
        <f>GETPIVOTDATA("dato",'[1]evolucion mensual nacionali'!$A$4,"indicador","HOLANDA","año",2010)</f>
        <v>506</v>
      </c>
      <c r="F19" s="208">
        <f>IFERROR((E18+E17+E16+E15+E14+E13+E12)/(E31+E30+E29+E28+E27+E26+E25)-1,"-")</f>
        <v>0.27777777777777768</v>
      </c>
      <c r="G19" s="207">
        <f>GETPIVOTDATA("dato",'[1]evolucion mensual nacionali'!$A$4,"indicador","BÉLGICA","año",2010)</f>
        <v>340</v>
      </c>
      <c r="H19" s="208">
        <f>IFERROR((G18+G17+G16+G15+G14+G13+G12)/(G31+G30+G29+G28+G27+G26+G25)-1,"-")</f>
        <v>4.2944785276073594E-2</v>
      </c>
      <c r="I19" s="207">
        <f>GETPIVOTDATA("dato",'[1]evolucion mensual nacionali'!$A$4,"indicador","ALEMANIA","año",2010)</f>
        <v>1950</v>
      </c>
      <c r="J19" s="208">
        <f>IFERROR((I18+I17+I16+I15+I14+I13+I12)/(I31+I30+I29+I28+I27+I26+I25)-1,"-")</f>
        <v>4.5576407506702443E-2</v>
      </c>
      <c r="K19" s="207">
        <f>GETPIVOTDATA("dato",'[1]evolucion mensual nacionali'!$A$4,"indicador","FRANCIA","año",2010)</f>
        <v>1375</v>
      </c>
      <c r="L19" s="208">
        <f>IFERROR((K18+K17+K16+K15+K14+K13+K12)/(K31+K30+K29+K28+K27+K26+K25)-1,"-")</f>
        <v>-0.10540013012361749</v>
      </c>
      <c r="M19" s="207">
        <f>GETPIVOTDATA("dato",'[1]evolucion mensual nacionali'!$A$4,"indicador","REINO UNIDO","año",2010)</f>
        <v>1735</v>
      </c>
      <c r="N19" s="208">
        <f>IFERROR((M18+M17+M16+M15+M14+M13+M12)/(M31+M30+M29+M28+M27+M26+M25)-1,"-")</f>
        <v>6.6379840196681084E-2</v>
      </c>
      <c r="O19" s="207">
        <f>GETPIVOTDATA("dato",'[1]evolucion mensual nacionali'!$A$4,"indicador","IRLANDA","año",2010)</f>
        <v>238</v>
      </c>
      <c r="P19" s="208">
        <f>IFERROR((O18+O17+O16+O15+O14+O13+O12)/(O31+O30+O29+O28+O27+O26+O25)-1,"-")</f>
        <v>4.2194092827003704E-3</v>
      </c>
      <c r="Q19" s="207">
        <f>GETPIVOTDATA("dato",'[1]evolucion mensual nacionali'!$A$4,"indicador","ITALIA","año",2010)</f>
        <v>1493</v>
      </c>
      <c r="R19" s="208">
        <f>IFERROR((Q18+Q17+Q16+Q15+Q14+Q13+Q12)/(Q31+Q30+Q29+Q28+Q27+Q26+Q25)-1,"-")</f>
        <v>-2.9889538661468484E-2</v>
      </c>
      <c r="S19" s="207">
        <f t="shared" si="23"/>
        <v>917</v>
      </c>
      <c r="T19" s="208">
        <f>IFERROR((S18+S17+S16+S15+S14+S13+S12)/(S31+S30+S29+S28+S27+S26+S25)-1,"-")</f>
        <v>-0.108843537414966</v>
      </c>
      <c r="U19" s="207">
        <f>GETPIVOTDATA("dato",'[1]evolucion mensual nacionali'!$A$4,"indicador","SUECIA","año",2010)</f>
        <v>254</v>
      </c>
      <c r="V19" s="208">
        <f>IFERROR((U18+U17+U16+U15+U14+U13+U12)/(U31+U30+U29+U28+U27+U26+U25)-1,"-")</f>
        <v>7.1729957805907185E-2</v>
      </c>
      <c r="W19" s="207">
        <f>GETPIVOTDATA("dato",'[1]evolucion mensual nacionali'!$A$4,"indicador","NORUEGA","año",2010)</f>
        <v>171</v>
      </c>
      <c r="X19" s="208">
        <f>IFERROR((W18+W17+W16+W15+W14+W13+W12)/(W31+W30+W29+W28+W27+W26+W25)-1,"-")</f>
        <v>-0.27542372881355937</v>
      </c>
      <c r="Y19" s="207">
        <f>GETPIVOTDATA("dato",'[1]evolucion mensual nacionali'!$A$4,"indicador","DINAMARCA","año",2010)</f>
        <v>209</v>
      </c>
      <c r="Z19" s="208">
        <f>IFERROR((Y18+Y17+Y16+Y15+Y14+Y13+Y12)/(Y31+Y30+Y29+Y28+Y27+Y26+Y25)-1,"-")</f>
        <v>-0.12184873949579833</v>
      </c>
      <c r="AA19" s="207">
        <f>GETPIVOTDATA("dato",'[1]evolucion mensual nacionali'!$A$4,"indicador","FINLANDIA","año",2010)</f>
        <v>283</v>
      </c>
      <c r="AB19" s="208">
        <f>IFERROR((AA18+AA17+AA16+AA15+AA14+AA13+AA12)/(AA31+AA30+AA29+AA28+AA27+AA26+AA25)-1,"-")</f>
        <v>-0.11006289308176098</v>
      </c>
      <c r="AC19" s="207">
        <f>GETPIVOTDATA("dato",'[1]evolucion mensual nacionali'!$A$4,"indicador","SUIZA","año",2010)</f>
        <v>309</v>
      </c>
      <c r="AD19" s="208">
        <f>IFERROR((AC18+AC17+AC16+AC15+AC14+AC13+AC12)/(AC31+AC30+AC29+AC28+AC27+AC26+AC25)-1,"-")</f>
        <v>-4.3343653250773939E-2</v>
      </c>
      <c r="AE19" s="207">
        <f>GETPIVOTDATA("dato",'[1]evolucion mensual nacionali'!$A$4,"indicador","AUSTRIA","año",2010)</f>
        <v>201</v>
      </c>
      <c r="AF19" s="208">
        <f>IFERROR((AE18+AE17+AE16+AE15+AE14+AE13+AE12)/(AE31+AE30+AE29+AE28+AE27+AE26+AE25)-1,"-")</f>
        <v>1.5151515151515138E-2</v>
      </c>
      <c r="AG19" s="207">
        <f>GETPIVOTDATA("dato",'[1]evolucion mensual nacionali'!$A$4,"indicador","RUSIA","año",2010)</f>
        <v>247</v>
      </c>
      <c r="AH19" s="208">
        <f>IFERROR((AG18+AG17+AG16+AG15+AG14+AG13+AG12)/(AG31+AG30+AG29+AG28+AG27+AG26+AG25)-1,"-")</f>
        <v>-3.515625E-2</v>
      </c>
      <c r="AI19" s="207">
        <f>GETPIVOTDATA("dato",'[1]evolucion mensual nacionali'!$A$4,"indicador","PAÍSES DEL ESTE","año",2010)</f>
        <v>468</v>
      </c>
      <c r="AJ19" s="208">
        <f>IFERROR((AI18+AI17+AI16+AI15+AI14+AI13+AI12)/(AI31+AI30+AI29+AI28+AI27+AI26+AI25)-1,"-")</f>
        <v>-0.19310344827586212</v>
      </c>
      <c r="AK19" s="207">
        <f>GETPIVOTDATA("dato",'[1]evolucion mensual nacionali'!$A$4,"indicador","RESTO DE EUROPA","año",2010)</f>
        <v>984</v>
      </c>
      <c r="AL19" s="208">
        <f>IFERROR((AK18+AK17+AK16+AK15+AK14+AK13+AK12)/(AK31+AK30+AK29+AK28+AK27+AK26+AK25)-1,"-")</f>
        <v>-9.8901098901098883E-2</v>
      </c>
      <c r="AM19" s="207">
        <f>GETPIVOTDATA("dato",'[1]evolucion mensual nacionali'!$A$4,"indicador","USA","año",2010)</f>
        <v>786</v>
      </c>
      <c r="AN19" s="208">
        <f>IFERROR((AM18+AM17+AM16+AM15+AM14+AM13+AM12)/(AM31+AM30+AM29+AM28+AM27+AM26+AM25)-1,"-")</f>
        <v>0.41366906474820153</v>
      </c>
      <c r="AO19" s="207">
        <f>GETPIVOTDATA("dato",'[1]evolucion mensual nacionali'!$A$4,"indicador","RESTO DE AMÉRICA","año",2010)</f>
        <v>2741</v>
      </c>
      <c r="AP19" s="208">
        <f>IFERROR((AO18+AO17+AO16+AO15+AO14+AO13+AO12)/(AO31+AO30+AO29+AO28+AO27+AO26+AO25)-1,"-")</f>
        <v>0.11332250203086924</v>
      </c>
      <c r="AQ19" s="207">
        <f>GETPIVOTDATA("dato",'[1]evolucion mensual nacionali'!$A$4,"indicador","RESTO DEL MUNDO","año",2010)</f>
        <v>2153</v>
      </c>
      <c r="AR19" s="208">
        <f>IFERROR((AQ18+AQ17+AQ16+AQ15+AQ14+AQ13+AQ12)/(AQ31+AQ30+AQ29+AQ28+AQ27+AQ26+AQ25)-1,"-")</f>
        <v>0.1994428969359332</v>
      </c>
      <c r="AS19" s="207">
        <f t="shared" si="24"/>
        <v>16443</v>
      </c>
      <c r="AT19" s="208">
        <f>IFERROR((AS18+AS17+AS16+AS15+AS14+AS13+AS12)/(AS31+AS30+AS29+AS28+AS27+AS26+AS25)-1,"-")</f>
        <v>3.9511948413200049E-2</v>
      </c>
      <c r="AU19" s="207">
        <f>GETPIVOTDATA("dato",'[1]evolucion mensual nacionali'!$A$4,"indicador","TOTAL","año",2010)</f>
        <v>92816</v>
      </c>
      <c r="AV19" s="208">
        <f>IFERROR((AU18+AU17+AU16+AU15+AU14+AU13+AU12)/(AU31+AU30+AU29+AU28+AU27+AU26+AU25)-1,"-")</f>
        <v>-2.8999455998660939E-2</v>
      </c>
    </row>
    <row r="20" spans="2:48" ht="15" hidden="1" customHeight="1" outlineLevel="1">
      <c r="B20" s="51" t="s">
        <v>38</v>
      </c>
      <c r="C20" s="202">
        <f>IFERROR(GETPIVOTDATA("dato",'[1]evolucion mensual nacionali'!$A$4,"indicador","España","mes",12,"año",2009),"-")</f>
        <v>10029</v>
      </c>
      <c r="D20" s="203">
        <f t="shared" ref="D20:D71" si="25">IFERROR(C20/C33-1,"-")</f>
        <v>-0.1994731800766284</v>
      </c>
      <c r="E20" s="202">
        <f>IFERROR(GETPIVOTDATA("dato",'[1]evolucion mensual nacionali'!$A$4,"indicador","HOLANDA","mes",12,"año",2009),"-")</f>
        <v>99</v>
      </c>
      <c r="F20" s="203">
        <f t="shared" ref="F20:F71" si="26">IFERROR(E20/E33-1,"-")</f>
        <v>-8.333333333333337E-2</v>
      </c>
      <c r="G20" s="202">
        <f>IFERROR(GETPIVOTDATA("dato",'[1]evolucion mensual nacionali'!$A$4,"indicador","BÉLGICA","mes",12,"año",2009),"-")</f>
        <v>96</v>
      </c>
      <c r="H20" s="203">
        <f t="shared" ref="H20:H71" si="27">IFERROR(G20/G33-1,"-")</f>
        <v>0.84615384615384626</v>
      </c>
      <c r="I20" s="202">
        <f>IFERROR(GETPIVOTDATA("dato",'[1]evolucion mensual nacionali'!$A$4,"indicador","ALEMANIA","mes",12,"año",2009),"-")</f>
        <v>546</v>
      </c>
      <c r="J20" s="203">
        <f t="shared" ref="J20:J71" si="28">IFERROR(I20/I33-1,"-")</f>
        <v>7.3800738007379074E-3</v>
      </c>
      <c r="K20" s="202">
        <f>IFERROR(GETPIVOTDATA("dato",'[1]evolucion mensual nacionali'!$A$4,"indicador","FRANCIA","mes",12,"año",2009),"-")</f>
        <v>227</v>
      </c>
      <c r="L20" s="203">
        <f t="shared" ref="L20:L71" si="29">IFERROR(K20/K33-1,"-")</f>
        <v>-0.22525597269624575</v>
      </c>
      <c r="M20" s="202">
        <f>IFERROR(GETPIVOTDATA("dato",'[1]evolucion mensual nacionali'!$A$4,"indicador","REINO UNIDO","mes",12,"año",2009),"-")</f>
        <v>385</v>
      </c>
      <c r="N20" s="203">
        <f t="shared" ref="N20:N71" si="30">IFERROR(M20/M33-1,"-")</f>
        <v>-0.17558886509635974</v>
      </c>
      <c r="O20" s="202">
        <f>IFERROR(GETPIVOTDATA("dato",'[1]evolucion mensual nacionali'!$A$4,"indicador","IRLANDA","mes",12,"año",2009),"-")</f>
        <v>44</v>
      </c>
      <c r="P20" s="203">
        <f t="shared" ref="P20:P71" si="31">IFERROR(O20/O33-1,"-")</f>
        <v>-0.34328358208955223</v>
      </c>
      <c r="Q20" s="202">
        <f>IFERROR(GETPIVOTDATA("dato",'[1]evolucion mensual nacionali'!$A$4,"indicador","ITALIA","mes",12,"año",2009),"-")</f>
        <v>272</v>
      </c>
      <c r="R20" s="203">
        <f t="shared" ref="R20:R71" si="32">IFERROR(Q20/Q33-1,"-")</f>
        <v>3.4220532319391594E-2</v>
      </c>
      <c r="S20" s="202">
        <f>U20+W20+Y20+AA20</f>
        <v>158</v>
      </c>
      <c r="T20" s="203">
        <f t="shared" ref="T20:T71" si="33">IFERROR(S20/S33-1,"-")</f>
        <v>-0.28828828828828834</v>
      </c>
      <c r="U20" s="202">
        <f>IFERROR(GETPIVOTDATA("dato",'[1]evolucion mensual nacionali'!$A$4,"indicador","SUECIA","mes",12,"año",2009),"-")</f>
        <v>21</v>
      </c>
      <c r="V20" s="203">
        <f t="shared" ref="V20:V71" si="34">IFERROR(U20/U33-1,"-")</f>
        <v>-0.4</v>
      </c>
      <c r="W20" s="202">
        <f>IFERROR(GETPIVOTDATA("dato",'[1]evolucion mensual nacionali'!$A$4,"indicador","NORUEGA","mes",12,"año",2009),"-")</f>
        <v>56</v>
      </c>
      <c r="X20" s="203">
        <f t="shared" ref="X20:X71" si="35">IFERROR(W20/W33-1,"-")</f>
        <v>-0.27272727272727271</v>
      </c>
      <c r="Y20" s="202">
        <f>IFERROR(GETPIVOTDATA("dato",'[1]evolucion mensual nacionali'!$A$4,"indicador","DINAMARCA","mes",12,"año",2009),"-")</f>
        <v>31</v>
      </c>
      <c r="Z20" s="203">
        <f t="shared" ref="Z20:Z71" si="36">IFERROR(Y20/Y33-1,"-")</f>
        <v>0</v>
      </c>
      <c r="AA20" s="202">
        <f>IFERROR(GETPIVOTDATA("dato",'[1]evolucion mensual nacionali'!$A$4,"indicador","FINLANDIA","mes",12,"año",2009),"-")</f>
        <v>50</v>
      </c>
      <c r="AB20" s="203">
        <f t="shared" ref="AB20:AB71" si="37">IFERROR(AA20/AA33-1,"-")</f>
        <v>-0.36708860759493667</v>
      </c>
      <c r="AC20" s="202">
        <f>IFERROR(GETPIVOTDATA("dato",'[1]evolucion mensual nacionali'!$A$4,"indicador","SUIZA","mes",12,"año",2009),"-")</f>
        <v>91</v>
      </c>
      <c r="AD20" s="203">
        <f t="shared" ref="AD20:AD71" si="38">IFERROR(AC20/AC33-1,"-")</f>
        <v>0.54237288135593231</v>
      </c>
      <c r="AE20" s="202">
        <f>IFERROR(GETPIVOTDATA("dato",'[1]evolucion mensual nacionali'!$A$4,"indicador","AUSTRIA","mes",12,"año",2009),"-")</f>
        <v>48</v>
      </c>
      <c r="AF20" s="203">
        <f t="shared" ref="AF20:AF71" si="39">IFERROR(AE20/AE33-1,"-")</f>
        <v>0.37142857142857144</v>
      </c>
      <c r="AG20" s="202">
        <f>IFERROR(GETPIVOTDATA("dato",'[1]evolucion mensual nacionali'!$A$4,"indicador","RUSIA","mes",12,"año",2009),"-")</f>
        <v>21</v>
      </c>
      <c r="AH20" s="203">
        <f t="shared" ref="AH20:AH71" si="40">IFERROR(AG20/AG33-1,"-")</f>
        <v>-0.78350515463917525</v>
      </c>
      <c r="AI20" s="202">
        <f>IFERROR(GETPIVOTDATA("dato",'[1]evolucion mensual nacionali'!$A$4,"indicador","PAÍSES DEL ESTE","mes",12,"año",2009),"-")</f>
        <v>75</v>
      </c>
      <c r="AJ20" s="203">
        <f t="shared" ref="AJ20:AJ71" si="41">IFERROR(AI20/AI33-1,"-")</f>
        <v>-0.21875</v>
      </c>
      <c r="AK20" s="202">
        <f>IFERROR(GETPIVOTDATA("dato",'[1]evolucion mensual nacionali'!$A$4,"indicador","RESTO DE EUROPA","mes",12,"año",2009),"-")</f>
        <v>130</v>
      </c>
      <c r="AL20" s="203">
        <f t="shared" ref="AL20:AL71" si="42">IFERROR(AK20/AK33-1,"-")</f>
        <v>-0.44680851063829785</v>
      </c>
      <c r="AM20" s="202">
        <f>IFERROR(GETPIVOTDATA("dato",'[1]evolucion mensual nacionali'!$A$4,"indicador","USA","mes",12,"año",2009),"-")</f>
        <v>84</v>
      </c>
      <c r="AN20" s="203">
        <f t="shared" ref="AN20:AN71" si="43">IFERROR(AM20/AM33-1,"-")</f>
        <v>-0.125</v>
      </c>
      <c r="AO20" s="202">
        <f>IFERROR(GETPIVOTDATA("dato",'[1]evolucion mensual nacionali'!$A$4,"indicador","RESTO DE AMÉRICA","mes",12,"año",2009),"-")</f>
        <v>479</v>
      </c>
      <c r="AP20" s="203">
        <f t="shared" ref="AP20:AP71" si="44">IFERROR(AO20/AO33-1,"-")</f>
        <v>-8.0614203454894451E-2</v>
      </c>
      <c r="AQ20" s="202">
        <f>IFERROR(GETPIVOTDATA("dato",'[1]evolucion mensual nacionali'!$A$4,"indicador","RESTO DEL MUNDO","mes",12,"año",2009),"-")</f>
        <v>302</v>
      </c>
      <c r="AR20" s="203">
        <f t="shared" ref="AR20:AR71" si="45">IFERROR(AQ20/AQ33-1,"-")</f>
        <v>-0.33037694013303764</v>
      </c>
      <c r="AS20" s="202">
        <f>AU20-C20</f>
        <v>3057</v>
      </c>
      <c r="AT20" s="203">
        <f t="shared" ref="AT20:AT71" si="46">IFERROR(AS20/AS33-1,"-")</f>
        <v>-0.15177580466148721</v>
      </c>
      <c r="AU20" s="204">
        <f>IFERROR(GETPIVOTDATA("dato",'[1]evolucion mensual nacionali'!$A$4,"indicador","TOTAL","mes",12,"año",2009),"-")</f>
        <v>13086</v>
      </c>
      <c r="AV20" s="205">
        <f t="shared" ref="AV20:AV71" si="47">IFERROR(AU20/AU33-1,"-")</f>
        <v>-0.18881725762459711</v>
      </c>
    </row>
    <row r="21" spans="2:48" ht="15" hidden="1" customHeight="1" outlineLevel="1">
      <c r="B21" s="51" t="s">
        <v>39</v>
      </c>
      <c r="C21" s="202">
        <f>IFERROR(GETPIVOTDATA("dato",'[1]evolucion mensual nacionali'!$A$4,"indicador","España","mes",11,"año",2009),"-")</f>
        <v>11166</v>
      </c>
      <c r="D21" s="203">
        <f t="shared" si="25"/>
        <v>-0.22619542619542621</v>
      </c>
      <c r="E21" s="202">
        <f>IFERROR(GETPIVOTDATA("dato",'[1]evolucion mensual nacionali'!$A$4,"indicador","HOLANDA","mes",11,"año",2009),"-")</f>
        <v>50</v>
      </c>
      <c r="F21" s="203">
        <f t="shared" si="26"/>
        <v>-0.16666666666666663</v>
      </c>
      <c r="G21" s="202">
        <f>IFERROR(GETPIVOTDATA("dato",'[1]evolucion mensual nacionali'!$A$4,"indicador","BÉLGICA","mes",11,"año",2009),"-")</f>
        <v>56</v>
      </c>
      <c r="H21" s="203">
        <f t="shared" si="27"/>
        <v>0.33333333333333326</v>
      </c>
      <c r="I21" s="202">
        <f>IFERROR(GETPIVOTDATA("dato",'[1]evolucion mensual nacionali'!$A$4,"indicador","ALEMANIA","mes",11,"año",2009),"-")</f>
        <v>564</v>
      </c>
      <c r="J21" s="203">
        <f t="shared" si="28"/>
        <v>0.35903614457831323</v>
      </c>
      <c r="K21" s="202">
        <f>IFERROR(GETPIVOTDATA("dato",'[1]evolucion mensual nacionali'!$A$4,"indicador","FRANCIA","mes",11,"año",2009),"-")</f>
        <v>194</v>
      </c>
      <c r="L21" s="203">
        <f t="shared" si="29"/>
        <v>-0.28148148148148144</v>
      </c>
      <c r="M21" s="202">
        <f>IFERROR(GETPIVOTDATA("dato",'[1]evolucion mensual nacionali'!$A$4,"indicador","REINO UNIDO","mes",11,"año",2009),"-")</f>
        <v>258</v>
      </c>
      <c r="N21" s="203">
        <f t="shared" si="30"/>
        <v>-0.35820895522388063</v>
      </c>
      <c r="O21" s="202">
        <f>IFERROR(GETPIVOTDATA("dato",'[1]evolucion mensual nacionali'!$A$4,"indicador","IRLANDA","mes",11,"año",2009),"-")</f>
        <v>26</v>
      </c>
      <c r="P21" s="203">
        <f t="shared" si="31"/>
        <v>-0.1333333333333333</v>
      </c>
      <c r="Q21" s="202">
        <f>IFERROR(GETPIVOTDATA("dato",'[1]evolucion mensual nacionali'!$A$4,"indicador","ITALIA","mes",11,"año",2009),"-")</f>
        <v>205</v>
      </c>
      <c r="R21" s="203">
        <f t="shared" si="32"/>
        <v>-0.3097643097643098</v>
      </c>
      <c r="S21" s="202">
        <f t="shared" ref="S21:S32" si="48">U21+W21+Y21+AA21</f>
        <v>153</v>
      </c>
      <c r="T21" s="203">
        <f t="shared" si="33"/>
        <v>-0.50485436893203883</v>
      </c>
      <c r="U21" s="202">
        <f>IFERROR(GETPIVOTDATA("dato",'[1]evolucion mensual nacionali'!$A$4,"indicador","SUECIA","mes",11,"año",2009),"-")</f>
        <v>42</v>
      </c>
      <c r="V21" s="203">
        <f t="shared" si="34"/>
        <v>-0.61111111111111116</v>
      </c>
      <c r="W21" s="202">
        <f>IFERROR(GETPIVOTDATA("dato",'[1]evolucion mensual nacionali'!$A$4,"indicador","NORUEGA","mes",11,"año",2009),"-")</f>
        <v>45</v>
      </c>
      <c r="X21" s="203">
        <f t="shared" si="35"/>
        <v>-0.32835820895522383</v>
      </c>
      <c r="Y21" s="202">
        <f>IFERROR(GETPIVOTDATA("dato",'[1]evolucion mensual nacionali'!$A$4,"indicador","DINAMARCA","mes",11,"año",2009),"-")</f>
        <v>16</v>
      </c>
      <c r="Z21" s="203">
        <f t="shared" si="36"/>
        <v>-0.65217391304347827</v>
      </c>
      <c r="AA21" s="202">
        <f>IFERROR(GETPIVOTDATA("dato",'[1]evolucion mensual nacionali'!$A$4,"indicador","FINLANDIA","mes",11,"año",2009),"-")</f>
        <v>50</v>
      </c>
      <c r="AB21" s="203">
        <f t="shared" si="37"/>
        <v>-0.43181818181818177</v>
      </c>
      <c r="AC21" s="202">
        <f>IFERROR(GETPIVOTDATA("dato",'[1]evolucion mensual nacionali'!$A$4,"indicador","SUIZA","mes",11,"año",2009),"-")</f>
        <v>47</v>
      </c>
      <c r="AD21" s="203">
        <f t="shared" si="38"/>
        <v>-0.27692307692307694</v>
      </c>
      <c r="AE21" s="202">
        <f>IFERROR(GETPIVOTDATA("dato",'[1]evolucion mensual nacionali'!$A$4,"indicador","AUSTRIA","mes",11,"año",2009),"-")</f>
        <v>56</v>
      </c>
      <c r="AF21" s="203">
        <f t="shared" si="39"/>
        <v>0.69696969696969702</v>
      </c>
      <c r="AG21" s="202">
        <f>IFERROR(GETPIVOTDATA("dato",'[1]evolucion mensual nacionali'!$A$4,"indicador","RUSIA","mes",11,"año",2009),"-")</f>
        <v>34</v>
      </c>
      <c r="AH21" s="203">
        <f t="shared" si="40"/>
        <v>-0.67307692307692313</v>
      </c>
      <c r="AI21" s="202">
        <f>IFERROR(GETPIVOTDATA("dato",'[1]evolucion mensual nacionali'!$A$4,"indicador","PAÍSES DEL ESTE","mes",11,"año",2009),"-")</f>
        <v>103</v>
      </c>
      <c r="AJ21" s="203">
        <f t="shared" si="41"/>
        <v>0.15730337078651679</v>
      </c>
      <c r="AK21" s="202">
        <f>IFERROR(GETPIVOTDATA("dato",'[1]evolucion mensual nacionali'!$A$4,"indicador","RESTO DE EUROPA","mes",11,"año",2009),"-")</f>
        <v>140</v>
      </c>
      <c r="AL21" s="203">
        <f t="shared" si="42"/>
        <v>-0.54838709677419351</v>
      </c>
      <c r="AM21" s="202">
        <f>IFERROR(GETPIVOTDATA("dato",'[1]evolucion mensual nacionali'!$A$4,"indicador","USA","mes",11,"año",2009),"-")</f>
        <v>97</v>
      </c>
      <c r="AN21" s="203">
        <f t="shared" si="43"/>
        <v>-0.19834710743801653</v>
      </c>
      <c r="AO21" s="202">
        <f>IFERROR(GETPIVOTDATA("dato",'[1]evolucion mensual nacionali'!$A$4,"indicador","RESTO DE AMÉRICA","mes",11,"año",2009),"-")</f>
        <v>503</v>
      </c>
      <c r="AP21" s="203">
        <f t="shared" si="44"/>
        <v>3.9920159680639777E-3</v>
      </c>
      <c r="AQ21" s="202">
        <f>IFERROR(GETPIVOTDATA("dato",'[1]evolucion mensual nacionali'!$A$4,"indicador","RESTO DEL MUNDO","mes",11,"año",2009),"-")</f>
        <v>338</v>
      </c>
      <c r="AR21" s="203">
        <f t="shared" si="45"/>
        <v>-7.3972602739726057E-2</v>
      </c>
      <c r="AS21" s="202">
        <f t="shared" ref="AS21:AS32" si="49">AU21-C21</f>
        <v>2824</v>
      </c>
      <c r="AT21" s="203">
        <f t="shared" si="46"/>
        <v>-0.17257544682097858</v>
      </c>
      <c r="AU21" s="204">
        <f>IFERROR(GETPIVOTDATA("dato",'[1]evolucion mensual nacionali'!$A$4,"indicador","TOTAL","mes",11,"año",2009),"-")</f>
        <v>13990</v>
      </c>
      <c r="AV21" s="205">
        <f t="shared" si="47"/>
        <v>-0.21593902370677576</v>
      </c>
    </row>
    <row r="22" spans="2:48" ht="15" hidden="1" customHeight="1" outlineLevel="1">
      <c r="B22" s="51" t="s">
        <v>40</v>
      </c>
      <c r="C22" s="202">
        <f>IFERROR(GETPIVOTDATA("dato",'[1]evolucion mensual nacionali'!$A$4,"indicador","España","mes",10,"año",2009),"-")</f>
        <v>10689</v>
      </c>
      <c r="D22" s="203">
        <f t="shared" si="25"/>
        <v>-0.30077843919670311</v>
      </c>
      <c r="E22" s="202">
        <f>IFERROR(GETPIVOTDATA("dato",'[1]evolucion mensual nacionali'!$A$4,"indicador","HOLANDA","mes",10,"año",2009),"-")</f>
        <v>54</v>
      </c>
      <c r="F22" s="203">
        <f t="shared" si="26"/>
        <v>0.125</v>
      </c>
      <c r="G22" s="202">
        <f>IFERROR(GETPIVOTDATA("dato",'[1]evolucion mensual nacionali'!$A$4,"indicador","BÉLGICA","mes",10,"año",2009),"-")</f>
        <v>24</v>
      </c>
      <c r="H22" s="203">
        <f t="shared" si="27"/>
        <v>-0.31428571428571428</v>
      </c>
      <c r="I22" s="202">
        <f>IFERROR(GETPIVOTDATA("dato",'[1]evolucion mensual nacionali'!$A$4,"indicador","ALEMANIA","mes",10,"año",2009),"-")</f>
        <v>319</v>
      </c>
      <c r="J22" s="203">
        <f t="shared" si="28"/>
        <v>-5.3412462908011826E-2</v>
      </c>
      <c r="K22" s="202">
        <f>IFERROR(GETPIVOTDATA("dato",'[1]evolucion mensual nacionali'!$A$4,"indicador","FRANCIA","mes",10,"año",2009),"-")</f>
        <v>169</v>
      </c>
      <c r="L22" s="203">
        <f t="shared" si="29"/>
        <v>-0.21395348837209305</v>
      </c>
      <c r="M22" s="202">
        <f>IFERROR(GETPIVOTDATA("dato",'[1]evolucion mensual nacionali'!$A$4,"indicador","REINO UNIDO","mes",10,"año",2009),"-")</f>
        <v>215</v>
      </c>
      <c r="N22" s="203">
        <f t="shared" si="30"/>
        <v>-0.5</v>
      </c>
      <c r="O22" s="202">
        <f>IFERROR(GETPIVOTDATA("dato",'[1]evolucion mensual nacionali'!$A$4,"indicador","IRLANDA","mes",10,"año",2009),"-")</f>
        <v>24</v>
      </c>
      <c r="P22" s="203">
        <f t="shared" si="31"/>
        <v>-0.4</v>
      </c>
      <c r="Q22" s="202">
        <f>IFERROR(GETPIVOTDATA("dato",'[1]evolucion mensual nacionali'!$A$4,"indicador","ITALIA","mes",10,"año",2009),"-")</f>
        <v>176</v>
      </c>
      <c r="R22" s="203">
        <f t="shared" si="32"/>
        <v>-0.41528239202657802</v>
      </c>
      <c r="S22" s="202">
        <f t="shared" si="48"/>
        <v>87</v>
      </c>
      <c r="T22" s="203">
        <f t="shared" si="33"/>
        <v>-0.57560975609756104</v>
      </c>
      <c r="U22" s="202">
        <f>IFERROR(GETPIVOTDATA("dato",'[1]evolucion mensual nacionali'!$A$4,"indicador","SUECIA","mes",10,"año",2009),"-")</f>
        <v>41</v>
      </c>
      <c r="V22" s="203">
        <f t="shared" si="34"/>
        <v>-0.2807017543859649</v>
      </c>
      <c r="W22" s="202">
        <f>IFERROR(GETPIVOTDATA("dato",'[1]evolucion mensual nacionali'!$A$4,"indicador","NORUEGA","mes",10,"año",2009),"-")</f>
        <v>22</v>
      </c>
      <c r="X22" s="203">
        <f t="shared" si="35"/>
        <v>-0.56862745098039214</v>
      </c>
      <c r="Y22" s="202">
        <f>IFERROR(GETPIVOTDATA("dato",'[1]evolucion mensual nacionali'!$A$4,"indicador","DINAMARCA","mes",10,"año",2009),"-")</f>
        <v>16</v>
      </c>
      <c r="Z22" s="203">
        <f t="shared" si="36"/>
        <v>-0.67346938775510212</v>
      </c>
      <c r="AA22" s="202">
        <f>IFERROR(GETPIVOTDATA("dato",'[1]evolucion mensual nacionali'!$A$4,"indicador","FINLANDIA","mes",10,"año",2009),"-")</f>
        <v>8</v>
      </c>
      <c r="AB22" s="203">
        <f t="shared" si="37"/>
        <v>-0.83333333333333337</v>
      </c>
      <c r="AC22" s="202">
        <f>IFERROR(GETPIVOTDATA("dato",'[1]evolucion mensual nacionali'!$A$4,"indicador","SUIZA","mes",10,"año",2009),"-")</f>
        <v>54</v>
      </c>
      <c r="AD22" s="203">
        <f t="shared" si="38"/>
        <v>-0.49532710280373837</v>
      </c>
      <c r="AE22" s="202">
        <f>IFERROR(GETPIVOTDATA("dato",'[1]evolucion mensual nacionali'!$A$4,"indicador","AUSTRIA","mes",10,"año",2009),"-")</f>
        <v>25</v>
      </c>
      <c r="AF22" s="203">
        <f t="shared" si="39"/>
        <v>0.47058823529411775</v>
      </c>
      <c r="AG22" s="202">
        <f>IFERROR(GETPIVOTDATA("dato",'[1]evolucion mensual nacionali'!$A$4,"indicador","RUSIA","mes",10,"año",2009),"-")</f>
        <v>43</v>
      </c>
      <c r="AH22" s="203">
        <f t="shared" si="40"/>
        <v>-0.35820895522388063</v>
      </c>
      <c r="AI22" s="202">
        <f>IFERROR(GETPIVOTDATA("dato",'[1]evolucion mensual nacionali'!$A$4,"indicador","PAÍSES DEL ESTE","mes",10,"año",2009),"-")</f>
        <v>70</v>
      </c>
      <c r="AJ22" s="203">
        <f t="shared" si="41"/>
        <v>-0.453125</v>
      </c>
      <c r="AK22" s="202">
        <f>IFERROR(GETPIVOTDATA("dato",'[1]evolucion mensual nacionali'!$A$4,"indicador","RESTO DE EUROPA","mes",10,"año",2009),"-")</f>
        <v>125</v>
      </c>
      <c r="AL22" s="203">
        <f t="shared" si="42"/>
        <v>-0.5421245421245422</v>
      </c>
      <c r="AM22" s="202">
        <f>IFERROR(GETPIVOTDATA("dato",'[1]evolucion mensual nacionali'!$A$4,"indicador","USA","mes",10,"año",2009),"-")</f>
        <v>55</v>
      </c>
      <c r="AN22" s="203">
        <f t="shared" si="43"/>
        <v>-0.47619047619047616</v>
      </c>
      <c r="AO22" s="202">
        <f>IFERROR(GETPIVOTDATA("dato",'[1]evolucion mensual nacionali'!$A$4,"indicador","RESTO DE AMÉRICA","mes",10,"año",2009),"-")</f>
        <v>458</v>
      </c>
      <c r="AP22" s="203">
        <f t="shared" si="44"/>
        <v>-0.34100719424460435</v>
      </c>
      <c r="AQ22" s="202">
        <f>IFERROR(GETPIVOTDATA("dato",'[1]evolucion mensual nacionali'!$A$4,"indicador","RESTO DEL MUNDO","mes",10,"año",2009),"-")</f>
        <v>222</v>
      </c>
      <c r="AR22" s="203">
        <f t="shared" si="45"/>
        <v>-0.46634615384615385</v>
      </c>
      <c r="AS22" s="202">
        <f t="shared" si="49"/>
        <v>2120</v>
      </c>
      <c r="AT22" s="203">
        <f t="shared" si="46"/>
        <v>-0.37993565369991222</v>
      </c>
      <c r="AU22" s="204">
        <f>IFERROR(GETPIVOTDATA("dato",'[1]evolucion mensual nacionali'!$A$4,"indicador","TOTAL","mes",10,"año",2009),"-")</f>
        <v>12809</v>
      </c>
      <c r="AV22" s="205">
        <f t="shared" si="47"/>
        <v>-0.31524644499091203</v>
      </c>
    </row>
    <row r="23" spans="2:48" ht="15" hidden="1" customHeight="1" outlineLevel="1">
      <c r="B23" s="51" t="s">
        <v>41</v>
      </c>
      <c r="C23" s="202">
        <f>IFERROR(GETPIVOTDATA("dato",'[1]evolucion mensual nacionali'!$A$4,"indicador","España","mes",9,"año",2009),"-")</f>
        <v>9249</v>
      </c>
      <c r="D23" s="203">
        <f t="shared" si="25"/>
        <v>-0.27821133135632903</v>
      </c>
      <c r="E23" s="202">
        <f>IFERROR(GETPIVOTDATA("dato",'[1]evolucion mensual nacionali'!$A$4,"indicador","HOLANDA","mes",9,"año",2009),"-")</f>
        <v>36</v>
      </c>
      <c r="F23" s="203">
        <f t="shared" si="26"/>
        <v>-5.2631578947368474E-2</v>
      </c>
      <c r="G23" s="202">
        <f>IFERROR(GETPIVOTDATA("dato",'[1]evolucion mensual nacionali'!$A$4,"indicador","BÉLGICA","mes",9,"año",2009),"-")</f>
        <v>31</v>
      </c>
      <c r="H23" s="203">
        <f t="shared" si="27"/>
        <v>0.34782608695652173</v>
      </c>
      <c r="I23" s="202">
        <f>IFERROR(GETPIVOTDATA("dato",'[1]evolucion mensual nacionali'!$A$4,"indicador","ALEMANIA","mes",9,"año",2009),"-")</f>
        <v>198</v>
      </c>
      <c r="J23" s="203">
        <f t="shared" si="28"/>
        <v>-0.19512195121951215</v>
      </c>
      <c r="K23" s="202">
        <f>IFERROR(GETPIVOTDATA("dato",'[1]evolucion mensual nacionali'!$A$4,"indicador","FRANCIA","mes",9,"año",2009),"-")</f>
        <v>166</v>
      </c>
      <c r="L23" s="203">
        <f t="shared" si="29"/>
        <v>-0.13989637305699487</v>
      </c>
      <c r="M23" s="202">
        <f>IFERROR(GETPIVOTDATA("dato",'[1]evolucion mensual nacionali'!$A$4,"indicador","REINO UNIDO","mes",9,"año",2009),"-")</f>
        <v>122</v>
      </c>
      <c r="N23" s="203">
        <f t="shared" si="30"/>
        <v>-0.28654970760233922</v>
      </c>
      <c r="O23" s="202">
        <f>IFERROR(GETPIVOTDATA("dato",'[1]evolucion mensual nacionali'!$A$4,"indicador","IRLANDA","mes",9,"año",2009),"-")</f>
        <v>30</v>
      </c>
      <c r="P23" s="203">
        <f t="shared" si="31"/>
        <v>0.15384615384615374</v>
      </c>
      <c r="Q23" s="202">
        <f>IFERROR(GETPIVOTDATA("dato",'[1]evolucion mensual nacionali'!$A$4,"indicador","ITALIA","mes",9,"año",2009),"-")</f>
        <v>195</v>
      </c>
      <c r="R23" s="203">
        <f t="shared" si="32"/>
        <v>-2.9850746268656692E-2</v>
      </c>
      <c r="S23" s="202">
        <f t="shared" si="48"/>
        <v>63</v>
      </c>
      <c r="T23" s="203">
        <f t="shared" si="33"/>
        <v>-0.28409090909090906</v>
      </c>
      <c r="U23" s="202">
        <f>IFERROR(GETPIVOTDATA("dato",'[1]evolucion mensual nacionali'!$A$4,"indicador","SUECIA","mes",9,"año",2009),"-")</f>
        <v>22</v>
      </c>
      <c r="V23" s="203">
        <f t="shared" si="34"/>
        <v>0.46666666666666656</v>
      </c>
      <c r="W23" s="202">
        <f>IFERROR(GETPIVOTDATA("dato",'[1]evolucion mensual nacionali'!$A$4,"indicador","NORUEGA","mes",9,"año",2009),"-")</f>
        <v>11</v>
      </c>
      <c r="X23" s="203">
        <f t="shared" si="35"/>
        <v>-0.52173913043478259</v>
      </c>
      <c r="Y23" s="202">
        <f>IFERROR(GETPIVOTDATA("dato",'[1]evolucion mensual nacionali'!$A$4,"indicador","DINAMARCA","mes",9,"año",2009),"-")</f>
        <v>15</v>
      </c>
      <c r="Z23" s="203">
        <f t="shared" si="36"/>
        <v>0.36363636363636354</v>
      </c>
      <c r="AA23" s="202">
        <f>IFERROR(GETPIVOTDATA("dato",'[1]evolucion mensual nacionali'!$A$4,"indicador","FINLANDIA","mes",9,"año",2009),"-")</f>
        <v>15</v>
      </c>
      <c r="AB23" s="203">
        <f t="shared" si="37"/>
        <v>-0.61538461538461542</v>
      </c>
      <c r="AC23" s="202">
        <f>IFERROR(GETPIVOTDATA("dato",'[1]evolucion mensual nacionali'!$A$4,"indicador","SUIZA","mes",9,"año",2009),"-")</f>
        <v>30</v>
      </c>
      <c r="AD23" s="203">
        <f t="shared" si="38"/>
        <v>-0.50819672131147542</v>
      </c>
      <c r="AE23" s="202">
        <f>IFERROR(GETPIVOTDATA("dato",'[1]evolucion mensual nacionali'!$A$4,"indicador","AUSTRIA","mes",9,"año",2009),"-")</f>
        <v>25</v>
      </c>
      <c r="AF23" s="203">
        <f t="shared" si="39"/>
        <v>0.92307692307692313</v>
      </c>
      <c r="AG23" s="202">
        <f>IFERROR(GETPIVOTDATA("dato",'[1]evolucion mensual nacionali'!$A$4,"indicador","RUSIA","mes",9,"año",2009),"-")</f>
        <v>22</v>
      </c>
      <c r="AH23" s="203">
        <f t="shared" si="40"/>
        <v>-0.3125</v>
      </c>
      <c r="AI23" s="202">
        <f>IFERROR(GETPIVOTDATA("dato",'[1]evolucion mensual nacionali'!$A$4,"indicador","PAÍSES DEL ESTE","mes",9,"año",2009),"-")</f>
        <v>82</v>
      </c>
      <c r="AJ23" s="203">
        <f t="shared" si="41"/>
        <v>0.22388059701492535</v>
      </c>
      <c r="AK23" s="202">
        <f>IFERROR(GETPIVOTDATA("dato",'[1]evolucion mensual nacionali'!$A$4,"indicador","RESTO DE EUROPA","mes",9,"año",2009),"-")</f>
        <v>139</v>
      </c>
      <c r="AL23" s="203">
        <f t="shared" si="42"/>
        <v>-0.35648148148148151</v>
      </c>
      <c r="AM23" s="202">
        <f>IFERROR(GETPIVOTDATA("dato",'[1]evolucion mensual nacionali'!$A$4,"indicador","USA","mes",9,"año",2009),"-")</f>
        <v>82</v>
      </c>
      <c r="AN23" s="203">
        <f t="shared" si="43"/>
        <v>0.6399999999999999</v>
      </c>
      <c r="AO23" s="202">
        <f>IFERROR(GETPIVOTDATA("dato",'[1]evolucion mensual nacionali'!$A$4,"indicador","RESTO DE AMÉRICA","mes",9,"año",2009),"-")</f>
        <v>448</v>
      </c>
      <c r="AP23" s="203">
        <f t="shared" si="44"/>
        <v>-7.4380165289256173E-2</v>
      </c>
      <c r="AQ23" s="202">
        <f>IFERROR(GETPIVOTDATA("dato",'[1]evolucion mensual nacionali'!$A$4,"indicador","RESTO DEL MUNDO","mes",9,"año",2009),"-")</f>
        <v>205</v>
      </c>
      <c r="AR23" s="203">
        <f t="shared" si="45"/>
        <v>-0.5012165450121655</v>
      </c>
      <c r="AS23" s="202">
        <f t="shared" si="49"/>
        <v>1874</v>
      </c>
      <c r="AT23" s="203">
        <f t="shared" si="46"/>
        <v>-0.1922413793103448</v>
      </c>
      <c r="AU23" s="204">
        <f>IFERROR(GETPIVOTDATA("dato",'[1]evolucion mensual nacionali'!$A$4,"indicador","TOTAL","mes",9,"año",2009),"-")</f>
        <v>11123</v>
      </c>
      <c r="AV23" s="205">
        <f t="shared" si="47"/>
        <v>-0.2650323774283071</v>
      </c>
    </row>
    <row r="24" spans="2:48" ht="15" hidden="1" customHeight="1" outlineLevel="1">
      <c r="B24" s="51" t="s">
        <v>42</v>
      </c>
      <c r="C24" s="202">
        <f>IFERROR(GETPIVOTDATA("dato",'[1]evolucion mensual nacionali'!$A$4,"indicador","España","mes",8,"año",2009),"-")</f>
        <v>6016</v>
      </c>
      <c r="D24" s="203">
        <f t="shared" si="25"/>
        <v>-0.37450613433146185</v>
      </c>
      <c r="E24" s="202">
        <f>IFERROR(GETPIVOTDATA("dato",'[1]evolucion mensual nacionali'!$A$4,"indicador","HOLANDA","mes",8,"año",2009),"-")</f>
        <v>39</v>
      </c>
      <c r="F24" s="203">
        <f t="shared" si="26"/>
        <v>0.625</v>
      </c>
      <c r="G24" s="202">
        <f>IFERROR(GETPIVOTDATA("dato",'[1]evolucion mensual nacionali'!$A$4,"indicador","BÉLGICA","mes",8,"año",2009),"-")</f>
        <v>41</v>
      </c>
      <c r="H24" s="203">
        <f t="shared" si="27"/>
        <v>0.28125</v>
      </c>
      <c r="I24" s="202">
        <f>IFERROR(GETPIVOTDATA("dato",'[1]evolucion mensual nacionali'!$A$4,"indicador","ALEMANIA","mes",8,"año",2009),"-")</f>
        <v>128</v>
      </c>
      <c r="J24" s="203">
        <f t="shared" si="28"/>
        <v>-0.43111111111111111</v>
      </c>
      <c r="K24" s="202">
        <f>IFERROR(GETPIVOTDATA("dato",'[1]evolucion mensual nacionali'!$A$4,"indicador","FRANCIA","mes",8,"año",2009),"-")</f>
        <v>236</v>
      </c>
      <c r="L24" s="203">
        <f t="shared" si="29"/>
        <v>-0.4085213032581454</v>
      </c>
      <c r="M24" s="202">
        <f>IFERROR(GETPIVOTDATA("dato",'[1]evolucion mensual nacionali'!$A$4,"indicador","REINO UNIDO","mes",8,"año",2009),"-")</f>
        <v>103</v>
      </c>
      <c r="N24" s="203">
        <f t="shared" si="30"/>
        <v>-0.28472222222222221</v>
      </c>
      <c r="O24" s="202">
        <f>IFERROR(GETPIVOTDATA("dato",'[1]evolucion mensual nacionali'!$A$4,"indicador","IRLANDA","mes",8,"año",2009),"-")</f>
        <v>17</v>
      </c>
      <c r="P24" s="203">
        <f t="shared" si="31"/>
        <v>-0.26086956521739135</v>
      </c>
      <c r="Q24" s="202">
        <f>IFERROR(GETPIVOTDATA("dato",'[1]evolucion mensual nacionali'!$A$4,"indicador","ITALIA","mes",8,"año",2009),"-")</f>
        <v>279</v>
      </c>
      <c r="R24" s="203">
        <f t="shared" si="32"/>
        <v>-0.22928176795580113</v>
      </c>
      <c r="S24" s="202">
        <f t="shared" si="48"/>
        <v>47</v>
      </c>
      <c r="T24" s="203">
        <f t="shared" si="33"/>
        <v>-0.1607142857142857</v>
      </c>
      <c r="U24" s="202">
        <f>IFERROR(GETPIVOTDATA("dato",'[1]evolucion mensual nacionali'!$A$4,"indicador","SUECIA","mes",8,"año",2009),"-")</f>
        <v>2</v>
      </c>
      <c r="V24" s="203">
        <f t="shared" si="34"/>
        <v>-0.81818181818181812</v>
      </c>
      <c r="W24" s="202">
        <f>IFERROR(GETPIVOTDATA("dato",'[1]evolucion mensual nacionali'!$A$4,"indicador","NORUEGA","mes",8,"año",2009),"-")</f>
        <v>13</v>
      </c>
      <c r="X24" s="203">
        <f t="shared" si="35"/>
        <v>-0.43478260869565222</v>
      </c>
      <c r="Y24" s="202">
        <f>IFERROR(GETPIVOTDATA("dato",'[1]evolucion mensual nacionali'!$A$4,"indicador","DINAMARCA","mes",8,"año",2009),"-")</f>
        <v>7</v>
      </c>
      <c r="Z24" s="203">
        <f t="shared" si="36"/>
        <v>-0.30000000000000004</v>
      </c>
      <c r="AA24" s="202">
        <f>IFERROR(GETPIVOTDATA("dato",'[1]evolucion mensual nacionali'!$A$4,"indicador","FINLANDIA","mes",8,"año",2009),"-")</f>
        <v>25</v>
      </c>
      <c r="AB24" s="203">
        <f t="shared" si="37"/>
        <v>1.0833333333333335</v>
      </c>
      <c r="AC24" s="202">
        <f>IFERROR(GETPIVOTDATA("dato",'[1]evolucion mensual nacionali'!$A$4,"indicador","SUIZA","mes",8,"año",2009),"-")</f>
        <v>12</v>
      </c>
      <c r="AD24" s="203">
        <f t="shared" si="38"/>
        <v>0.71428571428571419</v>
      </c>
      <c r="AE24" s="202">
        <f>IFERROR(GETPIVOTDATA("dato",'[1]evolucion mensual nacionali'!$A$4,"indicador","AUSTRIA","mes",8,"año",2009),"-")</f>
        <v>10</v>
      </c>
      <c r="AF24" s="203">
        <f t="shared" si="39"/>
        <v>-0.67741935483870974</v>
      </c>
      <c r="AG24" s="202">
        <f>IFERROR(GETPIVOTDATA("dato",'[1]evolucion mensual nacionali'!$A$4,"indicador","RUSIA","mes",8,"año",2009),"-")</f>
        <v>29</v>
      </c>
      <c r="AH24" s="203">
        <f t="shared" si="40"/>
        <v>-0.92487046632124348</v>
      </c>
      <c r="AI24" s="202">
        <f>IFERROR(GETPIVOTDATA("dato",'[1]evolucion mensual nacionali'!$A$4,"indicador","PAÍSES DEL ESTE","mes",8,"año",2009),"-")</f>
        <v>37</v>
      </c>
      <c r="AJ24" s="203">
        <f t="shared" si="41"/>
        <v>-0.421875</v>
      </c>
      <c r="AK24" s="202">
        <f>IFERROR(GETPIVOTDATA("dato",'[1]evolucion mensual nacionali'!$A$4,"indicador","RESTO DE EUROPA","mes",8,"año",2009),"-")</f>
        <v>75</v>
      </c>
      <c r="AL24" s="203">
        <f t="shared" si="42"/>
        <v>-0.51298701298701299</v>
      </c>
      <c r="AM24" s="202">
        <f>IFERROR(GETPIVOTDATA("dato",'[1]evolucion mensual nacionali'!$A$4,"indicador","USA","mes",8,"año",2009),"-")</f>
        <v>57</v>
      </c>
      <c r="AN24" s="203">
        <f t="shared" si="43"/>
        <v>0.58333333333333326</v>
      </c>
      <c r="AO24" s="202">
        <f>IFERROR(GETPIVOTDATA("dato",'[1]evolucion mensual nacionali'!$A$4,"indicador","RESTO DE AMÉRICA","mes",8,"año",2009),"-")</f>
        <v>338</v>
      </c>
      <c r="AP24" s="203">
        <f t="shared" si="44"/>
        <v>-0.30020703933747417</v>
      </c>
      <c r="AQ24" s="202">
        <f>IFERROR(GETPIVOTDATA("dato",'[1]evolucion mensual nacionali'!$A$4,"indicador","RESTO DEL MUNDO","mes",8,"año",2009),"-")</f>
        <v>313</v>
      </c>
      <c r="AR24" s="203">
        <f t="shared" si="45"/>
        <v>0.18560606060606055</v>
      </c>
      <c r="AS24" s="202">
        <f t="shared" si="49"/>
        <v>1761</v>
      </c>
      <c r="AT24" s="203">
        <f t="shared" si="46"/>
        <v>-0.34535315985130111</v>
      </c>
      <c r="AU24" s="204">
        <f>IFERROR(GETPIVOTDATA("dato",'[1]evolucion mensual nacionali'!$A$4,"indicador","TOTAL","mes",8,"año",2009),"-")</f>
        <v>7777</v>
      </c>
      <c r="AV24" s="205">
        <f t="shared" si="47"/>
        <v>-0.36813454663633405</v>
      </c>
    </row>
    <row r="25" spans="2:48" ht="15" hidden="1" customHeight="1" outlineLevel="1">
      <c r="B25" s="51" t="s">
        <v>43</v>
      </c>
      <c r="C25" s="202">
        <f>IFERROR(GETPIVOTDATA("dato",'[1]evolucion mensual nacionali'!$A$4,"indicador","España","mes",7,"año",2009),"-")</f>
        <v>9952</v>
      </c>
      <c r="D25" s="203">
        <f t="shared" si="25"/>
        <v>-0.30807202947924628</v>
      </c>
      <c r="E25" s="202">
        <f>IFERROR(GETPIVOTDATA("dato",'[1]evolucion mensual nacionali'!$A$4,"indicador","HOLANDA","mes",7,"año",2009),"-")</f>
        <v>55</v>
      </c>
      <c r="F25" s="203">
        <f t="shared" si="26"/>
        <v>0.89655172413793105</v>
      </c>
      <c r="G25" s="202">
        <f>IFERROR(GETPIVOTDATA("dato",'[1]evolucion mensual nacionali'!$A$4,"indicador","BÉLGICA","mes",7,"año",2009),"-")</f>
        <v>22</v>
      </c>
      <c r="H25" s="203">
        <f t="shared" si="27"/>
        <v>-0.52173913043478259</v>
      </c>
      <c r="I25" s="202">
        <f>IFERROR(GETPIVOTDATA("dato",'[1]evolucion mensual nacionali'!$A$4,"indicador","ALEMANIA","mes",7,"año",2009),"-")</f>
        <v>125</v>
      </c>
      <c r="J25" s="203">
        <f t="shared" si="28"/>
        <v>-0.297752808988764</v>
      </c>
      <c r="K25" s="202">
        <f>IFERROR(GETPIVOTDATA("dato",'[1]evolucion mensual nacionali'!$A$4,"indicador","FRANCIA","mes",7,"año",2009),"-")</f>
        <v>193</v>
      </c>
      <c r="L25" s="203">
        <f t="shared" si="29"/>
        <v>-0.1681034482758621</v>
      </c>
      <c r="M25" s="202">
        <f>IFERROR(GETPIVOTDATA("dato",'[1]evolucion mensual nacionali'!$A$4,"indicador","REINO UNIDO","mes",7,"año",2009),"-")</f>
        <v>156</v>
      </c>
      <c r="N25" s="203">
        <f t="shared" si="30"/>
        <v>-0.1333333333333333</v>
      </c>
      <c r="O25" s="202">
        <f>IFERROR(GETPIVOTDATA("dato",'[1]evolucion mensual nacionali'!$A$4,"indicador","IRLANDA","mes",7,"año",2009),"-")</f>
        <v>29</v>
      </c>
      <c r="P25" s="203">
        <f t="shared" si="31"/>
        <v>0.31818181818181812</v>
      </c>
      <c r="Q25" s="202">
        <f>IFERROR(GETPIVOTDATA("dato",'[1]evolucion mensual nacionali'!$A$4,"indicador","ITALIA","mes",7,"año",2009),"-")</f>
        <v>218</v>
      </c>
      <c r="R25" s="203">
        <f t="shared" si="32"/>
        <v>-5.2173913043478293E-2</v>
      </c>
      <c r="S25" s="202">
        <f t="shared" si="48"/>
        <v>97</v>
      </c>
      <c r="T25" s="203">
        <f t="shared" si="33"/>
        <v>0.56451612903225801</v>
      </c>
      <c r="U25" s="202">
        <f>IFERROR(GETPIVOTDATA("dato",'[1]evolucion mensual nacionali'!$A$4,"indicador","SUECIA","mes",7,"año",2009),"-")</f>
        <v>18</v>
      </c>
      <c r="V25" s="203">
        <f t="shared" si="34"/>
        <v>0.125</v>
      </c>
      <c r="W25" s="202">
        <f>IFERROR(GETPIVOTDATA("dato",'[1]evolucion mensual nacionali'!$A$4,"indicador","NORUEGA","mes",7,"año",2009),"-")</f>
        <v>46</v>
      </c>
      <c r="X25" s="203">
        <f t="shared" si="35"/>
        <v>1.2999999999999998</v>
      </c>
      <c r="Y25" s="202">
        <f>IFERROR(GETPIVOTDATA("dato",'[1]evolucion mensual nacionali'!$A$4,"indicador","DINAMARCA","mes",7,"año",2009),"-")</f>
        <v>19</v>
      </c>
      <c r="Z25" s="203">
        <f t="shared" si="36"/>
        <v>1.7142857142857144</v>
      </c>
      <c r="AA25" s="202">
        <f>IFERROR(GETPIVOTDATA("dato",'[1]evolucion mensual nacionali'!$A$4,"indicador","FINLANDIA","mes",7,"año",2009),"-")</f>
        <v>14</v>
      </c>
      <c r="AB25" s="203">
        <f t="shared" si="37"/>
        <v>-0.26315789473684215</v>
      </c>
      <c r="AC25" s="202">
        <f>IFERROR(GETPIVOTDATA("dato",'[1]evolucion mensual nacionali'!$A$4,"indicador","SUIZA","mes",7,"año",2009),"-")</f>
        <v>32</v>
      </c>
      <c r="AD25" s="203">
        <f t="shared" si="38"/>
        <v>0.39130434782608692</v>
      </c>
      <c r="AE25" s="202">
        <f>IFERROR(GETPIVOTDATA("dato",'[1]evolucion mensual nacionali'!$A$4,"indicador","AUSTRIA","mes",7,"año",2009),"-")</f>
        <v>25</v>
      </c>
      <c r="AF25" s="203">
        <f t="shared" si="39"/>
        <v>7.3333333333333339</v>
      </c>
      <c r="AG25" s="202">
        <f>IFERROR(GETPIVOTDATA("dato",'[1]evolucion mensual nacionali'!$A$4,"indicador","RUSIA","mes",7,"año",2009),"-")</f>
        <v>20</v>
      </c>
      <c r="AH25" s="203">
        <f t="shared" si="40"/>
        <v>-0.51219512195121952</v>
      </c>
      <c r="AI25" s="202">
        <f>IFERROR(GETPIVOTDATA("dato",'[1]evolucion mensual nacionali'!$A$4,"indicador","PAÍSES DEL ESTE","mes",7,"año",2009),"-")</f>
        <v>79</v>
      </c>
      <c r="AJ25" s="203">
        <f t="shared" si="41"/>
        <v>-2.4691358024691357E-2</v>
      </c>
      <c r="AK25" s="202">
        <f>IFERROR(GETPIVOTDATA("dato",'[1]evolucion mensual nacionali'!$A$4,"indicador","RESTO DE EUROPA","mes",7,"año",2009),"-")</f>
        <v>131</v>
      </c>
      <c r="AL25" s="203">
        <f t="shared" si="42"/>
        <v>-3.6764705882352922E-2</v>
      </c>
      <c r="AM25" s="202">
        <f>IFERROR(GETPIVOTDATA("dato",'[1]evolucion mensual nacionali'!$A$4,"indicador","USA","mes",7,"año",2009),"-")</f>
        <v>104</v>
      </c>
      <c r="AN25" s="203">
        <f t="shared" si="43"/>
        <v>0.50724637681159424</v>
      </c>
      <c r="AO25" s="202">
        <f>IFERROR(GETPIVOTDATA("dato",'[1]evolucion mensual nacionali'!$A$4,"indicador","RESTO DE AMÉRICA","mes",7,"año",2009),"-")</f>
        <v>431</v>
      </c>
      <c r="AP25" s="203">
        <f t="shared" si="44"/>
        <v>7.2139303482587014E-2</v>
      </c>
      <c r="AQ25" s="202">
        <f>IFERROR(GETPIVOTDATA("dato",'[1]evolucion mensual nacionali'!$A$4,"indicador","RESTO DEL MUNDO","mes",7,"año",2009),"-")</f>
        <v>221</v>
      </c>
      <c r="AR25" s="203">
        <f t="shared" si="45"/>
        <v>4.5454545454546302E-3</v>
      </c>
      <c r="AS25" s="202">
        <f t="shared" si="49"/>
        <v>1938</v>
      </c>
      <c r="AT25" s="203">
        <f t="shared" si="46"/>
        <v>-8.1883316274309337E-3</v>
      </c>
      <c r="AU25" s="204">
        <f>IFERROR(GETPIVOTDATA("dato",'[1]evolucion mensual nacionali'!$A$4,"indicador","TOTAL","mes",7,"año",2009),"-")</f>
        <v>11890</v>
      </c>
      <c r="AV25" s="205">
        <f t="shared" si="47"/>
        <v>-0.27220419905735449</v>
      </c>
    </row>
    <row r="26" spans="2:48" ht="15" hidden="1" customHeight="1" outlineLevel="1">
      <c r="B26" s="51" t="s">
        <v>44</v>
      </c>
      <c r="C26" s="202">
        <f>IFERROR(GETPIVOTDATA("dato",'[1]evolucion mensual nacionali'!$A$4,"indicador","España","mes",6,"año",2009),"-")</f>
        <v>11084</v>
      </c>
      <c r="D26" s="203">
        <f t="shared" si="25"/>
        <v>-0.18601747815230962</v>
      </c>
      <c r="E26" s="202">
        <f>IFERROR(GETPIVOTDATA("dato",'[1]evolucion mensual nacionali'!$A$4,"indicador","HOLANDA","mes",6,"año",2009),"-")</f>
        <v>30</v>
      </c>
      <c r="F26" s="203">
        <f t="shared" si="26"/>
        <v>0.30434782608695654</v>
      </c>
      <c r="G26" s="202">
        <f>IFERROR(GETPIVOTDATA("dato",'[1]evolucion mensual nacionali'!$A$4,"indicador","BÉLGICA","mes",6,"año",2009),"-")</f>
        <v>22</v>
      </c>
      <c r="H26" s="203">
        <f t="shared" si="27"/>
        <v>-0.40540540540540537</v>
      </c>
      <c r="I26" s="202">
        <f>IFERROR(GETPIVOTDATA("dato",'[1]evolucion mensual nacionali'!$A$4,"indicador","ALEMANIA","mes",6,"año",2009),"-")</f>
        <v>153</v>
      </c>
      <c r="J26" s="203">
        <f t="shared" si="28"/>
        <v>-0.19047619047619047</v>
      </c>
      <c r="K26" s="202">
        <f>IFERROR(GETPIVOTDATA("dato",'[1]evolucion mensual nacionali'!$A$4,"indicador","FRANCIA","mes",6,"año",2009),"-")</f>
        <v>146</v>
      </c>
      <c r="L26" s="203">
        <f t="shared" si="29"/>
        <v>-0.13609467455621305</v>
      </c>
      <c r="M26" s="202">
        <f>IFERROR(GETPIVOTDATA("dato",'[1]evolucion mensual nacionali'!$A$4,"indicador","REINO UNIDO","mes",6,"año",2009),"-")</f>
        <v>141</v>
      </c>
      <c r="N26" s="203">
        <f t="shared" si="30"/>
        <v>0.15573770491803285</v>
      </c>
      <c r="O26" s="202">
        <f>IFERROR(GETPIVOTDATA("dato",'[1]evolucion mensual nacionali'!$A$4,"indicador","IRLANDA","mes",6,"año",2009),"-")</f>
        <v>8</v>
      </c>
      <c r="P26" s="203">
        <f t="shared" si="31"/>
        <v>-0.79487179487179493</v>
      </c>
      <c r="Q26" s="202">
        <f>IFERROR(GETPIVOTDATA("dato",'[1]evolucion mensual nacionali'!$A$4,"indicador","ITALIA","mes",6,"año",2009),"-")</f>
        <v>197</v>
      </c>
      <c r="R26" s="203">
        <f t="shared" si="32"/>
        <v>0.20858895705521463</v>
      </c>
      <c r="S26" s="202">
        <f t="shared" si="48"/>
        <v>35</v>
      </c>
      <c r="T26" s="203">
        <f t="shared" si="33"/>
        <v>-0.54545454545454541</v>
      </c>
      <c r="U26" s="202">
        <f>IFERROR(GETPIVOTDATA("dato",'[1]evolucion mensual nacionali'!$A$4,"indicador","SUECIA","mes",6,"año",2009),"-")</f>
        <v>13</v>
      </c>
      <c r="V26" s="203">
        <f t="shared" si="34"/>
        <v>-0.1875</v>
      </c>
      <c r="W26" s="202">
        <f>IFERROR(GETPIVOTDATA("dato",'[1]evolucion mensual nacionali'!$A$4,"indicador","NORUEGA","mes",6,"año",2009),"-")</f>
        <v>11</v>
      </c>
      <c r="X26" s="203">
        <f t="shared" si="35"/>
        <v>-0.15384615384615385</v>
      </c>
      <c r="Y26" s="202">
        <f>IFERROR(GETPIVOTDATA("dato",'[1]evolucion mensual nacionali'!$A$4,"indicador","DINAMARCA","mes",6,"año",2009),"-")</f>
        <v>6</v>
      </c>
      <c r="Z26" s="203">
        <f t="shared" si="36"/>
        <v>-0.6</v>
      </c>
      <c r="AA26" s="202">
        <f>IFERROR(GETPIVOTDATA("dato",'[1]evolucion mensual nacionali'!$A$4,"indicador","FINLANDIA","mes",6,"año",2009),"-")</f>
        <v>5</v>
      </c>
      <c r="AB26" s="203">
        <f t="shared" si="37"/>
        <v>-0.84848484848484851</v>
      </c>
      <c r="AC26" s="202">
        <f>IFERROR(GETPIVOTDATA("dato",'[1]evolucion mensual nacionali'!$A$4,"indicador","SUIZA","mes",6,"año",2009),"-")</f>
        <v>18</v>
      </c>
      <c r="AD26" s="203">
        <f t="shared" si="38"/>
        <v>-0.3571428571428571</v>
      </c>
      <c r="AE26" s="202">
        <f>IFERROR(GETPIVOTDATA("dato",'[1]evolucion mensual nacionali'!$A$4,"indicador","AUSTRIA","mes",6,"año",2009),"-")</f>
        <v>12</v>
      </c>
      <c r="AF26" s="203">
        <f t="shared" si="39"/>
        <v>-0.19999999999999996</v>
      </c>
      <c r="AG26" s="202">
        <f>IFERROR(GETPIVOTDATA("dato",'[1]evolucion mensual nacionali'!$A$4,"indicador","RUSIA","mes",6,"año",2009),"-")</f>
        <v>25</v>
      </c>
      <c r="AH26" s="203">
        <f t="shared" si="40"/>
        <v>0.5625</v>
      </c>
      <c r="AI26" s="202">
        <f>IFERROR(GETPIVOTDATA("dato",'[1]evolucion mensual nacionali'!$A$4,"indicador","PAÍSES DEL ESTE","mes",6,"año",2009),"-")</f>
        <v>71</v>
      </c>
      <c r="AJ26" s="203">
        <f t="shared" si="41"/>
        <v>0.54347826086956519</v>
      </c>
      <c r="AK26" s="202">
        <f>IFERROR(GETPIVOTDATA("dato",'[1]evolucion mensual nacionali'!$A$4,"indicador","RESTO DE EUROPA","mes",6,"año",2009),"-")</f>
        <v>186</v>
      </c>
      <c r="AL26" s="203">
        <f t="shared" si="42"/>
        <v>0.48799999999999999</v>
      </c>
      <c r="AM26" s="202">
        <f>IFERROR(GETPIVOTDATA("dato",'[1]evolucion mensual nacionali'!$A$4,"indicador","USA","mes",6,"año",2009),"-")</f>
        <v>67</v>
      </c>
      <c r="AN26" s="203">
        <f t="shared" si="43"/>
        <v>-0.30927835051546393</v>
      </c>
      <c r="AO26" s="202">
        <f>IFERROR(GETPIVOTDATA("dato",'[1]evolucion mensual nacionali'!$A$4,"indicador","RESTO DE AMÉRICA","mes",6,"año",2009),"-")</f>
        <v>327</v>
      </c>
      <c r="AP26" s="203">
        <f t="shared" si="44"/>
        <v>-0.23419203747072603</v>
      </c>
      <c r="AQ26" s="202">
        <f>IFERROR(GETPIVOTDATA("dato",'[1]evolucion mensual nacionali'!$A$4,"indicador","RESTO DEL MUNDO","mes",6,"año",2009),"-")</f>
        <v>228</v>
      </c>
      <c r="AR26" s="203">
        <f t="shared" si="45"/>
        <v>-8.7999999999999967E-2</v>
      </c>
      <c r="AS26" s="202">
        <f t="shared" si="49"/>
        <v>1666</v>
      </c>
      <c r="AT26" s="203">
        <f t="shared" si="46"/>
        <v>-8.6121777290181001E-2</v>
      </c>
      <c r="AU26" s="204">
        <f>IFERROR(GETPIVOTDATA("dato",'[1]evolucion mensual nacionali'!$A$4,"indicador","TOTAL","mes",6,"año",2009),"-")</f>
        <v>12750</v>
      </c>
      <c r="AV26" s="205">
        <f t="shared" si="47"/>
        <v>-0.17422279792746109</v>
      </c>
    </row>
    <row r="27" spans="2:48" ht="15" hidden="1" customHeight="1" outlineLevel="1">
      <c r="B27" s="51" t="s">
        <v>45</v>
      </c>
      <c r="C27" s="202">
        <f>IFERROR(GETPIVOTDATA("dato",'[1]evolucion mensual nacionali'!$A$4,"indicador","España","mes",5,"año",2009),"-")</f>
        <v>11456</v>
      </c>
      <c r="D27" s="203">
        <f t="shared" si="25"/>
        <v>-0.25001636661211124</v>
      </c>
      <c r="E27" s="202">
        <f>IFERROR(GETPIVOTDATA("dato",'[1]evolucion mensual nacionali'!$A$4,"indicador","HOLANDA","mes",5,"año",2009),"-")</f>
        <v>50</v>
      </c>
      <c r="F27" s="203">
        <f t="shared" si="26"/>
        <v>-5.6603773584905648E-2</v>
      </c>
      <c r="G27" s="202">
        <f>IFERROR(GETPIVOTDATA("dato",'[1]evolucion mensual nacionali'!$A$4,"indicador","BÉLGICA","mes",5,"año",2009),"-")</f>
        <v>49</v>
      </c>
      <c r="H27" s="203">
        <f t="shared" si="27"/>
        <v>0.25641025641025639</v>
      </c>
      <c r="I27" s="202">
        <f>IFERROR(GETPIVOTDATA("dato",'[1]evolucion mensual nacionali'!$A$4,"indicador","ALEMANIA","mes",5,"año",2009),"-")</f>
        <v>226</v>
      </c>
      <c r="J27" s="203">
        <f t="shared" si="28"/>
        <v>-9.2369477911646625E-2</v>
      </c>
      <c r="K27" s="202">
        <f>IFERROR(GETPIVOTDATA("dato",'[1]evolucion mensual nacionali'!$A$4,"indicador","FRANCIA","mes",5,"año",2009),"-")</f>
        <v>177</v>
      </c>
      <c r="L27" s="203">
        <f t="shared" si="29"/>
        <v>-0.16113744075829384</v>
      </c>
      <c r="M27" s="202">
        <f>IFERROR(GETPIVOTDATA("dato",'[1]evolucion mensual nacionali'!$A$4,"indicador","REINO UNIDO","mes",5,"año",2009),"-")</f>
        <v>200</v>
      </c>
      <c r="N27" s="203">
        <f t="shared" si="30"/>
        <v>4.1666666666666741E-2</v>
      </c>
      <c r="O27" s="202">
        <f>IFERROR(GETPIVOTDATA("dato",'[1]evolucion mensual nacionali'!$A$4,"indicador","IRLANDA","mes",5,"año",2009),"-")</f>
        <v>22</v>
      </c>
      <c r="P27" s="203">
        <f t="shared" si="31"/>
        <v>0.375</v>
      </c>
      <c r="Q27" s="202">
        <f>IFERROR(GETPIVOTDATA("dato",'[1]evolucion mensual nacionali'!$A$4,"indicador","ITALIA","mes",5,"año",2009),"-")</f>
        <v>134</v>
      </c>
      <c r="R27" s="203">
        <f t="shared" si="32"/>
        <v>-0.33333333333333337</v>
      </c>
      <c r="S27" s="202">
        <f t="shared" si="48"/>
        <v>71</v>
      </c>
      <c r="T27" s="203">
        <f t="shared" si="33"/>
        <v>-0.16470588235294115</v>
      </c>
      <c r="U27" s="202">
        <f>IFERROR(GETPIVOTDATA("dato",'[1]evolucion mensual nacionali'!$A$4,"indicador","SUECIA","mes",5,"año",2009),"-")</f>
        <v>15</v>
      </c>
      <c r="V27" s="203">
        <f t="shared" si="34"/>
        <v>0</v>
      </c>
      <c r="W27" s="202">
        <f>IFERROR(GETPIVOTDATA("dato",'[1]evolucion mensual nacionali'!$A$4,"indicador","NORUEGA","mes",5,"año",2009),"-")</f>
        <v>21</v>
      </c>
      <c r="X27" s="203">
        <f t="shared" si="35"/>
        <v>0</v>
      </c>
      <c r="Y27" s="202">
        <f>IFERROR(GETPIVOTDATA("dato",'[1]evolucion mensual nacionali'!$A$4,"indicador","DINAMARCA","mes",5,"año",2009),"-")</f>
        <v>13</v>
      </c>
      <c r="Z27" s="203">
        <f t="shared" si="36"/>
        <v>-0.43478260869565222</v>
      </c>
      <c r="AA27" s="202">
        <f>IFERROR(GETPIVOTDATA("dato",'[1]evolucion mensual nacionali'!$A$4,"indicador","FINLANDIA","mes",5,"año",2009),"-")</f>
        <v>22</v>
      </c>
      <c r="AB27" s="203">
        <f t="shared" si="37"/>
        <v>-0.15384615384615385</v>
      </c>
      <c r="AC27" s="202">
        <f>IFERROR(GETPIVOTDATA("dato",'[1]evolucion mensual nacionali'!$A$4,"indicador","SUIZA","mes",5,"año",2009),"-")</f>
        <v>40</v>
      </c>
      <c r="AD27" s="203">
        <f t="shared" si="38"/>
        <v>-9.0909090909090939E-2</v>
      </c>
      <c r="AE27" s="202">
        <f>IFERROR(GETPIVOTDATA("dato",'[1]evolucion mensual nacionali'!$A$4,"indicador","AUSTRIA","mes",5,"año",2009),"-")</f>
        <v>19</v>
      </c>
      <c r="AF27" s="203">
        <f t="shared" si="39"/>
        <v>0.72727272727272729</v>
      </c>
      <c r="AG27" s="202">
        <f>IFERROR(GETPIVOTDATA("dato",'[1]evolucion mensual nacionali'!$A$4,"indicador","RUSIA","mes",5,"año",2009),"-")</f>
        <v>38</v>
      </c>
      <c r="AH27" s="203">
        <f t="shared" si="40"/>
        <v>-5.0000000000000044E-2</v>
      </c>
      <c r="AI27" s="202">
        <f>IFERROR(GETPIVOTDATA("dato",'[1]evolucion mensual nacionali'!$A$4,"indicador","PAÍSES DEL ESTE","mes",5,"año",2009),"-")</f>
        <v>108</v>
      </c>
      <c r="AJ27" s="203">
        <f t="shared" si="41"/>
        <v>8.0000000000000071E-2</v>
      </c>
      <c r="AK27" s="202">
        <f>IFERROR(GETPIVOTDATA("dato",'[1]evolucion mensual nacionali'!$A$4,"indicador","RESTO DE EUROPA","mes",5,"año",2009),"-")</f>
        <v>118</v>
      </c>
      <c r="AL27" s="203">
        <f t="shared" si="42"/>
        <v>-0.21333333333333337</v>
      </c>
      <c r="AM27" s="202">
        <f>IFERROR(GETPIVOTDATA("dato",'[1]evolucion mensual nacionali'!$A$4,"indicador","USA","mes",5,"año",2009),"-")</f>
        <v>87</v>
      </c>
      <c r="AN27" s="203">
        <f t="shared" si="43"/>
        <v>0.40322580645161299</v>
      </c>
      <c r="AO27" s="202">
        <f>IFERROR(GETPIVOTDATA("dato",'[1]evolucion mensual nacionali'!$A$4,"indicador","RESTO DE AMÉRICA","mes",5,"año",2009),"-")</f>
        <v>403</v>
      </c>
      <c r="AP27" s="203">
        <f t="shared" si="44"/>
        <v>-0.10244988864142535</v>
      </c>
      <c r="AQ27" s="202">
        <f>IFERROR(GETPIVOTDATA("dato",'[1]evolucion mensual nacionali'!$A$4,"indicador","RESTO DEL MUNDO","mes",5,"año",2009),"-")</f>
        <v>276</v>
      </c>
      <c r="AR27" s="203">
        <f t="shared" si="45"/>
        <v>6.1538461538461542E-2</v>
      </c>
      <c r="AS27" s="202">
        <f t="shared" si="49"/>
        <v>2018</v>
      </c>
      <c r="AT27" s="203">
        <f t="shared" si="46"/>
        <v>-6.6604995374653142E-2</v>
      </c>
      <c r="AU27" s="204">
        <f>IFERROR(GETPIVOTDATA("dato",'[1]evolucion mensual nacionali'!$A$4,"indicador","TOTAL","mes",5,"año",2009),"-")</f>
        <v>13474</v>
      </c>
      <c r="AV27" s="205">
        <f t="shared" si="47"/>
        <v>-0.22727533405975797</v>
      </c>
    </row>
    <row r="28" spans="2:48" ht="15" hidden="1" customHeight="1" outlineLevel="1">
      <c r="B28" s="51" t="s">
        <v>46</v>
      </c>
      <c r="C28" s="202">
        <f>IFERROR(GETPIVOTDATA("dato",'[1]evolucion mensual nacionali'!$A$4,"indicador","España","mes",4,"año",2009),"-")</f>
        <v>10795</v>
      </c>
      <c r="D28" s="203">
        <f t="shared" si="25"/>
        <v>-0.28942864665613477</v>
      </c>
      <c r="E28" s="202">
        <f>IFERROR(GETPIVOTDATA("dato",'[1]evolucion mensual nacionali'!$A$4,"indicador","HOLANDA","mes",4,"año",2009),"-")</f>
        <v>37</v>
      </c>
      <c r="F28" s="203">
        <f t="shared" si="26"/>
        <v>-0.28846153846153844</v>
      </c>
      <c r="G28" s="202">
        <f>IFERROR(GETPIVOTDATA("dato",'[1]evolucion mensual nacionali'!$A$4,"indicador","BÉLGICA","mes",4,"año",2009),"-")</f>
        <v>62</v>
      </c>
      <c r="H28" s="203">
        <f t="shared" si="27"/>
        <v>0.24</v>
      </c>
      <c r="I28" s="202">
        <f>IFERROR(GETPIVOTDATA("dato",'[1]evolucion mensual nacionali'!$A$4,"indicador","ALEMANIA","mes",4,"año",2009),"-")</f>
        <v>218</v>
      </c>
      <c r="J28" s="203">
        <f t="shared" si="28"/>
        <v>-0.42782152230971127</v>
      </c>
      <c r="K28" s="202">
        <f>IFERROR(GETPIVOTDATA("dato",'[1]evolucion mensual nacionali'!$A$4,"indicador","FRANCIA","mes",4,"año",2009),"-")</f>
        <v>313</v>
      </c>
      <c r="L28" s="203">
        <f t="shared" si="29"/>
        <v>0.2880658436213992</v>
      </c>
      <c r="M28" s="202">
        <f>IFERROR(GETPIVOTDATA("dato",'[1]evolucion mensual nacionali'!$A$4,"indicador","REINO UNIDO","mes",4,"año",2009),"-")</f>
        <v>182</v>
      </c>
      <c r="N28" s="203">
        <f t="shared" si="30"/>
        <v>-0.2890625</v>
      </c>
      <c r="O28" s="202">
        <f>IFERROR(GETPIVOTDATA("dato",'[1]evolucion mensual nacionali'!$A$4,"indicador","IRLANDA","mes",4,"año",2009),"-")</f>
        <v>32</v>
      </c>
      <c r="P28" s="203">
        <f t="shared" si="31"/>
        <v>0.33333333333333326</v>
      </c>
      <c r="Q28" s="202">
        <f>IFERROR(GETPIVOTDATA("dato",'[1]evolucion mensual nacionali'!$A$4,"indicador","ITALIA","mes",4,"año",2009),"-")</f>
        <v>164</v>
      </c>
      <c r="R28" s="203">
        <f t="shared" si="32"/>
        <v>-0.26457399103139012</v>
      </c>
      <c r="S28" s="202">
        <f t="shared" si="48"/>
        <v>110</v>
      </c>
      <c r="T28" s="203">
        <f t="shared" si="33"/>
        <v>-1.7857142857142905E-2</v>
      </c>
      <c r="U28" s="202">
        <f>IFERROR(GETPIVOTDATA("dato",'[1]evolucion mensual nacionali'!$A$4,"indicador","SUECIA","mes",4,"año",2009),"-")</f>
        <v>23</v>
      </c>
      <c r="V28" s="203">
        <f t="shared" si="34"/>
        <v>-0.32352941176470584</v>
      </c>
      <c r="W28" s="202">
        <f>IFERROR(GETPIVOTDATA("dato",'[1]evolucion mensual nacionali'!$A$4,"indicador","NORUEGA","mes",4,"año",2009),"-")</f>
        <v>18</v>
      </c>
      <c r="X28" s="203">
        <f t="shared" si="35"/>
        <v>0.8</v>
      </c>
      <c r="Y28" s="202">
        <f>IFERROR(GETPIVOTDATA("dato",'[1]evolucion mensual nacionali'!$A$4,"indicador","DINAMARCA","mes",4,"año",2009),"-")</f>
        <v>29</v>
      </c>
      <c r="Z28" s="203">
        <f t="shared" si="36"/>
        <v>3.5714285714285809E-2</v>
      </c>
      <c r="AA28" s="202">
        <f>IFERROR(GETPIVOTDATA("dato",'[1]evolucion mensual nacionali'!$A$4,"indicador","FINLANDIA","mes",4,"año",2009),"-")</f>
        <v>40</v>
      </c>
      <c r="AB28" s="203">
        <f t="shared" si="37"/>
        <v>0</v>
      </c>
      <c r="AC28" s="202">
        <f>IFERROR(GETPIVOTDATA("dato",'[1]evolucion mensual nacionali'!$A$4,"indicador","SUIZA","mes",4,"año",2009),"-")</f>
        <v>59</v>
      </c>
      <c r="AD28" s="203">
        <f t="shared" si="38"/>
        <v>3.5087719298245723E-2</v>
      </c>
      <c r="AE28" s="202">
        <f>IFERROR(GETPIVOTDATA("dato",'[1]evolucion mensual nacionali'!$A$4,"indicador","AUSTRIA","mes",4,"año",2009),"-")</f>
        <v>24</v>
      </c>
      <c r="AF28" s="203">
        <f t="shared" si="39"/>
        <v>-0.27272727272727271</v>
      </c>
      <c r="AG28" s="202">
        <f>IFERROR(GETPIVOTDATA("dato",'[1]evolucion mensual nacionali'!$A$4,"indicador","RUSIA","mes",4,"año",2009),"-")</f>
        <v>48</v>
      </c>
      <c r="AH28" s="203">
        <f t="shared" si="40"/>
        <v>2.1276595744680771E-2</v>
      </c>
      <c r="AI28" s="202">
        <f>IFERROR(GETPIVOTDATA("dato",'[1]evolucion mensual nacionali'!$A$4,"indicador","PAÍSES DEL ESTE","mes",4,"año",2009),"-")</f>
        <v>68</v>
      </c>
      <c r="AJ28" s="203">
        <f t="shared" si="41"/>
        <v>0.15254237288135597</v>
      </c>
      <c r="AK28" s="202">
        <f>IFERROR(GETPIVOTDATA("dato",'[1]evolucion mensual nacionali'!$A$4,"indicador","RESTO DE EUROPA","mes",4,"año",2009),"-")</f>
        <v>175</v>
      </c>
      <c r="AL28" s="203">
        <f t="shared" si="42"/>
        <v>0.18243243243243246</v>
      </c>
      <c r="AM28" s="202">
        <f>IFERROR(GETPIVOTDATA("dato",'[1]evolucion mensual nacionali'!$A$4,"indicador","USA","mes",4,"año",2009),"-")</f>
        <v>79</v>
      </c>
      <c r="AN28" s="203">
        <f t="shared" si="43"/>
        <v>5.3333333333333233E-2</v>
      </c>
      <c r="AO28" s="202">
        <f>IFERROR(GETPIVOTDATA("dato",'[1]evolucion mensual nacionali'!$A$4,"indicador","RESTO DE AMÉRICA","mes",4,"año",2009),"-")</f>
        <v>457</v>
      </c>
      <c r="AP28" s="203">
        <f t="shared" si="44"/>
        <v>4.5766590389016093E-2</v>
      </c>
      <c r="AQ28" s="202">
        <f>IFERROR(GETPIVOTDATA("dato",'[1]evolucion mensual nacionali'!$A$4,"indicador","RESTO DEL MUNDO","mes",4,"año",2009),"-")</f>
        <v>256</v>
      </c>
      <c r="AR28" s="203">
        <f t="shared" si="45"/>
        <v>0.25490196078431371</v>
      </c>
      <c r="AS28" s="202">
        <f t="shared" si="49"/>
        <v>2284</v>
      </c>
      <c r="AT28" s="203">
        <f t="shared" si="46"/>
        <v>-4.8729695960016639E-2</v>
      </c>
      <c r="AU28" s="204">
        <f>IFERROR(GETPIVOTDATA("dato",'[1]evolucion mensual nacionali'!$A$4,"indicador","TOTAL","mes",4,"año",2009),"-")</f>
        <v>13079</v>
      </c>
      <c r="AV28" s="205">
        <f t="shared" si="47"/>
        <v>-0.25657932132097994</v>
      </c>
    </row>
    <row r="29" spans="2:48" ht="15" hidden="1" customHeight="1" outlineLevel="1">
      <c r="B29" s="51" t="s">
        <v>47</v>
      </c>
      <c r="C29" s="202">
        <f>IFERROR(GETPIVOTDATA("dato",'[1]evolucion mensual nacionali'!$A$4,"indicador","España","mes",3,"año",2009),"-")</f>
        <v>12934</v>
      </c>
      <c r="D29" s="203">
        <f t="shared" si="25"/>
        <v>-2.8833158131851611E-2</v>
      </c>
      <c r="E29" s="202">
        <f>IFERROR(GETPIVOTDATA("dato",'[1]evolucion mensual nacionali'!$A$4,"indicador","HOLANDA","mes",3,"año",2009),"-")</f>
        <v>50</v>
      </c>
      <c r="F29" s="203">
        <f t="shared" si="26"/>
        <v>-0.25373134328358204</v>
      </c>
      <c r="G29" s="202">
        <f>IFERROR(GETPIVOTDATA("dato",'[1]evolucion mensual nacionali'!$A$4,"indicador","BÉLGICA","mes",3,"año",2009),"-")</f>
        <v>63</v>
      </c>
      <c r="H29" s="203">
        <f t="shared" si="27"/>
        <v>-0.27586206896551724</v>
      </c>
      <c r="I29" s="202">
        <f>IFERROR(GETPIVOTDATA("dato",'[1]evolucion mensual nacionali'!$A$4,"indicador","ALEMANIA","mes",3,"año",2009),"-")</f>
        <v>366</v>
      </c>
      <c r="J29" s="203">
        <f t="shared" si="28"/>
        <v>-0.35901926444833621</v>
      </c>
      <c r="K29" s="202">
        <f>IFERROR(GETPIVOTDATA("dato",'[1]evolucion mensual nacionali'!$A$4,"indicador","FRANCIA","mes",3,"año",2009),"-")</f>
        <v>302</v>
      </c>
      <c r="L29" s="203">
        <f t="shared" si="29"/>
        <v>0.16153846153846163</v>
      </c>
      <c r="M29" s="202">
        <f>IFERROR(GETPIVOTDATA("dato",'[1]evolucion mensual nacionali'!$A$4,"indicador","REINO UNIDO","mes",3,"año",2009),"-")</f>
        <v>271</v>
      </c>
      <c r="N29" s="203">
        <f t="shared" si="30"/>
        <v>-0.22349570200573066</v>
      </c>
      <c r="O29" s="202">
        <f>IFERROR(GETPIVOTDATA("dato",'[1]evolucion mensual nacionali'!$A$4,"indicador","IRLANDA","mes",3,"año",2009),"-")</f>
        <v>52</v>
      </c>
      <c r="P29" s="203">
        <f t="shared" si="31"/>
        <v>-3.703703703703709E-2</v>
      </c>
      <c r="Q29" s="202">
        <f>IFERROR(GETPIVOTDATA("dato",'[1]evolucion mensual nacionali'!$A$4,"indicador","ITALIA","mes",3,"año",2009),"-")</f>
        <v>309</v>
      </c>
      <c r="R29" s="203">
        <f t="shared" si="32"/>
        <v>8.0419580419580416E-2</v>
      </c>
      <c r="S29" s="202">
        <f t="shared" si="48"/>
        <v>228</v>
      </c>
      <c r="T29" s="203">
        <f t="shared" si="33"/>
        <v>-0.21107266435986161</v>
      </c>
      <c r="U29" s="202">
        <f>IFERROR(GETPIVOTDATA("dato",'[1]evolucion mensual nacionali'!$A$4,"indicador","SUECIA","mes",3,"año",2009),"-")</f>
        <v>65</v>
      </c>
      <c r="V29" s="203">
        <f t="shared" si="34"/>
        <v>-0.36274509803921573</v>
      </c>
      <c r="W29" s="202">
        <f>IFERROR(GETPIVOTDATA("dato",'[1]evolucion mensual nacionali'!$A$4,"indicador","NORUEGA","mes",3,"año",2009),"-")</f>
        <v>40</v>
      </c>
      <c r="X29" s="203">
        <f t="shared" si="35"/>
        <v>-0.5</v>
      </c>
      <c r="Y29" s="202">
        <f>IFERROR(GETPIVOTDATA("dato",'[1]evolucion mensual nacionali'!$A$4,"indicador","DINAMARCA","mes",3,"año",2009),"-")</f>
        <v>51</v>
      </c>
      <c r="Z29" s="203">
        <f t="shared" si="36"/>
        <v>-8.9285714285714302E-2</v>
      </c>
      <c r="AA29" s="202">
        <f>IFERROR(GETPIVOTDATA("dato",'[1]evolucion mensual nacionali'!$A$4,"indicador","FINLANDIA","mes",3,"año",2009),"-")</f>
        <v>72</v>
      </c>
      <c r="AB29" s="203">
        <f t="shared" si="37"/>
        <v>0.41176470588235303</v>
      </c>
      <c r="AC29" s="202">
        <f>IFERROR(GETPIVOTDATA("dato",'[1]evolucion mensual nacionali'!$A$4,"indicador","SUIZA","mes",3,"año",2009),"-")</f>
        <v>49</v>
      </c>
      <c r="AD29" s="203">
        <f t="shared" si="38"/>
        <v>-7.547169811320753E-2</v>
      </c>
      <c r="AE29" s="202">
        <f>IFERROR(GETPIVOTDATA("dato",'[1]evolucion mensual nacionali'!$A$4,"indicador","AUSTRIA","mes",3,"año",2009),"-")</f>
        <v>51</v>
      </c>
      <c r="AF29" s="203">
        <f t="shared" si="39"/>
        <v>0.21428571428571419</v>
      </c>
      <c r="AG29" s="202">
        <f>IFERROR(GETPIVOTDATA("dato",'[1]evolucion mensual nacionali'!$A$4,"indicador","RUSIA","mes",3,"año",2009),"-")</f>
        <v>36</v>
      </c>
      <c r="AH29" s="203">
        <f t="shared" si="40"/>
        <v>0.28571428571428581</v>
      </c>
      <c r="AI29" s="202">
        <f>IFERROR(GETPIVOTDATA("dato",'[1]evolucion mensual nacionali'!$A$4,"indicador","PAÍSES DEL ESTE","mes",3,"año",2009),"-")</f>
        <v>110</v>
      </c>
      <c r="AJ29" s="203">
        <f t="shared" si="41"/>
        <v>-4.3478260869565188E-2</v>
      </c>
      <c r="AK29" s="202">
        <f>IFERROR(GETPIVOTDATA("dato",'[1]evolucion mensual nacionali'!$A$4,"indicador","RESTO DE EUROPA","mes",3,"año",2009),"-")</f>
        <v>207</v>
      </c>
      <c r="AL29" s="203">
        <f t="shared" si="42"/>
        <v>0</v>
      </c>
      <c r="AM29" s="202">
        <f>IFERROR(GETPIVOTDATA("dato",'[1]evolucion mensual nacionali'!$A$4,"indicador","USA","mes",3,"año",2009),"-")</f>
        <v>88</v>
      </c>
      <c r="AN29" s="203">
        <f t="shared" si="43"/>
        <v>0.14285714285714279</v>
      </c>
      <c r="AO29" s="202">
        <f>IFERROR(GETPIVOTDATA("dato",'[1]evolucion mensual nacionali'!$A$4,"indicador","RESTO DE AMÉRICA","mes",3,"año",2009),"-")</f>
        <v>242</v>
      </c>
      <c r="AP29" s="203">
        <f t="shared" si="44"/>
        <v>-0.52173913043478259</v>
      </c>
      <c r="AQ29" s="202">
        <f>IFERROR(GETPIVOTDATA("dato",'[1]evolucion mensual nacionali'!$A$4,"indicador","RESTO DEL MUNDO","mes",3,"año",2009),"-")</f>
        <v>295</v>
      </c>
      <c r="AR29" s="203">
        <f t="shared" si="45"/>
        <v>0.21900826446280997</v>
      </c>
      <c r="AS29" s="202">
        <f t="shared" si="49"/>
        <v>2719</v>
      </c>
      <c r="AT29" s="203">
        <f t="shared" si="46"/>
        <v>-0.15898546241880607</v>
      </c>
      <c r="AU29" s="204">
        <f>IFERROR(GETPIVOTDATA("dato",'[1]evolucion mensual nacionali'!$A$4,"indicador","TOTAL","mes",3,"año",2009),"-")</f>
        <v>15653</v>
      </c>
      <c r="AV29" s="205">
        <f t="shared" si="47"/>
        <v>-5.4256540390308694E-2</v>
      </c>
    </row>
    <row r="30" spans="2:48" ht="15" hidden="1" customHeight="1" outlineLevel="1">
      <c r="B30" s="51" t="s">
        <v>48</v>
      </c>
      <c r="C30" s="202">
        <f>IFERROR(GETPIVOTDATA("dato",'[1]evolucion mensual nacionali'!$A$4,"indicador","España","mes",2,"año",2009),"-")</f>
        <v>12703</v>
      </c>
      <c r="D30" s="203">
        <f t="shared" si="25"/>
        <v>-0.22537959631684856</v>
      </c>
      <c r="E30" s="202">
        <f>IFERROR(GETPIVOTDATA("dato",'[1]evolucion mensual nacionali'!$A$4,"indicador","HOLANDA","mes",2,"año",2009),"-")</f>
        <v>67</v>
      </c>
      <c r="F30" s="203">
        <f t="shared" si="26"/>
        <v>0.1166666666666667</v>
      </c>
      <c r="G30" s="202">
        <f>IFERROR(GETPIVOTDATA("dato",'[1]evolucion mensual nacionali'!$A$4,"indicador","BÉLGICA","mes",2,"año",2009),"-")</f>
        <v>37</v>
      </c>
      <c r="H30" s="203">
        <f t="shared" si="27"/>
        <v>-0.19565217391304346</v>
      </c>
      <c r="I30" s="202">
        <f>IFERROR(GETPIVOTDATA("dato",'[1]evolucion mensual nacionali'!$A$4,"indicador","ALEMANIA","mes",2,"año",2009),"-")</f>
        <v>362</v>
      </c>
      <c r="J30" s="203">
        <f t="shared" si="28"/>
        <v>-0.20088300220750555</v>
      </c>
      <c r="K30" s="202">
        <f>IFERROR(GETPIVOTDATA("dato",'[1]evolucion mensual nacionali'!$A$4,"indicador","FRANCIA","mes",2,"año",2009),"-")</f>
        <v>228</v>
      </c>
      <c r="L30" s="203">
        <f t="shared" si="29"/>
        <v>-0.18571428571428572</v>
      </c>
      <c r="M30" s="202">
        <f>IFERROR(GETPIVOTDATA("dato",'[1]evolucion mensual nacionali'!$A$4,"indicador","REINO UNIDO","mes",2,"año",2009),"-")</f>
        <v>322</v>
      </c>
      <c r="N30" s="203">
        <f t="shared" si="30"/>
        <v>-0.19900497512437809</v>
      </c>
      <c r="O30" s="202">
        <f>IFERROR(GETPIVOTDATA("dato",'[1]evolucion mensual nacionali'!$A$4,"indicador","IRLANDA","mes",2,"año",2009),"-")</f>
        <v>45</v>
      </c>
      <c r="P30" s="203">
        <f t="shared" si="31"/>
        <v>0.15384615384615374</v>
      </c>
      <c r="Q30" s="202">
        <f>IFERROR(GETPIVOTDATA("dato",'[1]evolucion mensual nacionali'!$A$4,"indicador","ITALIA","mes",2,"año",2009),"-")</f>
        <v>223</v>
      </c>
      <c r="R30" s="203">
        <f t="shared" si="32"/>
        <v>-0.24406779661016953</v>
      </c>
      <c r="S30" s="202">
        <f t="shared" si="48"/>
        <v>238</v>
      </c>
      <c r="T30" s="203">
        <f t="shared" si="33"/>
        <v>-0.27439024390243905</v>
      </c>
      <c r="U30" s="202">
        <f>IFERROR(GETPIVOTDATA("dato",'[1]evolucion mensual nacionali'!$A$4,"indicador","SUECIA","mes",2,"año",2009),"-")</f>
        <v>68</v>
      </c>
      <c r="V30" s="203">
        <f t="shared" si="34"/>
        <v>-0.41880341880341876</v>
      </c>
      <c r="W30" s="202">
        <f>IFERROR(GETPIVOTDATA("dato",'[1]evolucion mensual nacionali'!$A$4,"indicador","NORUEGA","mes",2,"año",2009),"-")</f>
        <v>54</v>
      </c>
      <c r="X30" s="203">
        <f t="shared" si="35"/>
        <v>-0.11475409836065575</v>
      </c>
      <c r="Y30" s="202">
        <f>IFERROR(GETPIVOTDATA("dato",'[1]evolucion mensual nacionali'!$A$4,"indicador","DINAMARCA","mes",2,"año",2009),"-")</f>
        <v>66</v>
      </c>
      <c r="Z30" s="203">
        <f t="shared" si="36"/>
        <v>-0.32653061224489799</v>
      </c>
      <c r="AA30" s="202">
        <f>IFERROR(GETPIVOTDATA("dato",'[1]evolucion mensual nacionali'!$A$4,"indicador","FINLANDIA","mes",2,"año",2009),"-")</f>
        <v>50</v>
      </c>
      <c r="AB30" s="203">
        <f t="shared" si="37"/>
        <v>-3.8461538461538436E-2</v>
      </c>
      <c r="AC30" s="202">
        <f>IFERROR(GETPIVOTDATA("dato",'[1]evolucion mensual nacionali'!$A$4,"indicador","SUIZA","mes",2,"año",2009),"-")</f>
        <v>64</v>
      </c>
      <c r="AD30" s="203">
        <f t="shared" si="38"/>
        <v>0.12280701754385959</v>
      </c>
      <c r="AE30" s="202">
        <f>IFERROR(GETPIVOTDATA("dato",'[1]evolucion mensual nacionali'!$A$4,"indicador","AUSTRIA","mes",2,"año",2009),"-")</f>
        <v>33</v>
      </c>
      <c r="AF30" s="203">
        <f t="shared" si="39"/>
        <v>-0.43103448275862066</v>
      </c>
      <c r="AG30" s="202">
        <f>IFERROR(GETPIVOTDATA("dato",'[1]evolucion mensual nacionali'!$A$4,"indicador","RUSIA","mes",2,"año",2009),"-")</f>
        <v>22</v>
      </c>
      <c r="AH30" s="203">
        <f t="shared" si="40"/>
        <v>-0.38888888888888884</v>
      </c>
      <c r="AI30" s="202">
        <f>IFERROR(GETPIVOTDATA("dato",'[1]evolucion mensual nacionali'!$A$4,"indicador","PAÍSES DEL ESTE","mes",2,"año",2009),"-")</f>
        <v>69</v>
      </c>
      <c r="AJ30" s="203">
        <f t="shared" si="41"/>
        <v>0.72500000000000009</v>
      </c>
      <c r="AK30" s="202">
        <f>IFERROR(GETPIVOTDATA("dato",'[1]evolucion mensual nacionali'!$A$4,"indicador","RESTO DE EUROPA","mes",2,"año",2009),"-")</f>
        <v>147</v>
      </c>
      <c r="AL30" s="203">
        <f t="shared" si="42"/>
        <v>-8.1250000000000044E-2</v>
      </c>
      <c r="AM30" s="202">
        <f>IFERROR(GETPIVOTDATA("dato",'[1]evolucion mensual nacionali'!$A$4,"indicador","USA","mes",2,"año",2009),"-")</f>
        <v>76</v>
      </c>
      <c r="AN30" s="203">
        <f t="shared" si="43"/>
        <v>0.1875</v>
      </c>
      <c r="AO30" s="202">
        <f>IFERROR(GETPIVOTDATA("dato",'[1]evolucion mensual nacionali'!$A$4,"indicador","RESTO DE AMÉRICA","mes",2,"año",2009),"-")</f>
        <v>288</v>
      </c>
      <c r="AP30" s="203">
        <f t="shared" si="44"/>
        <v>-0.30602409638554218</v>
      </c>
      <c r="AQ30" s="202">
        <f>IFERROR(GETPIVOTDATA("dato",'[1]evolucion mensual nacionali'!$A$4,"indicador","RESTO DEL MUNDO","mes",2,"año",2009),"-")</f>
        <v>248</v>
      </c>
      <c r="AR30" s="203">
        <f t="shared" si="45"/>
        <v>0.11210762331838575</v>
      </c>
      <c r="AS30" s="202">
        <f t="shared" si="49"/>
        <v>2469</v>
      </c>
      <c r="AT30" s="203">
        <f t="shared" si="46"/>
        <v>-0.16474966170500671</v>
      </c>
      <c r="AU30" s="204">
        <f>IFERROR(GETPIVOTDATA("dato",'[1]evolucion mensual nacionali'!$A$4,"indicador","TOTAL","mes",2,"año",2009),"-")</f>
        <v>15172</v>
      </c>
      <c r="AV30" s="205">
        <f t="shared" si="47"/>
        <v>-0.21611986566778607</v>
      </c>
    </row>
    <row r="31" spans="2:48" ht="15" hidden="1" customHeight="1" outlineLevel="1">
      <c r="B31" s="51" t="s">
        <v>49</v>
      </c>
      <c r="C31" s="202">
        <f>IFERROR(GETPIVOTDATA("dato",'[1]evolucion mensual nacionali'!$A$4,"indicador","España","mes",1,"año",2009),"-")</f>
        <v>10846</v>
      </c>
      <c r="D31" s="203">
        <f t="shared" si="25"/>
        <v>-0.23608959008311026</v>
      </c>
      <c r="E31" s="202">
        <f>IFERROR(GETPIVOTDATA("dato",'[1]evolucion mensual nacionali'!$A$4,"indicador","HOLANDA","mes",1,"año",2009),"-")</f>
        <v>107</v>
      </c>
      <c r="F31" s="203">
        <f t="shared" si="26"/>
        <v>1.1836734693877551</v>
      </c>
      <c r="G31" s="202">
        <f>IFERROR(GETPIVOTDATA("dato",'[1]evolucion mensual nacionali'!$A$4,"indicador","BÉLGICA","mes",1,"año",2009),"-")</f>
        <v>71</v>
      </c>
      <c r="H31" s="203">
        <f t="shared" si="27"/>
        <v>0.47916666666666674</v>
      </c>
      <c r="I31" s="202">
        <f>IFERROR(GETPIVOTDATA("dato",'[1]evolucion mensual nacionali'!$A$4,"indicador","ALEMANIA","mes",1,"año",2009),"-")</f>
        <v>415</v>
      </c>
      <c r="J31" s="203">
        <f t="shared" si="28"/>
        <v>-0.14078674948240166</v>
      </c>
      <c r="K31" s="202">
        <f>IFERROR(GETPIVOTDATA("dato",'[1]evolucion mensual nacionali'!$A$4,"indicador","FRANCIA","mes",1,"año",2009),"-")</f>
        <v>178</v>
      </c>
      <c r="L31" s="203">
        <f t="shared" si="29"/>
        <v>7.2289156626506035E-2</v>
      </c>
      <c r="M31" s="202">
        <f>IFERROR(GETPIVOTDATA("dato",'[1]evolucion mensual nacionali'!$A$4,"indicador","REINO UNIDO","mes",1,"año",2009),"-")</f>
        <v>355</v>
      </c>
      <c r="N31" s="203">
        <f t="shared" si="30"/>
        <v>2.0114942528735691E-2</v>
      </c>
      <c r="O31" s="202">
        <f>IFERROR(GETPIVOTDATA("dato",'[1]evolucion mensual nacionali'!$A$4,"indicador","IRLANDA","mes",1,"año",2009),"-")</f>
        <v>49</v>
      </c>
      <c r="P31" s="203">
        <f t="shared" si="31"/>
        <v>0.6333333333333333</v>
      </c>
      <c r="Q31" s="202">
        <f>IFERROR(GETPIVOTDATA("dato",'[1]evolucion mensual nacionali'!$A$4,"indicador","ITALIA","mes",1,"año",2009),"-")</f>
        <v>294</v>
      </c>
      <c r="R31" s="203">
        <f t="shared" si="32"/>
        <v>-3.289473684210531E-2</v>
      </c>
      <c r="S31" s="202">
        <f t="shared" si="48"/>
        <v>250</v>
      </c>
      <c r="T31" s="203">
        <f t="shared" si="33"/>
        <v>0.33689839572192515</v>
      </c>
      <c r="U31" s="202">
        <f>IFERROR(GETPIVOTDATA("dato",'[1]evolucion mensual nacionali'!$A$4,"indicador","SUECIA","mes",1,"año",2009),"-")</f>
        <v>35</v>
      </c>
      <c r="V31" s="203">
        <f t="shared" si="34"/>
        <v>-0.52054794520547953</v>
      </c>
      <c r="W31" s="202">
        <f>IFERROR(GETPIVOTDATA("dato",'[1]evolucion mensual nacionali'!$A$4,"indicador","NORUEGA","mes",1,"año",2009),"-")</f>
        <v>46</v>
      </c>
      <c r="X31" s="203">
        <f t="shared" si="35"/>
        <v>-4.166666666666663E-2</v>
      </c>
      <c r="Y31" s="202">
        <f>IFERROR(GETPIVOTDATA("dato",'[1]evolucion mensual nacionali'!$A$4,"indicador","DINAMARCA","mes",1,"año",2009),"-")</f>
        <v>54</v>
      </c>
      <c r="Z31" s="203">
        <f t="shared" si="36"/>
        <v>0.63636363636363646</v>
      </c>
      <c r="AA31" s="202">
        <f>IFERROR(GETPIVOTDATA("dato",'[1]evolucion mensual nacionali'!$A$4,"indicador","FINLANDIA","mes",1,"año",2009),"-")</f>
        <v>115</v>
      </c>
      <c r="AB31" s="203">
        <f t="shared" si="37"/>
        <v>2.4848484848484849</v>
      </c>
      <c r="AC31" s="202">
        <f>IFERROR(GETPIVOTDATA("dato",'[1]evolucion mensual nacionali'!$A$4,"indicador","SUIZA","mes",1,"año",2009),"-")</f>
        <v>61</v>
      </c>
      <c r="AD31" s="203">
        <f t="shared" si="38"/>
        <v>1.6666666666666607E-2</v>
      </c>
      <c r="AE31" s="202">
        <f>IFERROR(GETPIVOTDATA("dato",'[1]evolucion mensual nacionali'!$A$4,"indicador","AUSTRIA","mes",1,"año",2009),"-")</f>
        <v>34</v>
      </c>
      <c r="AF31" s="203">
        <f t="shared" si="39"/>
        <v>0.21428571428571419</v>
      </c>
      <c r="AG31" s="202">
        <f>IFERROR(GETPIVOTDATA("dato",'[1]evolucion mensual nacionali'!$A$4,"indicador","RUSIA","mes",1,"año",2009),"-")</f>
        <v>67</v>
      </c>
      <c r="AH31" s="203">
        <f t="shared" si="40"/>
        <v>0.36734693877551017</v>
      </c>
      <c r="AI31" s="202">
        <f>IFERROR(GETPIVOTDATA("dato",'[1]evolucion mensual nacionali'!$A$4,"indicador","PAÍSES DEL ESTE","mes",1,"año",2009),"-")</f>
        <v>75</v>
      </c>
      <c r="AJ31" s="203">
        <f t="shared" si="41"/>
        <v>8.6956521739130377E-2</v>
      </c>
      <c r="AK31" s="202">
        <f>IFERROR(GETPIVOTDATA("dato",'[1]evolucion mensual nacionali'!$A$4,"indicador","RESTO DE EUROPA","mes",1,"año",2009),"-")</f>
        <v>128</v>
      </c>
      <c r="AL31" s="203">
        <f t="shared" si="42"/>
        <v>-0.30434782608695654</v>
      </c>
      <c r="AM31" s="202">
        <f>IFERROR(GETPIVOTDATA("dato",'[1]evolucion mensual nacionali'!$A$4,"indicador","USA","mes",1,"año",2009),"-")</f>
        <v>55</v>
      </c>
      <c r="AN31" s="203">
        <f t="shared" si="43"/>
        <v>-0.45544554455445541</v>
      </c>
      <c r="AO31" s="202">
        <f>IFERROR(GETPIVOTDATA("dato",'[1]evolucion mensual nacionali'!$A$4,"indicador","RESTO DE AMÉRICA","mes",1,"año",2009),"-")</f>
        <v>314</v>
      </c>
      <c r="AP31" s="203">
        <f t="shared" si="44"/>
        <v>-0.30066815144766146</v>
      </c>
      <c r="AQ31" s="202">
        <f>IFERROR(GETPIVOTDATA("dato",'[1]evolucion mensual nacionali'!$A$4,"indicador","RESTO DEL MUNDO","mes",1,"año",2009),"-")</f>
        <v>271</v>
      </c>
      <c r="AR31" s="203">
        <f t="shared" si="45"/>
        <v>0.18340611353711789</v>
      </c>
      <c r="AS31" s="202">
        <f t="shared" si="49"/>
        <v>2724</v>
      </c>
      <c r="AT31" s="203">
        <f t="shared" si="46"/>
        <v>-2.155172413793105E-2</v>
      </c>
      <c r="AU31" s="204">
        <f>IFERROR(GETPIVOTDATA("dato",'[1]evolucion mensual nacionali'!$A$4,"indicador","TOTAL","mes",1,"año",2009),"-")</f>
        <v>13570</v>
      </c>
      <c r="AV31" s="205">
        <f t="shared" si="47"/>
        <v>-0.20091861971499236</v>
      </c>
    </row>
    <row r="32" spans="2:48" collapsed="1">
      <c r="B32" s="209">
        <v>2009</v>
      </c>
      <c r="C32" s="210">
        <f>GETPIVOTDATA("dato",'[1]evolucion mensual nacionali'!$A$4,"indicador","España","año",2009)</f>
        <v>126919</v>
      </c>
      <c r="D32" s="211">
        <f t="shared" si="25"/>
        <v>-0.24027439407634432</v>
      </c>
      <c r="E32" s="210">
        <f>GETPIVOTDATA("dato",'[1]evolucion mensual nacionali'!$A$4,"indicador","HOLANDA","año",2009)</f>
        <v>674</v>
      </c>
      <c r="F32" s="211">
        <f t="shared" si="26"/>
        <v>0.10310965630114577</v>
      </c>
      <c r="G32" s="210">
        <f>GETPIVOTDATA("dato",'[1]evolucion mensual nacionali'!$A$4,"indicador","BÉLGICA","año",2009)</f>
        <v>574</v>
      </c>
      <c r="H32" s="211">
        <f t="shared" si="27"/>
        <v>6.890130353817514E-2</v>
      </c>
      <c r="I32" s="210">
        <f>GETPIVOTDATA("dato",'[1]evolucion mensual nacionali'!$A$4,"indicador","ALEMANIA","año",2009)</f>
        <v>3620</v>
      </c>
      <c r="J32" s="211">
        <f t="shared" si="28"/>
        <v>-0.15202623565237761</v>
      </c>
      <c r="K32" s="210">
        <f>GETPIVOTDATA("dato",'[1]evolucion mensual nacionali'!$A$4,"indicador","FRANCIA","año",2009)</f>
        <v>2529</v>
      </c>
      <c r="L32" s="211">
        <f t="shared" si="29"/>
        <v>-0.13715455475946781</v>
      </c>
      <c r="M32" s="210">
        <f>GETPIVOTDATA("dato",'[1]evolucion mensual nacionali'!$A$4,"indicador","REINO UNIDO","año",2009)</f>
        <v>2710</v>
      </c>
      <c r="N32" s="211">
        <f t="shared" si="30"/>
        <v>-0.21744152468957556</v>
      </c>
      <c r="O32" s="210">
        <f>GETPIVOTDATA("dato",'[1]evolucion mensual nacionali'!$A$4,"indicador","IRLANDA","año",2009)</f>
        <v>378</v>
      </c>
      <c r="P32" s="211">
        <f t="shared" si="31"/>
        <v>-7.8048780487804836E-2</v>
      </c>
      <c r="Q32" s="210">
        <f>GETPIVOTDATA("dato",'[1]evolucion mensual nacionali'!$A$4,"indicador","ITALIA","año",2009)</f>
        <v>2666</v>
      </c>
      <c r="R32" s="211">
        <f t="shared" si="32"/>
        <v>-0.14715291106845807</v>
      </c>
      <c r="S32" s="210">
        <f t="shared" si="48"/>
        <v>1537</v>
      </c>
      <c r="T32" s="211">
        <f t="shared" si="33"/>
        <v>-0.2391089108910891</v>
      </c>
      <c r="U32" s="210">
        <f>GETPIVOTDATA("dato",'[1]evolucion mensual nacionali'!$A$4,"indicador","SUECIA","año",2009)</f>
        <v>365</v>
      </c>
      <c r="V32" s="211">
        <f t="shared" si="34"/>
        <v>-0.39065108514190316</v>
      </c>
      <c r="W32" s="210">
        <f>GETPIVOTDATA("dato",'[1]evolucion mensual nacionali'!$A$4,"indicador","NORUEGA","año",2009)</f>
        <v>383</v>
      </c>
      <c r="X32" s="211">
        <f t="shared" si="35"/>
        <v>-0.2246963562753036</v>
      </c>
      <c r="Y32" s="210">
        <f>GETPIVOTDATA("dato",'[1]evolucion mensual nacionali'!$A$4,"indicador","DINAMARCA","año",2009)</f>
        <v>323</v>
      </c>
      <c r="Z32" s="211">
        <f t="shared" si="36"/>
        <v>-0.20638820638820643</v>
      </c>
      <c r="AA32" s="210">
        <f>GETPIVOTDATA("dato",'[1]evolucion mensual nacionali'!$A$4,"indicador","FINLANDIA","año",2009)</f>
        <v>466</v>
      </c>
      <c r="AB32" s="211">
        <f t="shared" si="37"/>
        <v>-0.10384615384615381</v>
      </c>
      <c r="AC32" s="210">
        <f>GETPIVOTDATA("dato",'[1]evolucion mensual nacionali'!$A$4,"indicador","SUIZA","año",2009)</f>
        <v>557</v>
      </c>
      <c r="AD32" s="211">
        <f t="shared" si="38"/>
        <v>-0.1030595813204509</v>
      </c>
      <c r="AE32" s="210">
        <f>GETPIVOTDATA("dato",'[1]evolucion mensual nacionali'!$A$4,"indicador","AUSTRIA","año",2009)</f>
        <v>362</v>
      </c>
      <c r="AF32" s="211">
        <f t="shared" si="39"/>
        <v>0.13479623824451403</v>
      </c>
      <c r="AG32" s="210">
        <f>GETPIVOTDATA("dato",'[1]evolucion mensual nacionali'!$A$4,"indicador","RUSIA","año",2009)</f>
        <v>405</v>
      </c>
      <c r="AH32" s="211">
        <f t="shared" si="40"/>
        <v>-0.57051961823966058</v>
      </c>
      <c r="AI32" s="210">
        <f>GETPIVOTDATA("dato",'[1]evolucion mensual nacionali'!$A$4,"indicador","PAÍSES DEL ESTE","año",2009)</f>
        <v>947</v>
      </c>
      <c r="AJ32" s="211">
        <f t="shared" si="41"/>
        <v>-7.3375262054506951E-3</v>
      </c>
      <c r="AK32" s="210">
        <f>GETPIVOTDATA("dato",'[1]evolucion mensual nacionali'!$A$4,"indicador","RESTO DE EUROPA","año",2009)</f>
        <v>1701</v>
      </c>
      <c r="AL32" s="211">
        <f t="shared" si="42"/>
        <v>-0.25979112271540472</v>
      </c>
      <c r="AM32" s="210">
        <f>GETPIVOTDATA("dato",'[1]evolucion mensual nacionali'!$A$4,"indicador","USA","año",2009)</f>
        <v>931</v>
      </c>
      <c r="AN32" s="211">
        <f t="shared" si="43"/>
        <v>-2.3084994753410304E-2</v>
      </c>
      <c r="AO32" s="210">
        <f>GETPIVOTDATA("dato",'[1]evolucion mensual nacionali'!$A$4,"indicador","RESTO DE AMÉRICA","año",2009)</f>
        <v>4688</v>
      </c>
      <c r="AP32" s="211">
        <f t="shared" si="44"/>
        <v>-0.18738082856647598</v>
      </c>
      <c r="AQ32" s="210">
        <f>GETPIVOTDATA("dato",'[1]evolucion mensual nacionali'!$A$4,"indicador","RESTO DEL MUNDO","año",2009)</f>
        <v>3175</v>
      </c>
      <c r="AR32" s="211">
        <f t="shared" si="45"/>
        <v>-0.1018387553041018</v>
      </c>
      <c r="AS32" s="210">
        <f t="shared" si="49"/>
        <v>27454</v>
      </c>
      <c r="AT32" s="211">
        <f t="shared" si="46"/>
        <v>-0.16194023016575598</v>
      </c>
      <c r="AU32" s="212">
        <f>GETPIVOTDATA("dato",'[1]evolucion mensual nacionali'!$A$4,"indicador","TOTAL","año",2009)</f>
        <v>154373</v>
      </c>
      <c r="AV32" s="213">
        <f t="shared" si="47"/>
        <v>-0.22743196308640867</v>
      </c>
    </row>
    <row r="33" spans="2:48" ht="15" hidden="1" customHeight="1" outlineLevel="1">
      <c r="B33" s="51" t="s">
        <v>38</v>
      </c>
      <c r="C33" s="202">
        <f>IFERROR(GETPIVOTDATA("dato",'[1]evolucion mensual nacionali'!$A$4,"indicador","España","mes",12,"año",2008),"-")</f>
        <v>12528</v>
      </c>
      <c r="D33" s="203">
        <f t="shared" si="25"/>
        <v>-8.354059985369422E-2</v>
      </c>
      <c r="E33" s="202">
        <f>IFERROR(GETPIVOTDATA("dato",'[1]evolucion mensual nacionali'!$A$4,"indicador","HOLANDA","mes",12,"año",2008),"-")</f>
        <v>108</v>
      </c>
      <c r="F33" s="203">
        <f t="shared" si="26"/>
        <v>9.3457943925232545E-3</v>
      </c>
      <c r="G33" s="202">
        <f>IFERROR(GETPIVOTDATA("dato",'[1]evolucion mensual nacionali'!$A$4,"indicador","BÉLGICA","mes",12,"año",2008),"-")</f>
        <v>52</v>
      </c>
      <c r="H33" s="203">
        <f t="shared" si="27"/>
        <v>-0.24637681159420288</v>
      </c>
      <c r="I33" s="202">
        <f>IFERROR(GETPIVOTDATA("dato",'[1]evolucion mensual nacionali'!$A$4,"indicador","ALEMANIA","mes",12,"año",2008),"-")</f>
        <v>542</v>
      </c>
      <c r="J33" s="203">
        <f t="shared" si="28"/>
        <v>3.8314176245210829E-2</v>
      </c>
      <c r="K33" s="202">
        <f>IFERROR(GETPIVOTDATA("dato",'[1]evolucion mensual nacionali'!$A$4,"indicador","FRANCIA","mes",12,"año",2008),"-")</f>
        <v>293</v>
      </c>
      <c r="L33" s="203">
        <f t="shared" si="29"/>
        <v>0.72352941176470598</v>
      </c>
      <c r="M33" s="202">
        <f>IFERROR(GETPIVOTDATA("dato",'[1]evolucion mensual nacionali'!$A$4,"indicador","REINO UNIDO","mes",12,"año",2008),"-")</f>
        <v>467</v>
      </c>
      <c r="N33" s="203">
        <f t="shared" si="30"/>
        <v>1.0822510822510845E-2</v>
      </c>
      <c r="O33" s="202">
        <f>IFERROR(GETPIVOTDATA("dato",'[1]evolucion mensual nacionali'!$A$4,"indicador","IRLANDA","mes",12,"año",2008),"-")</f>
        <v>67</v>
      </c>
      <c r="P33" s="203">
        <f t="shared" si="31"/>
        <v>-5.633802816901412E-2</v>
      </c>
      <c r="Q33" s="202">
        <f>IFERROR(GETPIVOTDATA("dato",'[1]evolucion mensual nacionali'!$A$4,"indicador","ITALIA","mes",12,"año",2008),"-")</f>
        <v>263</v>
      </c>
      <c r="R33" s="203">
        <f t="shared" si="32"/>
        <v>-0.20543806646525675</v>
      </c>
      <c r="S33" s="202">
        <f>U33+W33+Y33+AA33</f>
        <v>222</v>
      </c>
      <c r="T33" s="203">
        <f t="shared" si="33"/>
        <v>0.13846153846153841</v>
      </c>
      <c r="U33" s="202">
        <f>IFERROR(GETPIVOTDATA("dato",'[1]evolucion mensual nacionali'!$A$4,"indicador","SUECIA","mes",12,"año",2008),"-")</f>
        <v>35</v>
      </c>
      <c r="V33" s="203">
        <f t="shared" si="34"/>
        <v>-0.32692307692307687</v>
      </c>
      <c r="W33" s="202">
        <f>IFERROR(GETPIVOTDATA("dato",'[1]evolucion mensual nacionali'!$A$4,"indicador","NORUEGA","mes",12,"año",2008),"-")</f>
        <v>77</v>
      </c>
      <c r="X33" s="203">
        <f t="shared" si="35"/>
        <v>0.79069767441860472</v>
      </c>
      <c r="Y33" s="202">
        <f>IFERROR(GETPIVOTDATA("dato",'[1]evolucion mensual nacionali'!$A$4,"indicador","DINAMARCA","mes",12,"año",2008),"-")</f>
        <v>31</v>
      </c>
      <c r="Z33" s="203">
        <f t="shared" si="36"/>
        <v>-0.34042553191489366</v>
      </c>
      <c r="AA33" s="202">
        <f>IFERROR(GETPIVOTDATA("dato",'[1]evolucion mensual nacionali'!$A$4,"indicador","FINLANDIA","mes",12,"año",2008),"-")</f>
        <v>79</v>
      </c>
      <c r="AB33" s="203">
        <f t="shared" si="37"/>
        <v>0.49056603773584895</v>
      </c>
      <c r="AC33" s="202">
        <f>IFERROR(GETPIVOTDATA("dato",'[1]evolucion mensual nacionali'!$A$4,"indicador","SUIZA","mes",12,"año",2008),"-")</f>
        <v>59</v>
      </c>
      <c r="AD33" s="203">
        <f t="shared" si="38"/>
        <v>0.13461538461538458</v>
      </c>
      <c r="AE33" s="202">
        <f>IFERROR(GETPIVOTDATA("dato",'[1]evolucion mensual nacionali'!$A$4,"indicador","AUSTRIA","mes",12,"año",2008),"-")</f>
        <v>35</v>
      </c>
      <c r="AF33" s="203">
        <f t="shared" si="39"/>
        <v>0.52173913043478271</v>
      </c>
      <c r="AG33" s="202">
        <f>IFERROR(GETPIVOTDATA("dato",'[1]evolucion mensual nacionali'!$A$4,"indicador","RUSIA","mes",12,"año",2008),"-")</f>
        <v>97</v>
      </c>
      <c r="AH33" s="203">
        <f t="shared" si="40"/>
        <v>1.5526315789473686</v>
      </c>
      <c r="AI33" s="202">
        <f>IFERROR(GETPIVOTDATA("dato",'[1]evolucion mensual nacionali'!$A$4,"indicador","PAÍSES DEL ESTE","mes",12,"año",2008),"-")</f>
        <v>96</v>
      </c>
      <c r="AJ33" s="203">
        <f t="shared" si="41"/>
        <v>0.33333333333333326</v>
      </c>
      <c r="AK33" s="202">
        <f>IFERROR(GETPIVOTDATA("dato",'[1]evolucion mensual nacionali'!$A$4,"indicador","RESTO DE EUROPA","mes",12,"año",2008),"-")</f>
        <v>235</v>
      </c>
      <c r="AL33" s="203">
        <f t="shared" si="42"/>
        <v>0.36627906976744184</v>
      </c>
      <c r="AM33" s="202">
        <f>IFERROR(GETPIVOTDATA("dato",'[1]evolucion mensual nacionali'!$A$4,"indicador","USA","mes",12,"año",2008),"-")</f>
        <v>96</v>
      </c>
      <c r="AN33" s="203">
        <f t="shared" si="43"/>
        <v>0.41176470588235303</v>
      </c>
      <c r="AO33" s="202">
        <f>IFERROR(GETPIVOTDATA("dato",'[1]evolucion mensual nacionali'!$A$4,"indicador","RESTO DE AMÉRICA","mes",12,"año",2008),"-")</f>
        <v>521</v>
      </c>
      <c r="AP33" s="203">
        <f t="shared" si="44"/>
        <v>0.12043010752688166</v>
      </c>
      <c r="AQ33" s="202">
        <f>IFERROR(GETPIVOTDATA("dato",'[1]evolucion mensual nacionali'!$A$4,"indicador","RESTO DEL MUNDO","mes",12,"año",2008),"-")</f>
        <v>451</v>
      </c>
      <c r="AR33" s="203">
        <f t="shared" si="45"/>
        <v>0.10810810810810811</v>
      </c>
      <c r="AS33" s="202">
        <f>AU33-C33</f>
        <v>3604</v>
      </c>
      <c r="AT33" s="203">
        <f t="shared" si="46"/>
        <v>0.1178660049627791</v>
      </c>
      <c r="AU33" s="204">
        <f>IFERROR(GETPIVOTDATA("dato",'[1]evolucion mensual nacionali'!$A$4,"indicador","TOTAL","mes",12,"año",2008),"-")</f>
        <v>16132</v>
      </c>
      <c r="AV33" s="205">
        <f t="shared" si="47"/>
        <v>-4.5104770924588644E-2</v>
      </c>
    </row>
    <row r="34" spans="2:48" ht="15" hidden="1" customHeight="1" outlineLevel="1">
      <c r="B34" s="51" t="s">
        <v>39</v>
      </c>
      <c r="C34" s="202">
        <f>IFERROR(GETPIVOTDATA("dato",'[1]evolucion mensual nacionali'!$A$4,"indicador","España","mes",11,"año",2008),"-")</f>
        <v>14430</v>
      </c>
      <c r="D34" s="203">
        <f t="shared" si="25"/>
        <v>-8.7113304232302124E-2</v>
      </c>
      <c r="E34" s="202">
        <f>IFERROR(GETPIVOTDATA("dato",'[1]evolucion mensual nacionali'!$A$4,"indicador","HOLANDA","mes",11,"año",2008),"-")</f>
        <v>60</v>
      </c>
      <c r="F34" s="203">
        <f t="shared" si="26"/>
        <v>0.76470588235294112</v>
      </c>
      <c r="G34" s="202">
        <f>IFERROR(GETPIVOTDATA("dato",'[1]evolucion mensual nacionali'!$A$4,"indicador","BÉLGICA","mes",11,"año",2008),"-")</f>
        <v>42</v>
      </c>
      <c r="H34" s="203">
        <f t="shared" si="27"/>
        <v>0.10526315789473695</v>
      </c>
      <c r="I34" s="202">
        <f>IFERROR(GETPIVOTDATA("dato",'[1]evolucion mensual nacionali'!$A$4,"indicador","ALEMANIA","mes",11,"año",2008),"-")</f>
        <v>415</v>
      </c>
      <c r="J34" s="203">
        <f t="shared" si="28"/>
        <v>-0.17821782178217827</v>
      </c>
      <c r="K34" s="202">
        <f>IFERROR(GETPIVOTDATA("dato",'[1]evolucion mensual nacionali'!$A$4,"indicador","FRANCIA","mes",11,"año",2008),"-")</f>
        <v>270</v>
      </c>
      <c r="L34" s="203">
        <f t="shared" si="29"/>
        <v>0.39175257731958757</v>
      </c>
      <c r="M34" s="202">
        <f>IFERROR(GETPIVOTDATA("dato",'[1]evolucion mensual nacionali'!$A$4,"indicador","REINO UNIDO","mes",11,"año",2008),"-")</f>
        <v>402</v>
      </c>
      <c r="N34" s="203">
        <f t="shared" si="30"/>
        <v>3.6082474226804218E-2</v>
      </c>
      <c r="O34" s="202">
        <f>IFERROR(GETPIVOTDATA("dato",'[1]evolucion mensual nacionali'!$A$4,"indicador","IRLANDA","mes",11,"año",2008),"-")</f>
        <v>30</v>
      </c>
      <c r="P34" s="203">
        <f t="shared" si="31"/>
        <v>-0.30232558139534882</v>
      </c>
      <c r="Q34" s="202">
        <f>IFERROR(GETPIVOTDATA("dato",'[1]evolucion mensual nacionali'!$A$4,"indicador","ITALIA","mes",11,"año",2008),"-")</f>
        <v>297</v>
      </c>
      <c r="R34" s="203">
        <f t="shared" si="32"/>
        <v>0.56315789473684208</v>
      </c>
      <c r="S34" s="202">
        <f t="shared" ref="S34:S45" si="50">U34+W34+Y34+AA34</f>
        <v>309</v>
      </c>
      <c r="T34" s="203">
        <f t="shared" si="33"/>
        <v>-3.4375000000000044E-2</v>
      </c>
      <c r="U34" s="202">
        <f>IFERROR(GETPIVOTDATA("dato",'[1]evolucion mensual nacionali'!$A$4,"indicador","SUECIA","mes",11,"año",2008),"-")</f>
        <v>108</v>
      </c>
      <c r="V34" s="203">
        <f t="shared" si="34"/>
        <v>-0.14960629921259838</v>
      </c>
      <c r="W34" s="202">
        <f>IFERROR(GETPIVOTDATA("dato",'[1]evolucion mensual nacionali'!$A$4,"indicador","NORUEGA","mes",11,"año",2008),"-")</f>
        <v>67</v>
      </c>
      <c r="X34" s="203">
        <f t="shared" si="35"/>
        <v>-0.12987012987012991</v>
      </c>
      <c r="Y34" s="202">
        <f>IFERROR(GETPIVOTDATA("dato",'[1]evolucion mensual nacionali'!$A$4,"indicador","DINAMARCA","mes",11,"año",2008),"-")</f>
        <v>46</v>
      </c>
      <c r="Z34" s="203">
        <f t="shared" si="36"/>
        <v>4.5454545454545414E-2</v>
      </c>
      <c r="AA34" s="202">
        <f>IFERROR(GETPIVOTDATA("dato",'[1]evolucion mensual nacionali'!$A$4,"indicador","FINLANDIA","mes",11,"año",2008),"-")</f>
        <v>88</v>
      </c>
      <c r="AB34" s="203">
        <f t="shared" si="37"/>
        <v>0.22222222222222232</v>
      </c>
      <c r="AC34" s="202">
        <f>IFERROR(GETPIVOTDATA("dato",'[1]evolucion mensual nacionali'!$A$4,"indicador","SUIZA","mes",11,"año",2008),"-")</f>
        <v>65</v>
      </c>
      <c r="AD34" s="203">
        <f t="shared" si="38"/>
        <v>-0.27777777777777779</v>
      </c>
      <c r="AE34" s="202">
        <f>IFERROR(GETPIVOTDATA("dato",'[1]evolucion mensual nacionali'!$A$4,"indicador","AUSTRIA","mes",11,"año",2008),"-")</f>
        <v>33</v>
      </c>
      <c r="AF34" s="203">
        <f t="shared" si="39"/>
        <v>-2.9411764705882359E-2</v>
      </c>
      <c r="AG34" s="202">
        <f>IFERROR(GETPIVOTDATA("dato",'[1]evolucion mensual nacionali'!$A$4,"indicador","RUSIA","mes",11,"año",2008),"-")</f>
        <v>104</v>
      </c>
      <c r="AH34" s="203">
        <f t="shared" si="40"/>
        <v>5.5</v>
      </c>
      <c r="AI34" s="202">
        <f>IFERROR(GETPIVOTDATA("dato",'[1]evolucion mensual nacionali'!$A$4,"indicador","PAÍSES DEL ESTE","mes",11,"año",2008),"-")</f>
        <v>89</v>
      </c>
      <c r="AJ34" s="203">
        <f t="shared" si="41"/>
        <v>-0.15238095238095239</v>
      </c>
      <c r="AK34" s="202">
        <f>IFERROR(GETPIVOTDATA("dato",'[1]evolucion mensual nacionali'!$A$4,"indicador","RESTO DE EUROPA","mes",11,"año",2008),"-")</f>
        <v>310</v>
      </c>
      <c r="AL34" s="203">
        <f t="shared" si="42"/>
        <v>0.79190751445086716</v>
      </c>
      <c r="AM34" s="202">
        <f>IFERROR(GETPIVOTDATA("dato",'[1]evolucion mensual nacionali'!$A$4,"indicador","USA","mes",11,"año",2008),"-")</f>
        <v>121</v>
      </c>
      <c r="AN34" s="203">
        <f t="shared" si="43"/>
        <v>0.30107526881720426</v>
      </c>
      <c r="AO34" s="202">
        <f>IFERROR(GETPIVOTDATA("dato",'[1]evolucion mensual nacionali'!$A$4,"indicador","RESTO DE AMÉRICA","mes",11,"año",2008),"-")</f>
        <v>501</v>
      </c>
      <c r="AP34" s="203">
        <f t="shared" si="44"/>
        <v>-9.4032549728752302E-2</v>
      </c>
      <c r="AQ34" s="202">
        <f>IFERROR(GETPIVOTDATA("dato",'[1]evolucion mensual nacionali'!$A$4,"indicador","RESTO DEL MUNDO","mes",11,"año",2008),"-")</f>
        <v>365</v>
      </c>
      <c r="AR34" s="203">
        <f t="shared" si="45"/>
        <v>0.11963190184049077</v>
      </c>
      <c r="AS34" s="202">
        <f t="shared" ref="AS34:AS45" si="51">AU34-C34</f>
        <v>3413</v>
      </c>
      <c r="AT34" s="203">
        <f t="shared" si="46"/>
        <v>0.10025789813023867</v>
      </c>
      <c r="AU34" s="204">
        <f>IFERROR(GETPIVOTDATA("dato",'[1]evolucion mensual nacionali'!$A$4,"indicador","TOTAL","mes",11,"año",2008),"-")</f>
        <v>17843</v>
      </c>
      <c r="AV34" s="205">
        <f t="shared" si="47"/>
        <v>-5.6375271034956875E-2</v>
      </c>
    </row>
    <row r="35" spans="2:48" ht="15" hidden="1" customHeight="1" outlineLevel="1">
      <c r="B35" s="51" t="s">
        <v>40</v>
      </c>
      <c r="C35" s="202">
        <f>IFERROR(GETPIVOTDATA("dato",'[1]evolucion mensual nacionali'!$A$4,"indicador","España","mes",10,"año",2008),"-")</f>
        <v>15287</v>
      </c>
      <c r="D35" s="203">
        <f t="shared" si="25"/>
        <v>3.7391422366992444E-2</v>
      </c>
      <c r="E35" s="202">
        <f>IFERROR(GETPIVOTDATA("dato",'[1]evolucion mensual nacionali'!$A$4,"indicador","HOLANDA","mes",10,"año",2008),"-")</f>
        <v>48</v>
      </c>
      <c r="F35" s="203">
        <f t="shared" si="26"/>
        <v>0</v>
      </c>
      <c r="G35" s="202">
        <f>IFERROR(GETPIVOTDATA("dato",'[1]evolucion mensual nacionali'!$A$4,"indicador","BÉLGICA","mes",10,"año",2008),"-")</f>
        <v>35</v>
      </c>
      <c r="H35" s="203">
        <f t="shared" si="27"/>
        <v>-5.4054054054054057E-2</v>
      </c>
      <c r="I35" s="202">
        <f>IFERROR(GETPIVOTDATA("dato",'[1]evolucion mensual nacionali'!$A$4,"indicador","ALEMANIA","mes",10,"año",2008),"-")</f>
        <v>337</v>
      </c>
      <c r="J35" s="203">
        <f t="shared" si="28"/>
        <v>-1.1730205278592365E-2</v>
      </c>
      <c r="K35" s="202">
        <f>IFERROR(GETPIVOTDATA("dato",'[1]evolucion mensual nacionali'!$A$4,"indicador","FRANCIA","mes",10,"año",2008),"-")</f>
        <v>215</v>
      </c>
      <c r="L35" s="203">
        <f t="shared" si="29"/>
        <v>0.19444444444444442</v>
      </c>
      <c r="M35" s="202">
        <f>IFERROR(GETPIVOTDATA("dato",'[1]evolucion mensual nacionali'!$A$4,"indicador","REINO UNIDO","mes",10,"año",2008),"-")</f>
        <v>430</v>
      </c>
      <c r="N35" s="203">
        <f t="shared" si="30"/>
        <v>0.72</v>
      </c>
      <c r="O35" s="202">
        <f>IFERROR(GETPIVOTDATA("dato",'[1]evolucion mensual nacionali'!$A$4,"indicador","IRLANDA","mes",10,"año",2008),"-")</f>
        <v>40</v>
      </c>
      <c r="P35" s="203">
        <f t="shared" si="31"/>
        <v>-0.36507936507936511</v>
      </c>
      <c r="Q35" s="202">
        <f>IFERROR(GETPIVOTDATA("dato",'[1]evolucion mensual nacionali'!$A$4,"indicador","ITALIA","mes",10,"año",2008),"-")</f>
        <v>301</v>
      </c>
      <c r="R35" s="203">
        <f t="shared" si="32"/>
        <v>0.49751243781094523</v>
      </c>
      <c r="S35" s="202">
        <f t="shared" si="50"/>
        <v>205</v>
      </c>
      <c r="T35" s="203">
        <f t="shared" si="33"/>
        <v>-6.3926940639269403E-2</v>
      </c>
      <c r="U35" s="202">
        <f>IFERROR(GETPIVOTDATA("dato",'[1]evolucion mensual nacionali'!$A$4,"indicador","SUECIA","mes",10,"año",2008),"-")</f>
        <v>57</v>
      </c>
      <c r="V35" s="203">
        <f t="shared" si="34"/>
        <v>3.6363636363636376E-2</v>
      </c>
      <c r="W35" s="202">
        <f>IFERROR(GETPIVOTDATA("dato",'[1]evolucion mensual nacionali'!$A$4,"indicador","NORUEGA","mes",10,"año",2008),"-")</f>
        <v>51</v>
      </c>
      <c r="X35" s="203">
        <f t="shared" si="35"/>
        <v>-0.32894736842105265</v>
      </c>
      <c r="Y35" s="202">
        <f>IFERROR(GETPIVOTDATA("dato",'[1]evolucion mensual nacionali'!$A$4,"indicador","DINAMARCA","mes",10,"año",2008),"-")</f>
        <v>49</v>
      </c>
      <c r="Z35" s="203">
        <f t="shared" si="36"/>
        <v>0.11363636363636354</v>
      </c>
      <c r="AA35" s="202">
        <f>IFERROR(GETPIVOTDATA("dato",'[1]evolucion mensual nacionali'!$A$4,"indicador","FINLANDIA","mes",10,"año",2008),"-")</f>
        <v>48</v>
      </c>
      <c r="AB35" s="203">
        <f t="shared" si="37"/>
        <v>9.0909090909090828E-2</v>
      </c>
      <c r="AC35" s="202">
        <f>IFERROR(GETPIVOTDATA("dato",'[1]evolucion mensual nacionali'!$A$4,"indicador","SUIZA","mes",10,"año",2008),"-")</f>
        <v>107</v>
      </c>
      <c r="AD35" s="203">
        <f t="shared" si="38"/>
        <v>5.9405940594059459E-2</v>
      </c>
      <c r="AE35" s="202">
        <f>IFERROR(GETPIVOTDATA("dato",'[1]evolucion mensual nacionali'!$A$4,"indicador","AUSTRIA","mes",10,"año",2008),"-")</f>
        <v>17</v>
      </c>
      <c r="AF35" s="203">
        <f t="shared" si="39"/>
        <v>-0.31999999999999995</v>
      </c>
      <c r="AG35" s="202">
        <f>IFERROR(GETPIVOTDATA("dato",'[1]evolucion mensual nacionali'!$A$4,"indicador","RUSIA","mes",10,"año",2008),"-")</f>
        <v>67</v>
      </c>
      <c r="AH35" s="203">
        <f t="shared" si="40"/>
        <v>3.1875</v>
      </c>
      <c r="AI35" s="202">
        <f>IFERROR(GETPIVOTDATA("dato",'[1]evolucion mensual nacionali'!$A$4,"indicador","PAÍSES DEL ESTE","mes",10,"año",2008),"-")</f>
        <v>128</v>
      </c>
      <c r="AJ35" s="203">
        <f t="shared" si="41"/>
        <v>0.4065934065934067</v>
      </c>
      <c r="AK35" s="202">
        <f>IFERROR(GETPIVOTDATA("dato",'[1]evolucion mensual nacionali'!$A$4,"indicador","RESTO DE EUROPA","mes",10,"año",2008),"-")</f>
        <v>273</v>
      </c>
      <c r="AL35" s="203">
        <f t="shared" si="42"/>
        <v>1.3333333333333335</v>
      </c>
      <c r="AM35" s="202">
        <f>IFERROR(GETPIVOTDATA("dato",'[1]evolucion mensual nacionali'!$A$4,"indicador","USA","mes",10,"año",2008),"-")</f>
        <v>105</v>
      </c>
      <c r="AN35" s="203">
        <f t="shared" si="43"/>
        <v>-0.14634146341463417</v>
      </c>
      <c r="AO35" s="202">
        <f>IFERROR(GETPIVOTDATA("dato",'[1]evolucion mensual nacionali'!$A$4,"indicador","RESTO DE AMÉRICA","mes",10,"año",2008),"-")</f>
        <v>695</v>
      </c>
      <c r="AP35" s="203">
        <f t="shared" si="44"/>
        <v>0.55829596412556048</v>
      </c>
      <c r="AQ35" s="202">
        <f>IFERROR(GETPIVOTDATA("dato",'[1]evolucion mensual nacionali'!$A$4,"indicador","RESTO DEL MUNDO","mes",10,"año",2008),"-")</f>
        <v>416</v>
      </c>
      <c r="AR35" s="203">
        <f t="shared" si="45"/>
        <v>0.18181818181818188</v>
      </c>
      <c r="AS35" s="202">
        <f t="shared" si="51"/>
        <v>3419</v>
      </c>
      <c r="AT35" s="203">
        <f t="shared" si="46"/>
        <v>0.30996168582375483</v>
      </c>
      <c r="AU35" s="204">
        <f>IFERROR(GETPIVOTDATA("dato",'[1]evolucion mensual nacionali'!$A$4,"indicador","TOTAL","mes",10,"año",2008),"-")</f>
        <v>18706</v>
      </c>
      <c r="AV35" s="205">
        <f t="shared" si="47"/>
        <v>7.8404243053153522E-2</v>
      </c>
    </row>
    <row r="36" spans="2:48" ht="15" hidden="1" customHeight="1" outlineLevel="1">
      <c r="B36" s="51" t="s">
        <v>41</v>
      </c>
      <c r="C36" s="202">
        <f>IFERROR(GETPIVOTDATA("dato",'[1]evolucion mensual nacionali'!$A$4,"indicador","España","mes",9,"año",2008),"-")</f>
        <v>12814</v>
      </c>
      <c r="D36" s="203">
        <f t="shared" si="25"/>
        <v>6.2168435013262524E-2</v>
      </c>
      <c r="E36" s="202">
        <f>IFERROR(GETPIVOTDATA("dato",'[1]evolucion mensual nacionali'!$A$4,"indicador","HOLANDA","mes",9,"año",2008),"-")</f>
        <v>38</v>
      </c>
      <c r="F36" s="203">
        <f t="shared" si="26"/>
        <v>-0.11627906976744184</v>
      </c>
      <c r="G36" s="202">
        <f>IFERROR(GETPIVOTDATA("dato",'[1]evolucion mensual nacionali'!$A$4,"indicador","BÉLGICA","mes",9,"año",2008),"-")</f>
        <v>23</v>
      </c>
      <c r="H36" s="203">
        <f t="shared" si="27"/>
        <v>-0.46511627906976749</v>
      </c>
      <c r="I36" s="202">
        <f>IFERROR(GETPIVOTDATA("dato",'[1]evolucion mensual nacionali'!$A$4,"indicador","ALEMANIA","mes",9,"año",2008),"-")</f>
        <v>246</v>
      </c>
      <c r="J36" s="203">
        <f t="shared" si="28"/>
        <v>0.18269230769230771</v>
      </c>
      <c r="K36" s="202">
        <f>IFERROR(GETPIVOTDATA("dato",'[1]evolucion mensual nacionali'!$A$4,"indicador","FRANCIA","mes",9,"año",2008),"-")</f>
        <v>193</v>
      </c>
      <c r="L36" s="203">
        <f t="shared" si="29"/>
        <v>0.38848920863309355</v>
      </c>
      <c r="M36" s="202">
        <f>IFERROR(GETPIVOTDATA("dato",'[1]evolucion mensual nacionali'!$A$4,"indicador","REINO UNIDO","mes",9,"año",2008),"-")</f>
        <v>171</v>
      </c>
      <c r="N36" s="203">
        <f t="shared" si="30"/>
        <v>-8.064516129032262E-2</v>
      </c>
      <c r="O36" s="202">
        <f>IFERROR(GETPIVOTDATA("dato",'[1]evolucion mensual nacionali'!$A$4,"indicador","IRLANDA","mes",9,"año",2008),"-")</f>
        <v>26</v>
      </c>
      <c r="P36" s="203">
        <f t="shared" si="31"/>
        <v>-0.43478260869565222</v>
      </c>
      <c r="Q36" s="202">
        <f>IFERROR(GETPIVOTDATA("dato",'[1]evolucion mensual nacionali'!$A$4,"indicador","ITALIA","mes",9,"año",2008),"-")</f>
        <v>201</v>
      </c>
      <c r="R36" s="203">
        <f t="shared" si="32"/>
        <v>0</v>
      </c>
      <c r="S36" s="202">
        <f t="shared" si="50"/>
        <v>88</v>
      </c>
      <c r="T36" s="203">
        <f t="shared" si="33"/>
        <v>0.29411764705882359</v>
      </c>
      <c r="U36" s="202">
        <f>IFERROR(GETPIVOTDATA("dato",'[1]evolucion mensual nacionali'!$A$4,"indicador","SUECIA","mes",9,"año",2008),"-")</f>
        <v>15</v>
      </c>
      <c r="V36" s="203">
        <f t="shared" si="34"/>
        <v>-0.16666666666666663</v>
      </c>
      <c r="W36" s="202">
        <f>IFERROR(GETPIVOTDATA("dato",'[1]evolucion mensual nacionali'!$A$4,"indicador","NORUEGA","mes",9,"año",2008),"-")</f>
        <v>23</v>
      </c>
      <c r="X36" s="203">
        <f t="shared" si="35"/>
        <v>0.64285714285714279</v>
      </c>
      <c r="Y36" s="202">
        <f>IFERROR(GETPIVOTDATA("dato",'[1]evolucion mensual nacionali'!$A$4,"indicador","DINAMARCA","mes",9,"año",2008),"-")</f>
        <v>11</v>
      </c>
      <c r="Z36" s="203">
        <f t="shared" si="36"/>
        <v>0.5714285714285714</v>
      </c>
      <c r="AA36" s="202">
        <f>IFERROR(GETPIVOTDATA("dato",'[1]evolucion mensual nacionali'!$A$4,"indicador","FINLANDIA","mes",9,"año",2008),"-")</f>
        <v>39</v>
      </c>
      <c r="AB36" s="203">
        <f t="shared" si="37"/>
        <v>0.34482758620689657</v>
      </c>
      <c r="AC36" s="202">
        <f>IFERROR(GETPIVOTDATA("dato",'[1]evolucion mensual nacionali'!$A$4,"indicador","SUIZA","mes",9,"año",2008),"-")</f>
        <v>61</v>
      </c>
      <c r="AD36" s="203">
        <f t="shared" si="38"/>
        <v>1.44</v>
      </c>
      <c r="AE36" s="202">
        <f>IFERROR(GETPIVOTDATA("dato",'[1]evolucion mensual nacionali'!$A$4,"indicador","AUSTRIA","mes",9,"año",2008),"-")</f>
        <v>13</v>
      </c>
      <c r="AF36" s="203">
        <f t="shared" si="39"/>
        <v>-0.35</v>
      </c>
      <c r="AG36" s="202">
        <f>IFERROR(GETPIVOTDATA("dato",'[1]evolucion mensual nacionali'!$A$4,"indicador","RUSIA","mes",9,"año",2008),"-")</f>
        <v>32</v>
      </c>
      <c r="AH36" s="203">
        <f t="shared" si="40"/>
        <v>1.9090909090909092</v>
      </c>
      <c r="AI36" s="202">
        <f>IFERROR(GETPIVOTDATA("dato",'[1]evolucion mensual nacionali'!$A$4,"indicador","PAÍSES DEL ESTE","mes",9,"año",2008),"-")</f>
        <v>67</v>
      </c>
      <c r="AJ36" s="203">
        <f t="shared" si="41"/>
        <v>-0.29473684210526319</v>
      </c>
      <c r="AK36" s="202">
        <f>IFERROR(GETPIVOTDATA("dato",'[1]evolucion mensual nacionali'!$A$4,"indicador","RESTO DE EUROPA","mes",9,"año",2008),"-")</f>
        <v>216</v>
      </c>
      <c r="AL36" s="203">
        <f t="shared" si="42"/>
        <v>1.2736842105263158</v>
      </c>
      <c r="AM36" s="202">
        <f>IFERROR(GETPIVOTDATA("dato",'[1]evolucion mensual nacionali'!$A$4,"indicador","USA","mes",9,"año",2008),"-")</f>
        <v>50</v>
      </c>
      <c r="AN36" s="203">
        <f t="shared" si="43"/>
        <v>-0.40476190476190477</v>
      </c>
      <c r="AO36" s="202">
        <f>IFERROR(GETPIVOTDATA("dato",'[1]evolucion mensual nacionali'!$A$4,"indicador","RESTO DE AMÉRICA","mes",9,"año",2008),"-")</f>
        <v>484</v>
      </c>
      <c r="AP36" s="203">
        <f t="shared" si="44"/>
        <v>0.31521739130434789</v>
      </c>
      <c r="AQ36" s="202">
        <f>IFERROR(GETPIVOTDATA("dato",'[1]evolucion mensual nacionali'!$A$4,"indicador","RESTO DEL MUNDO","mes",9,"año",2008),"-")</f>
        <v>411</v>
      </c>
      <c r="AR36" s="203">
        <f t="shared" si="45"/>
        <v>0.11382113821138207</v>
      </c>
      <c r="AS36" s="202">
        <f t="shared" si="51"/>
        <v>2320</v>
      </c>
      <c r="AT36" s="203">
        <f t="shared" si="46"/>
        <v>0.15942028985507251</v>
      </c>
      <c r="AU36" s="204">
        <f>IFERROR(GETPIVOTDATA("dato",'[1]evolucion mensual nacionali'!$A$4,"indicador","TOTAL","mes",9,"año",2008),"-")</f>
        <v>15134</v>
      </c>
      <c r="AV36" s="205">
        <f t="shared" si="47"/>
        <v>7.6004265908282909E-2</v>
      </c>
    </row>
    <row r="37" spans="2:48" ht="15" hidden="1" customHeight="1" outlineLevel="1">
      <c r="B37" s="51" t="s">
        <v>42</v>
      </c>
      <c r="C37" s="202">
        <f>IFERROR(GETPIVOTDATA("dato",'[1]evolucion mensual nacionali'!$A$4,"indicador","España","mes",8,"año",2008),"-")</f>
        <v>9618</v>
      </c>
      <c r="D37" s="203">
        <f t="shared" si="25"/>
        <v>0.17550721095086774</v>
      </c>
      <c r="E37" s="202">
        <f>IFERROR(GETPIVOTDATA("dato",'[1]evolucion mensual nacionali'!$A$4,"indicador","HOLANDA","mes",8,"año",2008),"-")</f>
        <v>24</v>
      </c>
      <c r="F37" s="203">
        <f t="shared" si="26"/>
        <v>9.0909090909090828E-2</v>
      </c>
      <c r="G37" s="202">
        <f>IFERROR(GETPIVOTDATA("dato",'[1]evolucion mensual nacionali'!$A$4,"indicador","BÉLGICA","mes",8,"año",2008),"-")</f>
        <v>32</v>
      </c>
      <c r="H37" s="203">
        <f t="shared" si="27"/>
        <v>3.5714285714285712</v>
      </c>
      <c r="I37" s="202">
        <f>IFERROR(GETPIVOTDATA("dato",'[1]evolucion mensual nacionali'!$A$4,"indicador","ALEMANIA","mes",8,"año",2008),"-")</f>
        <v>225</v>
      </c>
      <c r="J37" s="203">
        <f t="shared" si="28"/>
        <v>0.49006622516556297</v>
      </c>
      <c r="K37" s="202">
        <f>IFERROR(GETPIVOTDATA("dato",'[1]evolucion mensual nacionali'!$A$4,"indicador","FRANCIA","mes",8,"año",2008),"-")</f>
        <v>399</v>
      </c>
      <c r="L37" s="203">
        <f t="shared" si="29"/>
        <v>0.68354430379746844</v>
      </c>
      <c r="M37" s="202">
        <f>IFERROR(GETPIVOTDATA("dato",'[1]evolucion mensual nacionali'!$A$4,"indicador","REINO UNIDO","mes",8,"año",2008),"-")</f>
        <v>144</v>
      </c>
      <c r="N37" s="203">
        <f t="shared" si="30"/>
        <v>0.46938775510204089</v>
      </c>
      <c r="O37" s="202">
        <f>IFERROR(GETPIVOTDATA("dato",'[1]evolucion mensual nacionali'!$A$4,"indicador","IRLANDA","mes",8,"año",2008),"-")</f>
        <v>23</v>
      </c>
      <c r="P37" s="203">
        <f t="shared" si="31"/>
        <v>-0.46511627906976749</v>
      </c>
      <c r="Q37" s="202">
        <f>IFERROR(GETPIVOTDATA("dato",'[1]evolucion mensual nacionali'!$A$4,"indicador","ITALIA","mes",8,"año",2008),"-")</f>
        <v>362</v>
      </c>
      <c r="R37" s="203">
        <f t="shared" si="32"/>
        <v>0.34572490706319692</v>
      </c>
      <c r="S37" s="202">
        <f t="shared" si="50"/>
        <v>56</v>
      </c>
      <c r="T37" s="203">
        <f t="shared" si="33"/>
        <v>-0.43999999999999995</v>
      </c>
      <c r="U37" s="202">
        <f>IFERROR(GETPIVOTDATA("dato",'[1]evolucion mensual nacionali'!$A$4,"indicador","SUECIA","mes",8,"año",2008),"-")</f>
        <v>11</v>
      </c>
      <c r="V37" s="203">
        <f t="shared" si="34"/>
        <v>1.2000000000000002</v>
      </c>
      <c r="W37" s="202">
        <f>IFERROR(GETPIVOTDATA("dato",'[1]evolucion mensual nacionali'!$A$4,"indicador","NORUEGA","mes",8,"año",2008),"-")</f>
        <v>23</v>
      </c>
      <c r="X37" s="203">
        <f t="shared" si="35"/>
        <v>1.875</v>
      </c>
      <c r="Y37" s="202">
        <f>IFERROR(GETPIVOTDATA("dato",'[1]evolucion mensual nacionali'!$A$4,"indicador","DINAMARCA","mes",8,"año",2008),"-")</f>
        <v>10</v>
      </c>
      <c r="Z37" s="203">
        <f t="shared" si="36"/>
        <v>-0.8666666666666667</v>
      </c>
      <c r="AA37" s="202">
        <f>IFERROR(GETPIVOTDATA("dato",'[1]evolucion mensual nacionali'!$A$4,"indicador","FINLANDIA","mes",8,"año",2008),"-")</f>
        <v>12</v>
      </c>
      <c r="AB37" s="203">
        <f t="shared" si="37"/>
        <v>0</v>
      </c>
      <c r="AC37" s="202">
        <f>IFERROR(GETPIVOTDATA("dato",'[1]evolucion mensual nacionali'!$A$4,"indicador","SUIZA","mes",8,"año",2008),"-")</f>
        <v>7</v>
      </c>
      <c r="AD37" s="203">
        <f t="shared" si="38"/>
        <v>-0.5625</v>
      </c>
      <c r="AE37" s="202">
        <f>IFERROR(GETPIVOTDATA("dato",'[1]evolucion mensual nacionali'!$A$4,"indicador","AUSTRIA","mes",8,"año",2008),"-")</f>
        <v>31</v>
      </c>
      <c r="AF37" s="203">
        <f t="shared" si="39"/>
        <v>0.55000000000000004</v>
      </c>
      <c r="AG37" s="202">
        <f>IFERROR(GETPIVOTDATA("dato",'[1]evolucion mensual nacionali'!$A$4,"indicador","RUSIA","mes",8,"año",2008),"-")</f>
        <v>386</v>
      </c>
      <c r="AH37" s="203">
        <f t="shared" si="40"/>
        <v>20.444444444444443</v>
      </c>
      <c r="AI37" s="202">
        <f>IFERROR(GETPIVOTDATA("dato",'[1]evolucion mensual nacionali'!$A$4,"indicador","PAÍSES DEL ESTE","mes",8,"año",2008),"-")</f>
        <v>64</v>
      </c>
      <c r="AJ37" s="203">
        <f t="shared" si="41"/>
        <v>3.2258064516129004E-2</v>
      </c>
      <c r="AK37" s="202">
        <f>IFERROR(GETPIVOTDATA("dato",'[1]evolucion mensual nacionali'!$A$4,"indicador","RESTO DE EUROPA","mes",8,"año",2008),"-")</f>
        <v>154</v>
      </c>
      <c r="AL37" s="203">
        <f t="shared" si="42"/>
        <v>6.2068965517241281E-2</v>
      </c>
      <c r="AM37" s="202">
        <f>IFERROR(GETPIVOTDATA("dato",'[1]evolucion mensual nacionali'!$A$4,"indicador","USA","mes",8,"año",2008),"-")</f>
        <v>36</v>
      </c>
      <c r="AN37" s="203">
        <f t="shared" si="43"/>
        <v>-0.51351351351351349</v>
      </c>
      <c r="AO37" s="202">
        <f>IFERROR(GETPIVOTDATA("dato",'[1]evolucion mensual nacionali'!$A$4,"indicador","RESTO DE AMÉRICA","mes",8,"año",2008),"-")</f>
        <v>483</v>
      </c>
      <c r="AP37" s="203">
        <f t="shared" si="44"/>
        <v>0.4907407407407407</v>
      </c>
      <c r="AQ37" s="202">
        <f>IFERROR(GETPIVOTDATA("dato",'[1]evolucion mensual nacionali'!$A$4,"indicador","RESTO DEL MUNDO","mes",8,"año",2008),"-")</f>
        <v>264</v>
      </c>
      <c r="AR37" s="203">
        <f t="shared" si="45"/>
        <v>0.3266331658291457</v>
      </c>
      <c r="AS37" s="202">
        <f t="shared" si="51"/>
        <v>2690</v>
      </c>
      <c r="AT37" s="203">
        <f t="shared" si="46"/>
        <v>0.50700280112044815</v>
      </c>
      <c r="AU37" s="204">
        <f>IFERROR(GETPIVOTDATA("dato",'[1]evolucion mensual nacionali'!$A$4,"indicador","TOTAL","mes",8,"año",2008),"-")</f>
        <v>12308</v>
      </c>
      <c r="AV37" s="205">
        <f t="shared" si="47"/>
        <v>0.23487508778970612</v>
      </c>
    </row>
    <row r="38" spans="2:48" ht="15" hidden="1" customHeight="1" outlineLevel="1">
      <c r="B38" s="51" t="s">
        <v>43</v>
      </c>
      <c r="C38" s="202">
        <f>IFERROR(GETPIVOTDATA("dato",'[1]evolucion mensual nacionali'!$A$4,"indicador","España","mes",7,"año",2008),"-")</f>
        <v>14383</v>
      </c>
      <c r="D38" s="203">
        <f t="shared" si="25"/>
        <v>0.13038352719270674</v>
      </c>
      <c r="E38" s="202">
        <f>IFERROR(GETPIVOTDATA("dato",'[1]evolucion mensual nacionali'!$A$4,"indicador","HOLANDA","mes",7,"año",2008),"-")</f>
        <v>29</v>
      </c>
      <c r="F38" s="203">
        <f t="shared" si="26"/>
        <v>-3.3333333333333326E-2</v>
      </c>
      <c r="G38" s="202">
        <f>IFERROR(GETPIVOTDATA("dato",'[1]evolucion mensual nacionali'!$A$4,"indicador","BÉLGICA","mes",7,"año",2008),"-")</f>
        <v>46</v>
      </c>
      <c r="H38" s="203">
        <f t="shared" si="27"/>
        <v>0.35294117647058831</v>
      </c>
      <c r="I38" s="202">
        <f>IFERROR(GETPIVOTDATA("dato",'[1]evolucion mensual nacionali'!$A$4,"indicador","ALEMANIA","mes",7,"año",2008),"-")</f>
        <v>178</v>
      </c>
      <c r="J38" s="203">
        <f t="shared" si="28"/>
        <v>2.2988505747126409E-2</v>
      </c>
      <c r="K38" s="202">
        <f>IFERROR(GETPIVOTDATA("dato",'[1]evolucion mensual nacionali'!$A$4,"indicador","FRANCIA","mes",7,"año",2008),"-")</f>
        <v>232</v>
      </c>
      <c r="L38" s="203">
        <f t="shared" si="29"/>
        <v>0.71851851851851856</v>
      </c>
      <c r="M38" s="202">
        <f>IFERROR(GETPIVOTDATA("dato",'[1]evolucion mensual nacionali'!$A$4,"indicador","REINO UNIDO","mes",7,"año",2008),"-")</f>
        <v>180</v>
      </c>
      <c r="N38" s="203">
        <f t="shared" si="30"/>
        <v>0.20805369127516782</v>
      </c>
      <c r="O38" s="202">
        <f>IFERROR(GETPIVOTDATA("dato",'[1]evolucion mensual nacionali'!$A$4,"indicador","IRLANDA","mes",7,"año",2008),"-")</f>
        <v>22</v>
      </c>
      <c r="P38" s="203">
        <f t="shared" si="31"/>
        <v>-0.40540540540540537</v>
      </c>
      <c r="Q38" s="202">
        <f>IFERROR(GETPIVOTDATA("dato",'[1]evolucion mensual nacionali'!$A$4,"indicador","ITALIA","mes",7,"año",2008),"-")</f>
        <v>230</v>
      </c>
      <c r="R38" s="203">
        <f t="shared" si="32"/>
        <v>0.2432432432432432</v>
      </c>
      <c r="S38" s="202">
        <f t="shared" si="50"/>
        <v>62</v>
      </c>
      <c r="T38" s="203">
        <f t="shared" si="33"/>
        <v>0.29166666666666674</v>
      </c>
      <c r="U38" s="202">
        <f>IFERROR(GETPIVOTDATA("dato",'[1]evolucion mensual nacionali'!$A$4,"indicador","SUECIA","mes",7,"año",2008),"-")</f>
        <v>16</v>
      </c>
      <c r="V38" s="203">
        <f t="shared" si="34"/>
        <v>0.60000000000000009</v>
      </c>
      <c r="W38" s="202">
        <f>IFERROR(GETPIVOTDATA("dato",'[1]evolucion mensual nacionali'!$A$4,"indicador","NORUEGA","mes",7,"año",2008),"-")</f>
        <v>20</v>
      </c>
      <c r="X38" s="203">
        <f t="shared" si="35"/>
        <v>-4.7619047619047672E-2</v>
      </c>
      <c r="Y38" s="202">
        <f>IFERROR(GETPIVOTDATA("dato",'[1]evolucion mensual nacionali'!$A$4,"indicador","DINAMARCA","mes",7,"año",2008),"-")</f>
        <v>7</v>
      </c>
      <c r="Z38" s="203">
        <f t="shared" si="36"/>
        <v>0.39999999999999991</v>
      </c>
      <c r="AA38" s="202">
        <f>IFERROR(GETPIVOTDATA("dato",'[1]evolucion mensual nacionali'!$A$4,"indicador","FINLANDIA","mes",7,"año",2008),"-")</f>
        <v>19</v>
      </c>
      <c r="AB38" s="203">
        <f t="shared" si="37"/>
        <v>0.58333333333333326</v>
      </c>
      <c r="AC38" s="202">
        <f>IFERROR(GETPIVOTDATA("dato",'[1]evolucion mensual nacionali'!$A$4,"indicador","SUIZA","mes",7,"año",2008),"-")</f>
        <v>23</v>
      </c>
      <c r="AD38" s="203">
        <f t="shared" si="38"/>
        <v>0.91666666666666674</v>
      </c>
      <c r="AE38" s="202">
        <f>IFERROR(GETPIVOTDATA("dato",'[1]evolucion mensual nacionali'!$A$4,"indicador","AUSTRIA","mes",7,"año",2008),"-")</f>
        <v>3</v>
      </c>
      <c r="AF38" s="203">
        <f t="shared" si="39"/>
        <v>-0.86956521739130432</v>
      </c>
      <c r="AG38" s="202">
        <f>IFERROR(GETPIVOTDATA("dato",'[1]evolucion mensual nacionali'!$A$4,"indicador","RUSIA","mes",7,"año",2008),"-")</f>
        <v>41</v>
      </c>
      <c r="AH38" s="203">
        <f t="shared" si="40"/>
        <v>4.125</v>
      </c>
      <c r="AI38" s="202">
        <f>IFERROR(GETPIVOTDATA("dato",'[1]evolucion mensual nacionali'!$A$4,"indicador","PAÍSES DEL ESTE","mes",7,"año",2008),"-")</f>
        <v>81</v>
      </c>
      <c r="AJ38" s="203">
        <f t="shared" si="41"/>
        <v>2.5316455696202445E-2</v>
      </c>
      <c r="AK38" s="202">
        <f>IFERROR(GETPIVOTDATA("dato",'[1]evolucion mensual nacionali'!$A$4,"indicador","RESTO DE EUROPA","mes",7,"año",2008),"-")</f>
        <v>136</v>
      </c>
      <c r="AL38" s="203">
        <f t="shared" si="42"/>
        <v>-7.4829931972789088E-2</v>
      </c>
      <c r="AM38" s="202">
        <f>IFERROR(GETPIVOTDATA("dato",'[1]evolucion mensual nacionali'!$A$4,"indicador","USA","mes",7,"año",2008),"-")</f>
        <v>69</v>
      </c>
      <c r="AN38" s="203">
        <f t="shared" si="43"/>
        <v>0.14999999999999991</v>
      </c>
      <c r="AO38" s="202">
        <f>IFERROR(GETPIVOTDATA("dato",'[1]evolucion mensual nacionali'!$A$4,"indicador","RESTO DE AMÉRICA","mes",7,"año",2008),"-")</f>
        <v>402</v>
      </c>
      <c r="AP38" s="203">
        <f t="shared" si="44"/>
        <v>9.2391304347826164E-2</v>
      </c>
      <c r="AQ38" s="202">
        <f>IFERROR(GETPIVOTDATA("dato",'[1]evolucion mensual nacionali'!$A$4,"indicador","RESTO DEL MUNDO","mes",7,"año",2008),"-")</f>
        <v>220</v>
      </c>
      <c r="AR38" s="203">
        <f t="shared" si="45"/>
        <v>0.49659863945578242</v>
      </c>
      <c r="AS38" s="202">
        <f t="shared" si="51"/>
        <v>1954</v>
      </c>
      <c r="AT38" s="203">
        <f t="shared" si="46"/>
        <v>0.1943765281173595</v>
      </c>
      <c r="AU38" s="204">
        <f>IFERROR(GETPIVOTDATA("dato",'[1]evolucion mensual nacionali'!$A$4,"indicador","TOTAL","mes",7,"año",2008),"-")</f>
        <v>16337</v>
      </c>
      <c r="AV38" s="205">
        <f t="shared" si="47"/>
        <v>0.13767409470752079</v>
      </c>
    </row>
    <row r="39" spans="2:48" ht="15" hidden="1" customHeight="1" outlineLevel="1">
      <c r="B39" s="51" t="s">
        <v>44</v>
      </c>
      <c r="C39" s="202">
        <f>IFERROR(GETPIVOTDATA("dato",'[1]evolucion mensual nacionali'!$A$4,"indicador","España","mes",6,"año",2008),"-")</f>
        <v>13617</v>
      </c>
      <c r="D39" s="203">
        <f t="shared" si="25"/>
        <v>0.1415995975855131</v>
      </c>
      <c r="E39" s="202">
        <f>IFERROR(GETPIVOTDATA("dato",'[1]evolucion mensual nacionali'!$A$4,"indicador","HOLANDA","mes",6,"año",2008),"-")</f>
        <v>23</v>
      </c>
      <c r="F39" s="203">
        <f t="shared" si="26"/>
        <v>3.5999999999999996</v>
      </c>
      <c r="G39" s="202">
        <f>IFERROR(GETPIVOTDATA("dato",'[1]evolucion mensual nacionali'!$A$4,"indicador","BÉLGICA","mes",6,"año",2008),"-")</f>
        <v>37</v>
      </c>
      <c r="H39" s="203">
        <f t="shared" si="27"/>
        <v>1.4666666666666668</v>
      </c>
      <c r="I39" s="202">
        <f>IFERROR(GETPIVOTDATA("dato",'[1]evolucion mensual nacionali'!$A$4,"indicador","ALEMANIA","mes",6,"año",2008),"-")</f>
        <v>189</v>
      </c>
      <c r="J39" s="203">
        <f t="shared" si="28"/>
        <v>0.2516556291390728</v>
      </c>
      <c r="K39" s="202">
        <f>IFERROR(GETPIVOTDATA("dato",'[1]evolucion mensual nacionali'!$A$4,"indicador","FRANCIA","mes",6,"año",2008),"-")</f>
        <v>169</v>
      </c>
      <c r="L39" s="203">
        <f t="shared" si="29"/>
        <v>0.65686274509803932</v>
      </c>
      <c r="M39" s="202">
        <f>IFERROR(GETPIVOTDATA("dato",'[1]evolucion mensual nacionali'!$A$4,"indicador","REINO UNIDO","mes",6,"año",2008),"-")</f>
        <v>122</v>
      </c>
      <c r="N39" s="203">
        <f t="shared" si="30"/>
        <v>0.40229885057471271</v>
      </c>
      <c r="O39" s="202">
        <f>IFERROR(GETPIVOTDATA("dato",'[1]evolucion mensual nacionali'!$A$4,"indicador","IRLANDA","mes",6,"año",2008),"-")</f>
        <v>39</v>
      </c>
      <c r="P39" s="203">
        <f t="shared" si="31"/>
        <v>0.18181818181818188</v>
      </c>
      <c r="Q39" s="202">
        <f>IFERROR(GETPIVOTDATA("dato",'[1]evolucion mensual nacionali'!$A$4,"indicador","ITALIA","mes",6,"año",2008),"-")</f>
        <v>163</v>
      </c>
      <c r="R39" s="203">
        <f t="shared" si="32"/>
        <v>0.32520325203252032</v>
      </c>
      <c r="S39" s="202">
        <f t="shared" si="50"/>
        <v>77</v>
      </c>
      <c r="T39" s="203">
        <f t="shared" si="33"/>
        <v>1.1388888888888888</v>
      </c>
      <c r="U39" s="202">
        <f>IFERROR(GETPIVOTDATA("dato",'[1]evolucion mensual nacionali'!$A$4,"indicador","SUECIA","mes",6,"año",2008),"-")</f>
        <v>16</v>
      </c>
      <c r="V39" s="203">
        <f t="shared" si="34"/>
        <v>0.23076923076923084</v>
      </c>
      <c r="W39" s="202">
        <f>IFERROR(GETPIVOTDATA("dato",'[1]evolucion mensual nacionali'!$A$4,"indicador","NORUEGA","mes",6,"año",2008),"-")</f>
        <v>13</v>
      </c>
      <c r="X39" s="203">
        <f t="shared" si="35"/>
        <v>-0.1875</v>
      </c>
      <c r="Y39" s="202">
        <f>IFERROR(GETPIVOTDATA("dato",'[1]evolucion mensual nacionali'!$A$4,"indicador","DINAMARCA","mes",6,"año",2008),"-")</f>
        <v>15</v>
      </c>
      <c r="Z39" s="203">
        <f t="shared" si="36"/>
        <v>2</v>
      </c>
      <c r="AA39" s="202">
        <f>IFERROR(GETPIVOTDATA("dato",'[1]evolucion mensual nacionali'!$A$4,"indicador","FINLANDIA","mes",6,"año",2008),"-")</f>
        <v>33</v>
      </c>
      <c r="AB39" s="203">
        <f t="shared" si="37"/>
        <v>15.5</v>
      </c>
      <c r="AC39" s="202">
        <f>IFERROR(GETPIVOTDATA("dato",'[1]evolucion mensual nacionali'!$A$4,"indicador","SUIZA","mes",6,"año",2008),"-")</f>
        <v>28</v>
      </c>
      <c r="AD39" s="203">
        <f t="shared" si="38"/>
        <v>1.3333333333333335</v>
      </c>
      <c r="AE39" s="202">
        <f>IFERROR(GETPIVOTDATA("dato",'[1]evolucion mensual nacionali'!$A$4,"indicador","AUSTRIA","mes",6,"año",2008),"-")</f>
        <v>15</v>
      </c>
      <c r="AF39" s="203">
        <f t="shared" si="39"/>
        <v>7.1428571428571397E-2</v>
      </c>
      <c r="AG39" s="202">
        <f>IFERROR(GETPIVOTDATA("dato",'[1]evolucion mensual nacionali'!$A$4,"indicador","RUSIA","mes",6,"año",2008),"-")</f>
        <v>16</v>
      </c>
      <c r="AH39" s="203">
        <f t="shared" si="40"/>
        <v>7</v>
      </c>
      <c r="AI39" s="202">
        <f>IFERROR(GETPIVOTDATA("dato",'[1]evolucion mensual nacionali'!$A$4,"indicador","PAÍSES DEL ESTE","mes",6,"año",2008),"-")</f>
        <v>46</v>
      </c>
      <c r="AJ39" s="203">
        <f t="shared" si="41"/>
        <v>-0.29230769230769227</v>
      </c>
      <c r="AK39" s="202">
        <f>IFERROR(GETPIVOTDATA("dato",'[1]evolucion mensual nacionali'!$A$4,"indicador","RESTO DE EUROPA","mes",6,"año",2008),"-")</f>
        <v>125</v>
      </c>
      <c r="AL39" s="203">
        <f t="shared" si="42"/>
        <v>4.1666666666666741E-2</v>
      </c>
      <c r="AM39" s="202">
        <f>IFERROR(GETPIVOTDATA("dato",'[1]evolucion mensual nacionali'!$A$4,"indicador","USA","mes",6,"año",2008),"-")</f>
        <v>97</v>
      </c>
      <c r="AN39" s="203">
        <f t="shared" si="43"/>
        <v>1.5526315789473686</v>
      </c>
      <c r="AO39" s="202">
        <f>IFERROR(GETPIVOTDATA("dato",'[1]evolucion mensual nacionali'!$A$4,"indicador","RESTO DE AMÉRICA","mes",6,"año",2008),"-")</f>
        <v>427</v>
      </c>
      <c r="AP39" s="203">
        <f t="shared" si="44"/>
        <v>0.35555555555555562</v>
      </c>
      <c r="AQ39" s="202">
        <f>IFERROR(GETPIVOTDATA("dato",'[1]evolucion mensual nacionali'!$A$4,"indicador","RESTO DEL MUNDO","mes",6,"año",2008),"-")</f>
        <v>250</v>
      </c>
      <c r="AR39" s="203">
        <f t="shared" si="45"/>
        <v>1</v>
      </c>
      <c r="AS39" s="202">
        <f t="shared" si="51"/>
        <v>1823</v>
      </c>
      <c r="AT39" s="203">
        <f t="shared" si="46"/>
        <v>0.46661303298471446</v>
      </c>
      <c r="AU39" s="204">
        <f>IFERROR(GETPIVOTDATA("dato",'[1]evolucion mensual nacionali'!$A$4,"indicador","TOTAL","mes",6,"año",2008),"-")</f>
        <v>15440</v>
      </c>
      <c r="AV39" s="205">
        <f t="shared" si="47"/>
        <v>0.17227241667299364</v>
      </c>
    </row>
    <row r="40" spans="2:48" ht="15" hidden="1" customHeight="1" outlineLevel="1">
      <c r="B40" s="51" t="s">
        <v>45</v>
      </c>
      <c r="C40" s="202">
        <f>IFERROR(GETPIVOTDATA("dato",'[1]evolucion mensual nacionali'!$A$4,"indicador","España","mes",5,"año",2008),"-")</f>
        <v>15275</v>
      </c>
      <c r="D40" s="203">
        <f t="shared" si="25"/>
        <v>0.18163533689177691</v>
      </c>
      <c r="E40" s="202">
        <f>IFERROR(GETPIVOTDATA("dato",'[1]evolucion mensual nacionali'!$A$4,"indicador","HOLANDA","mes",5,"año",2008),"-")</f>
        <v>53</v>
      </c>
      <c r="F40" s="203">
        <f t="shared" si="26"/>
        <v>2.1176470588235294</v>
      </c>
      <c r="G40" s="202">
        <f>IFERROR(GETPIVOTDATA("dato",'[1]evolucion mensual nacionali'!$A$4,"indicador","BÉLGICA","mes",5,"año",2008),"-")</f>
        <v>39</v>
      </c>
      <c r="H40" s="203">
        <f t="shared" si="27"/>
        <v>0.39285714285714279</v>
      </c>
      <c r="I40" s="202">
        <f>IFERROR(GETPIVOTDATA("dato",'[1]evolucion mensual nacionali'!$A$4,"indicador","ALEMANIA","mes",5,"año",2008),"-")</f>
        <v>249</v>
      </c>
      <c r="J40" s="203">
        <f t="shared" si="28"/>
        <v>0.30366492146596857</v>
      </c>
      <c r="K40" s="202">
        <f>IFERROR(GETPIVOTDATA("dato",'[1]evolucion mensual nacionali'!$A$4,"indicador","FRANCIA","mes",5,"año",2008),"-")</f>
        <v>211</v>
      </c>
      <c r="L40" s="203">
        <f t="shared" si="29"/>
        <v>0.4452054794520548</v>
      </c>
      <c r="M40" s="202">
        <f>IFERROR(GETPIVOTDATA("dato",'[1]evolucion mensual nacionali'!$A$4,"indicador","REINO UNIDO","mes",5,"año",2008),"-")</f>
        <v>192</v>
      </c>
      <c r="N40" s="203">
        <f t="shared" si="30"/>
        <v>0.69911504424778759</v>
      </c>
      <c r="O40" s="202">
        <f>IFERROR(GETPIVOTDATA("dato",'[1]evolucion mensual nacionali'!$A$4,"indicador","IRLANDA","mes",5,"año",2008),"-")</f>
        <v>16</v>
      </c>
      <c r="P40" s="203">
        <f t="shared" si="31"/>
        <v>-0.38461538461538458</v>
      </c>
      <c r="Q40" s="202">
        <f>IFERROR(GETPIVOTDATA("dato",'[1]evolucion mensual nacionali'!$A$4,"indicador","ITALIA","mes",5,"año",2008),"-")</f>
        <v>201</v>
      </c>
      <c r="R40" s="203">
        <f t="shared" si="32"/>
        <v>8.6486486486486491E-2</v>
      </c>
      <c r="S40" s="202">
        <f t="shared" si="50"/>
        <v>85</v>
      </c>
      <c r="T40" s="203">
        <f t="shared" si="33"/>
        <v>0.3492063492063493</v>
      </c>
      <c r="U40" s="202">
        <f>IFERROR(GETPIVOTDATA("dato",'[1]evolucion mensual nacionali'!$A$4,"indicador","SUECIA","mes",5,"año",2008),"-")</f>
        <v>15</v>
      </c>
      <c r="V40" s="203">
        <f t="shared" si="34"/>
        <v>-0.2857142857142857</v>
      </c>
      <c r="W40" s="202">
        <f>IFERROR(GETPIVOTDATA("dato",'[1]evolucion mensual nacionali'!$A$4,"indicador","NORUEGA","mes",5,"año",2008),"-")</f>
        <v>21</v>
      </c>
      <c r="X40" s="203">
        <f t="shared" si="35"/>
        <v>2.5</v>
      </c>
      <c r="Y40" s="202">
        <f>IFERROR(GETPIVOTDATA("dato",'[1]evolucion mensual nacionali'!$A$4,"indicador","DINAMARCA","mes",5,"año",2008),"-")</f>
        <v>23</v>
      </c>
      <c r="Z40" s="203">
        <f t="shared" si="36"/>
        <v>2.8333333333333335</v>
      </c>
      <c r="AA40" s="202">
        <f>IFERROR(GETPIVOTDATA("dato",'[1]evolucion mensual nacionali'!$A$4,"indicador","FINLANDIA","mes",5,"año",2008),"-")</f>
        <v>26</v>
      </c>
      <c r="AB40" s="203">
        <f t="shared" si="37"/>
        <v>-0.1333333333333333</v>
      </c>
      <c r="AC40" s="202">
        <f>IFERROR(GETPIVOTDATA("dato",'[1]evolucion mensual nacionali'!$A$4,"indicador","SUIZA","mes",5,"año",2008),"-")</f>
        <v>44</v>
      </c>
      <c r="AD40" s="203">
        <f t="shared" si="38"/>
        <v>0.51724137931034475</v>
      </c>
      <c r="AE40" s="202">
        <f>IFERROR(GETPIVOTDATA("dato",'[1]evolucion mensual nacionali'!$A$4,"indicador","AUSTRIA","mes",5,"año",2008),"-")</f>
        <v>11</v>
      </c>
      <c r="AF40" s="203">
        <f t="shared" si="39"/>
        <v>-8.333333333333337E-2</v>
      </c>
      <c r="AG40" s="202">
        <f>IFERROR(GETPIVOTDATA("dato",'[1]evolucion mensual nacionali'!$A$4,"indicador","RUSIA","mes",5,"año",2008),"-")</f>
        <v>40</v>
      </c>
      <c r="AH40" s="203">
        <f t="shared" si="40"/>
        <v>0.4814814814814814</v>
      </c>
      <c r="AI40" s="202">
        <f>IFERROR(GETPIVOTDATA("dato",'[1]evolucion mensual nacionali'!$A$4,"indicador","PAÍSES DEL ESTE","mes",5,"año",2008),"-")</f>
        <v>100</v>
      </c>
      <c r="AJ40" s="203">
        <f t="shared" si="41"/>
        <v>0.13636363636363646</v>
      </c>
      <c r="AK40" s="202">
        <f>IFERROR(GETPIVOTDATA("dato",'[1]evolucion mensual nacionali'!$A$4,"indicador","RESTO DE EUROPA","mes",5,"año",2008),"-")</f>
        <v>150</v>
      </c>
      <c r="AL40" s="203">
        <f t="shared" si="42"/>
        <v>-0.14772727272727271</v>
      </c>
      <c r="AM40" s="202">
        <f>IFERROR(GETPIVOTDATA("dato",'[1]evolucion mensual nacionali'!$A$4,"indicador","USA","mes",5,"año",2008),"-")</f>
        <v>62</v>
      </c>
      <c r="AN40" s="203">
        <f t="shared" si="43"/>
        <v>0</v>
      </c>
      <c r="AO40" s="202">
        <f>IFERROR(GETPIVOTDATA("dato",'[1]evolucion mensual nacionali'!$A$4,"indicador","RESTO DE AMÉRICA","mes",5,"año",2008),"-")</f>
        <v>449</v>
      </c>
      <c r="AP40" s="203">
        <f t="shared" si="44"/>
        <v>4.4742729306488371E-3</v>
      </c>
      <c r="AQ40" s="202">
        <f>IFERROR(GETPIVOTDATA("dato",'[1]evolucion mensual nacionali'!$A$4,"indicador","RESTO DEL MUNDO","mes",5,"año",2008),"-")</f>
        <v>260</v>
      </c>
      <c r="AR40" s="203">
        <f t="shared" si="45"/>
        <v>0.37566137566137559</v>
      </c>
      <c r="AS40" s="202">
        <f t="shared" si="51"/>
        <v>2162</v>
      </c>
      <c r="AT40" s="203">
        <f t="shared" si="46"/>
        <v>0.20177876598110056</v>
      </c>
      <c r="AU40" s="204">
        <f>IFERROR(GETPIVOTDATA("dato",'[1]evolucion mensual nacionali'!$A$4,"indicador","TOTAL","mes",5,"año",2008),"-")</f>
        <v>17437</v>
      </c>
      <c r="AV40" s="205">
        <f t="shared" si="47"/>
        <v>0.18409615645796551</v>
      </c>
    </row>
    <row r="41" spans="2:48" ht="15" hidden="1" customHeight="1" outlineLevel="1">
      <c r="B41" s="51" t="s">
        <v>46</v>
      </c>
      <c r="C41" s="202">
        <f>IFERROR(GETPIVOTDATA("dato",'[1]evolucion mensual nacionali'!$A$4,"indicador","España","mes",4,"año",2008),"-")</f>
        <v>15192</v>
      </c>
      <c r="D41" s="203">
        <f t="shared" si="25"/>
        <v>0.17321800911267271</v>
      </c>
      <c r="E41" s="202">
        <f>IFERROR(GETPIVOTDATA("dato",'[1]evolucion mensual nacionali'!$A$4,"indicador","HOLANDA","mes",4,"año",2008),"-")</f>
        <v>52</v>
      </c>
      <c r="F41" s="203">
        <f t="shared" si="26"/>
        <v>-0.34177215189873422</v>
      </c>
      <c r="G41" s="202">
        <f>IFERROR(GETPIVOTDATA("dato",'[1]evolucion mensual nacionali'!$A$4,"indicador","BÉLGICA","mes",4,"año",2008),"-")</f>
        <v>50</v>
      </c>
      <c r="H41" s="203">
        <f t="shared" si="27"/>
        <v>0.21951219512195119</v>
      </c>
      <c r="I41" s="202">
        <f>IFERROR(GETPIVOTDATA("dato",'[1]evolucion mensual nacionali'!$A$4,"indicador","ALEMANIA","mes",4,"año",2008),"-")</f>
        <v>381</v>
      </c>
      <c r="J41" s="203">
        <f t="shared" si="28"/>
        <v>0.5</v>
      </c>
      <c r="K41" s="202">
        <f>IFERROR(GETPIVOTDATA("dato",'[1]evolucion mensual nacionali'!$A$4,"indicador","FRANCIA","mes",4,"año",2008),"-")</f>
        <v>243</v>
      </c>
      <c r="L41" s="203">
        <f t="shared" si="29"/>
        <v>-0.15331010452961669</v>
      </c>
      <c r="M41" s="202">
        <f>IFERROR(GETPIVOTDATA("dato",'[1]evolucion mensual nacionali'!$A$4,"indicador","REINO UNIDO","mes",4,"año",2008),"-")</f>
        <v>256</v>
      </c>
      <c r="N41" s="203">
        <f t="shared" si="30"/>
        <v>-0.42212189616252827</v>
      </c>
      <c r="O41" s="202">
        <f>IFERROR(GETPIVOTDATA("dato",'[1]evolucion mensual nacionali'!$A$4,"indicador","IRLANDA","mes",4,"año",2008),"-")</f>
        <v>24</v>
      </c>
      <c r="P41" s="203">
        <f t="shared" si="31"/>
        <v>-0.625</v>
      </c>
      <c r="Q41" s="202">
        <f>IFERROR(GETPIVOTDATA("dato",'[1]evolucion mensual nacionali'!$A$4,"indicador","ITALIA","mes",4,"año",2008),"-")</f>
        <v>223</v>
      </c>
      <c r="R41" s="203">
        <f t="shared" si="32"/>
        <v>-0.18613138686131392</v>
      </c>
      <c r="S41" s="202">
        <f t="shared" si="50"/>
        <v>112</v>
      </c>
      <c r="T41" s="203">
        <f t="shared" si="33"/>
        <v>9.009009009008917E-3</v>
      </c>
      <c r="U41" s="202">
        <f>IFERROR(GETPIVOTDATA("dato",'[1]evolucion mensual nacionali'!$A$4,"indicador","SUECIA","mes",4,"año",2008),"-")</f>
        <v>34</v>
      </c>
      <c r="V41" s="203">
        <f t="shared" si="34"/>
        <v>3.0303030303030276E-2</v>
      </c>
      <c r="W41" s="202">
        <f>IFERROR(GETPIVOTDATA("dato",'[1]evolucion mensual nacionali'!$A$4,"indicador","NORUEGA","mes",4,"año",2008),"-")</f>
        <v>10</v>
      </c>
      <c r="X41" s="203">
        <f t="shared" si="35"/>
        <v>-0.6875</v>
      </c>
      <c r="Y41" s="202">
        <f>IFERROR(GETPIVOTDATA("dato",'[1]evolucion mensual nacionali'!$A$4,"indicador","DINAMARCA","mes",4,"año",2008),"-")</f>
        <v>28</v>
      </c>
      <c r="Z41" s="203">
        <f t="shared" si="36"/>
        <v>1</v>
      </c>
      <c r="AA41" s="202">
        <f>IFERROR(GETPIVOTDATA("dato",'[1]evolucion mensual nacionali'!$A$4,"indicador","FINLANDIA","mes",4,"año",2008),"-")</f>
        <v>40</v>
      </c>
      <c r="AB41" s="203">
        <f t="shared" si="37"/>
        <v>0.25</v>
      </c>
      <c r="AC41" s="202">
        <f>IFERROR(GETPIVOTDATA("dato",'[1]evolucion mensual nacionali'!$A$4,"indicador","SUIZA","mes",4,"año",2008),"-")</f>
        <v>57</v>
      </c>
      <c r="AD41" s="203">
        <f t="shared" si="38"/>
        <v>1.2799999999999998</v>
      </c>
      <c r="AE41" s="202">
        <f>IFERROR(GETPIVOTDATA("dato",'[1]evolucion mensual nacionali'!$A$4,"indicador","AUSTRIA","mes",4,"año",2008),"-")</f>
        <v>33</v>
      </c>
      <c r="AF41" s="203">
        <f t="shared" si="39"/>
        <v>0.1785714285714286</v>
      </c>
      <c r="AG41" s="202">
        <f>IFERROR(GETPIVOTDATA("dato",'[1]evolucion mensual nacionali'!$A$4,"indicador","RUSIA","mes",4,"año",2008),"-")</f>
        <v>47</v>
      </c>
      <c r="AH41" s="203">
        <f t="shared" si="40"/>
        <v>0.34285714285714275</v>
      </c>
      <c r="AI41" s="202">
        <f>IFERROR(GETPIVOTDATA("dato",'[1]evolucion mensual nacionali'!$A$4,"indicador","PAÍSES DEL ESTE","mes",4,"año",2008),"-")</f>
        <v>59</v>
      </c>
      <c r="AJ41" s="203">
        <f t="shared" si="41"/>
        <v>-0.42156862745098034</v>
      </c>
      <c r="AK41" s="202">
        <f>IFERROR(GETPIVOTDATA("dato",'[1]evolucion mensual nacionali'!$A$4,"indicador","RESTO DE EUROPA","mes",4,"año",2008),"-")</f>
        <v>148</v>
      </c>
      <c r="AL41" s="203">
        <f t="shared" si="42"/>
        <v>-0.12426035502958577</v>
      </c>
      <c r="AM41" s="202">
        <f>IFERROR(GETPIVOTDATA("dato",'[1]evolucion mensual nacionali'!$A$4,"indicador","USA","mes",4,"año",2008),"-")</f>
        <v>75</v>
      </c>
      <c r="AN41" s="203">
        <f t="shared" si="43"/>
        <v>-0.27184466019417475</v>
      </c>
      <c r="AO41" s="202">
        <f>IFERROR(GETPIVOTDATA("dato",'[1]evolucion mensual nacionali'!$A$4,"indicador","RESTO DE AMÉRICA","mes",4,"año",2008),"-")</f>
        <v>437</v>
      </c>
      <c r="AP41" s="203">
        <f t="shared" si="44"/>
        <v>0.21727019498607247</v>
      </c>
      <c r="AQ41" s="202">
        <f>IFERROR(GETPIVOTDATA("dato",'[1]evolucion mensual nacionali'!$A$4,"indicador","RESTO DEL MUNDO","mes",4,"año",2008),"-")</f>
        <v>204</v>
      </c>
      <c r="AR41" s="203">
        <f t="shared" si="45"/>
        <v>0.20710059171597628</v>
      </c>
      <c r="AS41" s="202">
        <f t="shared" si="51"/>
        <v>2401</v>
      </c>
      <c r="AT41" s="203">
        <f t="shared" si="46"/>
        <v>-5.5839559575304731E-2</v>
      </c>
      <c r="AU41" s="204">
        <f>IFERROR(GETPIVOTDATA("dato",'[1]evolucion mensual nacionali'!$A$4,"indicador","TOTAL","mes",4,"año",2008),"-")</f>
        <v>17593</v>
      </c>
      <c r="AV41" s="205">
        <f t="shared" si="47"/>
        <v>0.13561838368190027</v>
      </c>
    </row>
    <row r="42" spans="2:48" ht="15" hidden="1" customHeight="1" outlineLevel="1">
      <c r="B42" s="51" t="s">
        <v>47</v>
      </c>
      <c r="C42" s="202">
        <f>IFERROR(GETPIVOTDATA("dato",'[1]evolucion mensual nacionali'!$A$4,"indicador","España","mes",3,"año",2008),"-")</f>
        <v>13318</v>
      </c>
      <c r="D42" s="203">
        <f t="shared" si="25"/>
        <v>-0.17734264006424116</v>
      </c>
      <c r="E42" s="202">
        <f>IFERROR(GETPIVOTDATA("dato",'[1]evolucion mensual nacionali'!$A$4,"indicador","HOLANDA","mes",3,"año",2008),"-")</f>
        <v>67</v>
      </c>
      <c r="F42" s="203">
        <f t="shared" si="26"/>
        <v>-0.22988505747126442</v>
      </c>
      <c r="G42" s="202">
        <f>IFERROR(GETPIVOTDATA("dato",'[1]evolucion mensual nacionali'!$A$4,"indicador","BÉLGICA","mes",3,"año",2008),"-")</f>
        <v>87</v>
      </c>
      <c r="H42" s="203">
        <f t="shared" si="27"/>
        <v>2.9545454545454546</v>
      </c>
      <c r="I42" s="202">
        <f>IFERROR(GETPIVOTDATA("dato",'[1]evolucion mensual nacionali'!$A$4,"indicador","ALEMANIA","mes",3,"año",2008),"-")</f>
        <v>571</v>
      </c>
      <c r="J42" s="203">
        <f t="shared" si="28"/>
        <v>0.34352941176470586</v>
      </c>
      <c r="K42" s="202">
        <f>IFERROR(GETPIVOTDATA("dato",'[1]evolucion mensual nacionali'!$A$4,"indicador","FRANCIA","mes",3,"año",2008),"-")</f>
        <v>260</v>
      </c>
      <c r="L42" s="203">
        <f t="shared" si="29"/>
        <v>0.15555555555555545</v>
      </c>
      <c r="M42" s="202">
        <f>IFERROR(GETPIVOTDATA("dato",'[1]evolucion mensual nacionali'!$A$4,"indicador","REINO UNIDO","mes",3,"año",2008),"-")</f>
        <v>349</v>
      </c>
      <c r="N42" s="203">
        <f t="shared" si="30"/>
        <v>4.179104477611939E-2</v>
      </c>
      <c r="O42" s="202">
        <f>IFERROR(GETPIVOTDATA("dato",'[1]evolucion mensual nacionali'!$A$4,"indicador","IRLANDA","mes",3,"año",2008),"-")</f>
        <v>54</v>
      </c>
      <c r="P42" s="203">
        <f t="shared" si="31"/>
        <v>-0.30769230769230771</v>
      </c>
      <c r="Q42" s="202">
        <f>IFERROR(GETPIVOTDATA("dato",'[1]evolucion mensual nacionali'!$A$4,"indicador","ITALIA","mes",3,"año",2008),"-")</f>
        <v>286</v>
      </c>
      <c r="R42" s="203">
        <f t="shared" si="32"/>
        <v>8.3333333333333259E-2</v>
      </c>
      <c r="S42" s="202">
        <f t="shared" si="50"/>
        <v>289</v>
      </c>
      <c r="T42" s="203">
        <f t="shared" si="33"/>
        <v>0.40975609756097553</v>
      </c>
      <c r="U42" s="202">
        <f>IFERROR(GETPIVOTDATA("dato",'[1]evolucion mensual nacionali'!$A$4,"indicador","SUECIA","mes",3,"año",2008),"-")</f>
        <v>102</v>
      </c>
      <c r="V42" s="203">
        <f t="shared" si="34"/>
        <v>0.52238805970149249</v>
      </c>
      <c r="W42" s="202">
        <f>IFERROR(GETPIVOTDATA("dato",'[1]evolucion mensual nacionali'!$A$4,"indicador","NORUEGA","mes",3,"año",2008),"-")</f>
        <v>80</v>
      </c>
      <c r="X42" s="203">
        <f t="shared" si="35"/>
        <v>0.33333333333333326</v>
      </c>
      <c r="Y42" s="202">
        <f>IFERROR(GETPIVOTDATA("dato",'[1]evolucion mensual nacionali'!$A$4,"indicador","DINAMARCA","mes",3,"año",2008),"-")</f>
        <v>56</v>
      </c>
      <c r="Z42" s="203">
        <f t="shared" si="36"/>
        <v>0.4358974358974359</v>
      </c>
      <c r="AA42" s="202">
        <f>IFERROR(GETPIVOTDATA("dato",'[1]evolucion mensual nacionali'!$A$4,"indicador","FINLANDIA","mes",3,"año",2008),"-")</f>
        <v>51</v>
      </c>
      <c r="AB42" s="203">
        <f t="shared" si="37"/>
        <v>0.30769230769230771</v>
      </c>
      <c r="AC42" s="202">
        <f>IFERROR(GETPIVOTDATA("dato",'[1]evolucion mensual nacionali'!$A$4,"indicador","SUIZA","mes",3,"año",2008),"-")</f>
        <v>53</v>
      </c>
      <c r="AD42" s="203">
        <f t="shared" si="38"/>
        <v>1.9230769230769162E-2</v>
      </c>
      <c r="AE42" s="202">
        <f>IFERROR(GETPIVOTDATA("dato",'[1]evolucion mensual nacionali'!$A$4,"indicador","AUSTRIA","mes",3,"año",2008),"-")</f>
        <v>42</v>
      </c>
      <c r="AF42" s="203">
        <f t="shared" si="39"/>
        <v>5.0000000000000044E-2</v>
      </c>
      <c r="AG42" s="202">
        <f>IFERROR(GETPIVOTDATA("dato",'[1]evolucion mensual nacionali'!$A$4,"indicador","RUSIA","mes",3,"año",2008),"-")</f>
        <v>28</v>
      </c>
      <c r="AH42" s="203">
        <f t="shared" si="40"/>
        <v>-0.4285714285714286</v>
      </c>
      <c r="AI42" s="202">
        <f>IFERROR(GETPIVOTDATA("dato",'[1]evolucion mensual nacionali'!$A$4,"indicador","PAÍSES DEL ESTE","mes",3,"año",2008),"-")</f>
        <v>115</v>
      </c>
      <c r="AJ42" s="203">
        <f t="shared" si="41"/>
        <v>0.12745098039215685</v>
      </c>
      <c r="AK42" s="202">
        <f>IFERROR(GETPIVOTDATA("dato",'[1]evolucion mensual nacionali'!$A$4,"indicador","RESTO DE EUROPA","mes",3,"año",2008),"-")</f>
        <v>207</v>
      </c>
      <c r="AL42" s="203">
        <f t="shared" si="42"/>
        <v>-7.999999999999996E-2</v>
      </c>
      <c r="AM42" s="202">
        <f>IFERROR(GETPIVOTDATA("dato",'[1]evolucion mensual nacionali'!$A$4,"indicador","USA","mes",3,"año",2008),"-")</f>
        <v>77</v>
      </c>
      <c r="AN42" s="203">
        <f t="shared" si="43"/>
        <v>-0.2142857142857143</v>
      </c>
      <c r="AO42" s="202">
        <f>IFERROR(GETPIVOTDATA("dato",'[1]evolucion mensual nacionali'!$A$4,"indicador","RESTO DE AMÉRICA","mes",3,"año",2008),"-")</f>
        <v>506</v>
      </c>
      <c r="AP42" s="203">
        <f t="shared" si="44"/>
        <v>0.35656836461126007</v>
      </c>
      <c r="AQ42" s="202">
        <f>IFERROR(GETPIVOTDATA("dato",'[1]evolucion mensual nacionali'!$A$4,"indicador","RESTO DEL MUNDO","mes",3,"año",2008),"-")</f>
        <v>242</v>
      </c>
      <c r="AR42" s="203">
        <f t="shared" si="45"/>
        <v>2.1097046413502074E-2</v>
      </c>
      <c r="AS42" s="202">
        <f t="shared" si="51"/>
        <v>3233</v>
      </c>
      <c r="AT42" s="203">
        <f t="shared" si="46"/>
        <v>0.14767483138090176</v>
      </c>
      <c r="AU42" s="204">
        <f>IFERROR(GETPIVOTDATA("dato",'[1]evolucion mensual nacionali'!$A$4,"indicador","TOTAL","mes",3,"año",2008),"-")</f>
        <v>16551</v>
      </c>
      <c r="AV42" s="205">
        <f t="shared" si="47"/>
        <v>-0.12916973587288227</v>
      </c>
    </row>
    <row r="43" spans="2:48" ht="15" hidden="1" customHeight="1" outlineLevel="1">
      <c r="B43" s="51" t="s">
        <v>48</v>
      </c>
      <c r="C43" s="202">
        <f>IFERROR(GETPIVOTDATA("dato",'[1]evolucion mensual nacionali'!$A$4,"indicador","España","mes",2,"año",2008),"-")</f>
        <v>16399</v>
      </c>
      <c r="D43" s="203">
        <f t="shared" si="25"/>
        <v>0.25557001760967757</v>
      </c>
      <c r="E43" s="202">
        <f>IFERROR(GETPIVOTDATA("dato",'[1]evolucion mensual nacionali'!$A$4,"indicador","HOLANDA","mes",2,"año",2008),"-")</f>
        <v>60</v>
      </c>
      <c r="F43" s="203">
        <f t="shared" si="26"/>
        <v>0.36363636363636354</v>
      </c>
      <c r="G43" s="202">
        <f>IFERROR(GETPIVOTDATA("dato",'[1]evolucion mensual nacionali'!$A$4,"indicador","BÉLGICA","mes",2,"año",2008),"-")</f>
        <v>46</v>
      </c>
      <c r="H43" s="203">
        <f t="shared" si="27"/>
        <v>0.27777777777777768</v>
      </c>
      <c r="I43" s="202">
        <f>IFERROR(GETPIVOTDATA("dato",'[1]evolucion mensual nacionali'!$A$4,"indicador","ALEMANIA","mes",2,"año",2008),"-")</f>
        <v>453</v>
      </c>
      <c r="J43" s="203">
        <f t="shared" si="28"/>
        <v>0.30924855491329484</v>
      </c>
      <c r="K43" s="202">
        <f>IFERROR(GETPIVOTDATA("dato",'[1]evolucion mensual nacionali'!$A$4,"indicador","FRANCIA","mes",2,"año",2008),"-")</f>
        <v>280</v>
      </c>
      <c r="L43" s="203">
        <f t="shared" si="29"/>
        <v>0.62790697674418605</v>
      </c>
      <c r="M43" s="202">
        <f>IFERROR(GETPIVOTDATA("dato",'[1]evolucion mensual nacionali'!$A$4,"indicador","REINO UNIDO","mes",2,"año",2008),"-")</f>
        <v>402</v>
      </c>
      <c r="N43" s="203">
        <f t="shared" si="30"/>
        <v>0.25233644859813076</v>
      </c>
      <c r="O43" s="202">
        <f>IFERROR(GETPIVOTDATA("dato",'[1]evolucion mensual nacionali'!$A$4,"indicador","IRLANDA","mes",2,"año",2008),"-")</f>
        <v>39</v>
      </c>
      <c r="P43" s="203">
        <f t="shared" si="31"/>
        <v>-0.40909090909090906</v>
      </c>
      <c r="Q43" s="202">
        <f>IFERROR(GETPIVOTDATA("dato",'[1]evolucion mensual nacionali'!$A$4,"indicador","ITALIA","mes",2,"año",2008),"-")</f>
        <v>295</v>
      </c>
      <c r="R43" s="203">
        <f t="shared" si="32"/>
        <v>0.46039603960396036</v>
      </c>
      <c r="S43" s="202">
        <f t="shared" si="50"/>
        <v>328</v>
      </c>
      <c r="T43" s="203">
        <f t="shared" si="33"/>
        <v>1.4848484848484849</v>
      </c>
      <c r="U43" s="202">
        <f>IFERROR(GETPIVOTDATA("dato",'[1]evolucion mensual nacionali'!$A$4,"indicador","SUECIA","mes",2,"año",2008),"-")</f>
        <v>117</v>
      </c>
      <c r="V43" s="203">
        <f t="shared" si="34"/>
        <v>2.65625</v>
      </c>
      <c r="W43" s="202">
        <f>IFERROR(GETPIVOTDATA("dato",'[1]evolucion mensual nacionali'!$A$4,"indicador","NORUEGA","mes",2,"año",2008),"-")</f>
        <v>61</v>
      </c>
      <c r="X43" s="203">
        <f t="shared" si="35"/>
        <v>1.652173913043478</v>
      </c>
      <c r="Y43" s="202">
        <f>IFERROR(GETPIVOTDATA("dato",'[1]evolucion mensual nacionali'!$A$4,"indicador","DINAMARCA","mes",2,"año",2008),"-")</f>
        <v>98</v>
      </c>
      <c r="Z43" s="203">
        <f t="shared" si="36"/>
        <v>1.0851063829787235</v>
      </c>
      <c r="AA43" s="202">
        <f>IFERROR(GETPIVOTDATA("dato",'[1]evolucion mensual nacionali'!$A$4,"indicador","FINLANDIA","mes",2,"año",2008),"-")</f>
        <v>52</v>
      </c>
      <c r="AB43" s="203">
        <f t="shared" si="37"/>
        <v>0.73333333333333339</v>
      </c>
      <c r="AC43" s="202">
        <f>IFERROR(GETPIVOTDATA("dato",'[1]evolucion mensual nacionali'!$A$4,"indicador","SUIZA","mes",2,"año",2008),"-")</f>
        <v>57</v>
      </c>
      <c r="AD43" s="203">
        <f t="shared" si="38"/>
        <v>0.2127659574468086</v>
      </c>
      <c r="AE43" s="202">
        <f>IFERROR(GETPIVOTDATA("dato",'[1]evolucion mensual nacionali'!$A$4,"indicador","AUSTRIA","mes",2,"año",2008),"-")</f>
        <v>58</v>
      </c>
      <c r="AF43" s="203">
        <f t="shared" si="39"/>
        <v>0.26086956521739135</v>
      </c>
      <c r="AG43" s="202">
        <f>IFERROR(GETPIVOTDATA("dato",'[1]evolucion mensual nacionali'!$A$4,"indicador","RUSIA","mes",2,"año",2008),"-")</f>
        <v>36</v>
      </c>
      <c r="AH43" s="203">
        <f t="shared" si="40"/>
        <v>0.71428571428571419</v>
      </c>
      <c r="AI43" s="202">
        <f>IFERROR(GETPIVOTDATA("dato",'[1]evolucion mensual nacionali'!$A$4,"indicador","PAÍSES DEL ESTE","mes",2,"año",2008),"-")</f>
        <v>40</v>
      </c>
      <c r="AJ43" s="203">
        <f t="shared" si="41"/>
        <v>-0.19999999999999996</v>
      </c>
      <c r="AK43" s="202">
        <f>IFERROR(GETPIVOTDATA("dato",'[1]evolucion mensual nacionali'!$A$4,"indicador","RESTO DE EUROPA","mes",2,"año",2008),"-")</f>
        <v>160</v>
      </c>
      <c r="AL43" s="203">
        <f t="shared" si="42"/>
        <v>0.18518518518518512</v>
      </c>
      <c r="AM43" s="202">
        <f>IFERROR(GETPIVOTDATA("dato",'[1]evolucion mensual nacionali'!$A$4,"indicador","USA","mes",2,"año",2008),"-")</f>
        <v>64</v>
      </c>
      <c r="AN43" s="203">
        <f t="shared" si="43"/>
        <v>-1.538461538461533E-2</v>
      </c>
      <c r="AO43" s="202">
        <f>IFERROR(GETPIVOTDATA("dato",'[1]evolucion mensual nacionali'!$A$4,"indicador","RESTO DE AMÉRICA","mes",2,"año",2008),"-")</f>
        <v>415</v>
      </c>
      <c r="AP43" s="203">
        <f t="shared" si="44"/>
        <v>0.25757575757575757</v>
      </c>
      <c r="AQ43" s="202">
        <f>IFERROR(GETPIVOTDATA("dato",'[1]evolucion mensual nacionali'!$A$4,"indicador","RESTO DEL MUNDO","mes",2,"año",2008),"-")</f>
        <v>223</v>
      </c>
      <c r="AR43" s="203">
        <f t="shared" si="45"/>
        <v>0.5067567567567568</v>
      </c>
      <c r="AS43" s="202">
        <f t="shared" si="51"/>
        <v>2956</v>
      </c>
      <c r="AT43" s="203">
        <f t="shared" si="46"/>
        <v>0.36788523831559461</v>
      </c>
      <c r="AU43" s="204">
        <f>IFERROR(GETPIVOTDATA("dato",'[1]evolucion mensual nacionali'!$A$4,"indicador","TOTAL","mes",2,"año",2008),"-")</f>
        <v>19355</v>
      </c>
      <c r="AV43" s="205">
        <f t="shared" si="47"/>
        <v>0.27151491262646177</v>
      </c>
    </row>
    <row r="44" spans="2:48" ht="15" hidden="1" customHeight="1" outlineLevel="1">
      <c r="B44" s="51" t="s">
        <v>49</v>
      </c>
      <c r="C44" s="202">
        <f>IFERROR(GETPIVOTDATA("dato",'[1]evolucion mensual nacionali'!$A$4,"indicador","España","mes",1,"año",2008),"-")</f>
        <v>14198</v>
      </c>
      <c r="D44" s="203">
        <f t="shared" si="25"/>
        <v>0.19080768263021053</v>
      </c>
      <c r="E44" s="202">
        <f>IFERROR(GETPIVOTDATA("dato",'[1]evolucion mensual nacionali'!$A$4,"indicador","HOLANDA","mes",1,"año",2008),"-")</f>
        <v>49</v>
      </c>
      <c r="F44" s="203">
        <f t="shared" si="26"/>
        <v>-0.22222222222222221</v>
      </c>
      <c r="G44" s="202">
        <f>IFERROR(GETPIVOTDATA("dato",'[1]evolucion mensual nacionali'!$A$4,"indicador","BÉLGICA","mes",1,"año",2008),"-")</f>
        <v>48</v>
      </c>
      <c r="H44" s="203">
        <f t="shared" si="27"/>
        <v>-0.29411764705882348</v>
      </c>
      <c r="I44" s="202">
        <f>IFERROR(GETPIVOTDATA("dato",'[1]evolucion mensual nacionali'!$A$4,"indicador","ALEMANIA","mes",1,"año",2008),"-")</f>
        <v>483</v>
      </c>
      <c r="J44" s="203">
        <f t="shared" si="28"/>
        <v>0.29490616621983912</v>
      </c>
      <c r="K44" s="202">
        <f>IFERROR(GETPIVOTDATA("dato",'[1]evolucion mensual nacionali'!$A$4,"indicador","FRANCIA","mes",1,"año",2008),"-")</f>
        <v>166</v>
      </c>
      <c r="L44" s="203">
        <f t="shared" si="29"/>
        <v>-0.27826086956521734</v>
      </c>
      <c r="M44" s="202">
        <f>IFERROR(GETPIVOTDATA("dato",'[1]evolucion mensual nacionali'!$A$4,"indicador","REINO UNIDO","mes",1,"año",2008),"-")</f>
        <v>348</v>
      </c>
      <c r="N44" s="203">
        <f t="shared" si="30"/>
        <v>3.8805970149253799E-2</v>
      </c>
      <c r="O44" s="202">
        <f>IFERROR(GETPIVOTDATA("dato",'[1]evolucion mensual nacionali'!$A$4,"indicador","IRLANDA","mes",1,"año",2008),"-")</f>
        <v>30</v>
      </c>
      <c r="P44" s="203">
        <f t="shared" si="31"/>
        <v>-0.75409836065573765</v>
      </c>
      <c r="Q44" s="202">
        <f>IFERROR(GETPIVOTDATA("dato",'[1]evolucion mensual nacionali'!$A$4,"indicador","ITALIA","mes",1,"año",2008),"-")</f>
        <v>304</v>
      </c>
      <c r="R44" s="203">
        <f t="shared" si="32"/>
        <v>0.2773109243697478</v>
      </c>
      <c r="S44" s="202">
        <f t="shared" si="50"/>
        <v>187</v>
      </c>
      <c r="T44" s="203">
        <f t="shared" si="33"/>
        <v>0.40601503759398505</v>
      </c>
      <c r="U44" s="202">
        <f>IFERROR(GETPIVOTDATA("dato",'[1]evolucion mensual nacionali'!$A$4,"indicador","SUECIA","mes",1,"año",2008),"-")</f>
        <v>73</v>
      </c>
      <c r="V44" s="203">
        <f t="shared" si="34"/>
        <v>1.2121212121212119</v>
      </c>
      <c r="W44" s="202">
        <f>IFERROR(GETPIVOTDATA("dato",'[1]evolucion mensual nacionali'!$A$4,"indicador","NORUEGA","mes",1,"año",2008),"-")</f>
        <v>48</v>
      </c>
      <c r="X44" s="203">
        <f t="shared" si="35"/>
        <v>0.5</v>
      </c>
      <c r="Y44" s="202">
        <f>IFERROR(GETPIVOTDATA("dato",'[1]evolucion mensual nacionali'!$A$4,"indicador","DINAMARCA","mes",1,"año",2008),"-")</f>
        <v>33</v>
      </c>
      <c r="Z44" s="203">
        <f t="shared" si="36"/>
        <v>-0.17500000000000004</v>
      </c>
      <c r="AA44" s="202">
        <f>IFERROR(GETPIVOTDATA("dato",'[1]evolucion mensual nacionali'!$A$4,"indicador","FINLANDIA","mes",1,"año",2008),"-")</f>
        <v>33</v>
      </c>
      <c r="AB44" s="203">
        <f t="shared" si="37"/>
        <v>0.1785714285714286</v>
      </c>
      <c r="AC44" s="202">
        <f>IFERROR(GETPIVOTDATA("dato",'[1]evolucion mensual nacionali'!$A$4,"indicador","SUIZA","mes",1,"año",2008),"-")</f>
        <v>60</v>
      </c>
      <c r="AD44" s="203">
        <f t="shared" si="38"/>
        <v>0.15384615384615374</v>
      </c>
      <c r="AE44" s="202">
        <f>IFERROR(GETPIVOTDATA("dato",'[1]evolucion mensual nacionali'!$A$4,"indicador","AUSTRIA","mes",1,"año",2008),"-")</f>
        <v>28</v>
      </c>
      <c r="AF44" s="203">
        <f t="shared" si="39"/>
        <v>-0.34883720930232553</v>
      </c>
      <c r="AG44" s="202">
        <f>IFERROR(GETPIVOTDATA("dato",'[1]evolucion mensual nacionali'!$A$4,"indicador","RUSIA","mes",1,"año",2008),"-")</f>
        <v>49</v>
      </c>
      <c r="AH44" s="203">
        <f t="shared" si="40"/>
        <v>1.0416666666666665</v>
      </c>
      <c r="AI44" s="202">
        <f>IFERROR(GETPIVOTDATA("dato",'[1]evolucion mensual nacionali'!$A$4,"indicador","PAÍSES DEL ESTE","mes",1,"año",2008),"-")</f>
        <v>69</v>
      </c>
      <c r="AJ44" s="203">
        <f t="shared" si="41"/>
        <v>-0.34905660377358494</v>
      </c>
      <c r="AK44" s="202">
        <f>IFERROR(GETPIVOTDATA("dato",'[1]evolucion mensual nacionali'!$A$4,"indicador","RESTO DE EUROPA","mes",1,"año",2008),"-")</f>
        <v>184</v>
      </c>
      <c r="AL44" s="203">
        <f t="shared" si="42"/>
        <v>-0.11961722488038273</v>
      </c>
      <c r="AM44" s="202">
        <f>IFERROR(GETPIVOTDATA("dato",'[1]evolucion mensual nacionali'!$A$4,"indicador","USA","mes",1,"año",2008),"-")</f>
        <v>101</v>
      </c>
      <c r="AN44" s="203">
        <f t="shared" si="43"/>
        <v>0.98039215686274517</v>
      </c>
      <c r="AO44" s="202">
        <f>IFERROR(GETPIVOTDATA("dato",'[1]evolucion mensual nacionali'!$A$4,"indicador","RESTO DE AMÉRICA","mes",1,"año",2008),"-")</f>
        <v>449</v>
      </c>
      <c r="AP44" s="203">
        <f t="shared" si="44"/>
        <v>0.36890243902439024</v>
      </c>
      <c r="AQ44" s="202">
        <f>IFERROR(GETPIVOTDATA("dato",'[1]evolucion mensual nacionali'!$A$4,"indicador","RESTO DEL MUNDO","mes",1,"año",2008),"-")</f>
        <v>229</v>
      </c>
      <c r="AR44" s="203">
        <f t="shared" si="45"/>
        <v>9.5693779904306275E-2</v>
      </c>
      <c r="AS44" s="202">
        <f t="shared" si="51"/>
        <v>2784</v>
      </c>
      <c r="AT44" s="203">
        <f t="shared" si="46"/>
        <v>7.7399380804953566E-2</v>
      </c>
      <c r="AU44" s="204">
        <f>IFERROR(GETPIVOTDATA("dato",'[1]evolucion mensual nacionali'!$A$4,"indicador","TOTAL","mes",1,"año",2008),"-")</f>
        <v>16982</v>
      </c>
      <c r="AV44" s="205">
        <f t="shared" si="47"/>
        <v>0.17060729303095057</v>
      </c>
    </row>
    <row r="45" spans="2:48" collapsed="1">
      <c r="B45" s="214">
        <v>2008</v>
      </c>
      <c r="C45" s="215">
        <f>GETPIVOTDATA("dato",'[1]evolucion mensual nacionali'!$A$4,"indicador","España","año",2008)</f>
        <v>167059</v>
      </c>
      <c r="D45" s="216">
        <f t="shared" si="25"/>
        <v>6.979380122950829E-2</v>
      </c>
      <c r="E45" s="215">
        <f>GETPIVOTDATA("dato",'[1]evolucion mensual nacionali'!$A$4,"indicador","HOLANDA","año",2008)</f>
        <v>611</v>
      </c>
      <c r="F45" s="216">
        <f t="shared" si="26"/>
        <v>5.5267702936096619E-2</v>
      </c>
      <c r="G45" s="215">
        <f>GETPIVOTDATA("dato",'[1]evolucion mensual nacionali'!$A$4,"indicador","BÉLGICA","año",2008)</f>
        <v>537</v>
      </c>
      <c r="H45" s="216">
        <f t="shared" si="27"/>
        <v>0.22602739726027399</v>
      </c>
      <c r="I45" s="215">
        <f>GETPIVOTDATA("dato",'[1]evolucion mensual nacionali'!$A$4,"indicador","ALEMANIA","año",2008)</f>
        <v>4269</v>
      </c>
      <c r="J45" s="216">
        <f t="shared" si="28"/>
        <v>0.17248008788794289</v>
      </c>
      <c r="K45" s="215">
        <f>GETPIVOTDATA("dato",'[1]evolucion mensual nacionali'!$A$4,"indicador","FRANCIA","año",2008)</f>
        <v>2931</v>
      </c>
      <c r="L45" s="216">
        <f t="shared" si="29"/>
        <v>0.32205683355886339</v>
      </c>
      <c r="M45" s="215">
        <f>GETPIVOTDATA("dato",'[1]evolucion mensual nacionali'!$A$4,"indicador","REINO UNIDO","año",2008)</f>
        <v>3463</v>
      </c>
      <c r="N45" s="216">
        <f t="shared" si="30"/>
        <v>9.3463845910956689E-2</v>
      </c>
      <c r="O45" s="215">
        <f>GETPIVOTDATA("dato",'[1]evolucion mensual nacionali'!$A$4,"indicador","IRLANDA","año",2008)</f>
        <v>410</v>
      </c>
      <c r="P45" s="216">
        <f t="shared" si="31"/>
        <v>-0.40751445086705207</v>
      </c>
      <c r="Q45" s="215">
        <f>GETPIVOTDATA("dato",'[1]evolucion mensual nacionali'!$A$4,"indicador","ITALIA","año",2008)</f>
        <v>3126</v>
      </c>
      <c r="R45" s="216">
        <f t="shared" si="32"/>
        <v>0.17386406308674429</v>
      </c>
      <c r="S45" s="215">
        <f t="shared" si="50"/>
        <v>2020</v>
      </c>
      <c r="T45" s="216">
        <f t="shared" si="33"/>
        <v>0.23926380368098155</v>
      </c>
      <c r="U45" s="215">
        <f>GETPIVOTDATA("dato",'[1]evolucion mensual nacionali'!$A$4,"indicador","SUECIA","año",2008)</f>
        <v>599</v>
      </c>
      <c r="V45" s="216">
        <f t="shared" si="34"/>
        <v>0.28540772532188852</v>
      </c>
      <c r="W45" s="215">
        <f>GETPIVOTDATA("dato",'[1]evolucion mensual nacionali'!$A$4,"indicador","NORUEGA","año",2008)</f>
        <v>494</v>
      </c>
      <c r="X45" s="216">
        <f t="shared" si="35"/>
        <v>0.21078431372549011</v>
      </c>
      <c r="Y45" s="215">
        <f>GETPIVOTDATA("dato",'[1]evolucion mensual nacionali'!$A$4,"indicador","DINAMARCA","año",2008)</f>
        <v>407</v>
      </c>
      <c r="Z45" s="216">
        <f t="shared" si="36"/>
        <v>9.1152815013404886E-2</v>
      </c>
      <c r="AA45" s="215">
        <f>GETPIVOTDATA("dato",'[1]evolucion mensual nacionali'!$A$4,"indicador","FINLANDIA","año",2008)</f>
        <v>520</v>
      </c>
      <c r="AB45" s="216">
        <f t="shared" si="37"/>
        <v>0.3577023498694516</v>
      </c>
      <c r="AC45" s="215">
        <f>GETPIVOTDATA("dato",'[1]evolucion mensual nacionali'!$A$4,"indicador","SUIZA","año",2008)</f>
        <v>621</v>
      </c>
      <c r="AD45" s="216">
        <f t="shared" si="38"/>
        <v>0.21052631578947367</v>
      </c>
      <c r="AE45" s="215">
        <f>GETPIVOTDATA("dato",'[1]evolucion mensual nacionali'!$A$4,"indicador","AUSTRIA","año",2008)</f>
        <v>319</v>
      </c>
      <c r="AF45" s="216">
        <f t="shared" si="39"/>
        <v>-2.7439024390243927E-2</v>
      </c>
      <c r="AG45" s="215">
        <f>GETPIVOTDATA("dato",'[1]evolucion mensual nacionali'!$A$4,"indicador","RUSIA","año",2008)</f>
        <v>943</v>
      </c>
      <c r="AH45" s="216">
        <f t="shared" si="40"/>
        <v>2.5584905660377357</v>
      </c>
      <c r="AI45" s="215">
        <f>GETPIVOTDATA("dato",'[1]evolucion mensual nacionali'!$A$4,"indicador","PAÍSES DEL ESTE","año",2008)</f>
        <v>954</v>
      </c>
      <c r="AJ45" s="216">
        <f t="shared" si="41"/>
        <v>-6.1946902654867242E-2</v>
      </c>
      <c r="AK45" s="215">
        <f>GETPIVOTDATA("dato",'[1]evolucion mensual nacionali'!$A$4,"indicador","RESTO DE EUROPA","año",2008)</f>
        <v>2298</v>
      </c>
      <c r="AL45" s="216">
        <f t="shared" si="42"/>
        <v>0.22039298990971856</v>
      </c>
      <c r="AM45" s="215">
        <f>GETPIVOTDATA("dato",'[1]evolucion mensual nacionali'!$A$4,"indicador","USA","año",2008)</f>
        <v>953</v>
      </c>
      <c r="AN45" s="216">
        <f t="shared" si="43"/>
        <v>3.699673558215455E-2</v>
      </c>
      <c r="AO45" s="215">
        <f>GETPIVOTDATA("dato",'[1]evolucion mensual nacionali'!$A$4,"indicador","RESTO DE AMÉRICA","año",2008)</f>
        <v>5769</v>
      </c>
      <c r="AP45" s="216">
        <f t="shared" si="44"/>
        <v>0.23374679213002558</v>
      </c>
      <c r="AQ45" s="215">
        <f>GETPIVOTDATA("dato",'[1]evolucion mensual nacionali'!$A$4,"indicador","RESTO DEL MUNDO","año",2008)</f>
        <v>3535</v>
      </c>
      <c r="AR45" s="216">
        <f t="shared" si="45"/>
        <v>0.22871046228710457</v>
      </c>
      <c r="AS45" s="215">
        <f t="shared" si="51"/>
        <v>32759</v>
      </c>
      <c r="AT45" s="216">
        <f t="shared" si="46"/>
        <v>0.1910198145791675</v>
      </c>
      <c r="AU45" s="212">
        <f>GETPIVOTDATA("dato",'[1]evolucion mensual nacionali'!$A$4,"indicador","TOTAL","año",2008)</f>
        <v>199818</v>
      </c>
      <c r="AV45" s="213">
        <f t="shared" si="47"/>
        <v>8.7948166498788449E-2</v>
      </c>
    </row>
    <row r="46" spans="2:48" hidden="1" outlineLevel="1">
      <c r="B46" s="51" t="s">
        <v>38</v>
      </c>
      <c r="C46" s="217">
        <f>IFERROR(GETPIVOTDATA("dato",'[1]evolucion mensual nacionali'!$A$4,"indicador","España","mes",12,"año",2007),"-")</f>
        <v>13670</v>
      </c>
      <c r="D46" s="218">
        <f t="shared" si="25"/>
        <v>-2.1264408963986514E-2</v>
      </c>
      <c r="E46" s="217">
        <f>IFERROR(GETPIVOTDATA("dato",'[1]evolucion mensual nacionali'!$A$4,"indicador","HOLANDA","mes",12,"año",2007),"-")</f>
        <v>107</v>
      </c>
      <c r="F46" s="218">
        <f t="shared" si="26"/>
        <v>0.28915662650602414</v>
      </c>
      <c r="G46" s="217">
        <f>IFERROR(GETPIVOTDATA("dato",'[1]evolucion mensual nacionali'!$A$4,"indicador","BÉLGICA","mes",12,"año",2007),"-")</f>
        <v>69</v>
      </c>
      <c r="H46" s="218">
        <f t="shared" si="27"/>
        <v>0.53333333333333344</v>
      </c>
      <c r="I46" s="217">
        <f>IFERROR(GETPIVOTDATA("dato",'[1]evolucion mensual nacionali'!$A$4,"indicador","ALEMANIA","mes",12,"año",2007),"-")</f>
        <v>522</v>
      </c>
      <c r="J46" s="218">
        <f t="shared" si="28"/>
        <v>0.10359408033826645</v>
      </c>
      <c r="K46" s="217">
        <f>IFERROR(GETPIVOTDATA("dato",'[1]evolucion mensual nacionali'!$A$4,"indicador","FRANCIA","mes",12,"año",2007),"-")</f>
        <v>170</v>
      </c>
      <c r="L46" s="218">
        <f t="shared" si="29"/>
        <v>-0.17475728155339809</v>
      </c>
      <c r="M46" s="217">
        <f>IFERROR(GETPIVOTDATA("dato",'[1]evolucion mensual nacionali'!$A$4,"indicador","REINO UNIDO","mes",12,"año",2007),"-")</f>
        <v>462</v>
      </c>
      <c r="N46" s="218">
        <f t="shared" si="30"/>
        <v>0.193798449612403</v>
      </c>
      <c r="O46" s="217">
        <f>IFERROR(GETPIVOTDATA("dato",'[1]evolucion mensual nacionali'!$A$4,"indicador","IRLANDA","mes",12,"año",2007),"-")</f>
        <v>71</v>
      </c>
      <c r="P46" s="218">
        <f t="shared" si="31"/>
        <v>-0.22826086956521741</v>
      </c>
      <c r="Q46" s="217">
        <f>IFERROR(GETPIVOTDATA("dato",'[1]evolucion mensual nacionali'!$A$4,"indicador","ITALIA","mes",12,"año",2007),"-")</f>
        <v>331</v>
      </c>
      <c r="R46" s="218">
        <f t="shared" si="32"/>
        <v>0.38493723849372374</v>
      </c>
      <c r="S46" s="217">
        <f>U46+W46+Y46+AA46</f>
        <v>195</v>
      </c>
      <c r="T46" s="218">
        <f t="shared" si="33"/>
        <v>0.14035087719298245</v>
      </c>
      <c r="U46" s="217">
        <f>IFERROR(GETPIVOTDATA("dato",'[1]evolucion mensual nacionali'!$A$4,"indicador","SUECIA","mes",12,"año",2007),"-")</f>
        <v>52</v>
      </c>
      <c r="V46" s="218">
        <f t="shared" si="34"/>
        <v>0.30000000000000004</v>
      </c>
      <c r="W46" s="217">
        <f>IFERROR(GETPIVOTDATA("dato",'[1]evolucion mensual nacionali'!$A$4,"indicador","NORUEGA","mes",12,"año",2007),"-")</f>
        <v>43</v>
      </c>
      <c r="X46" s="218">
        <f t="shared" si="35"/>
        <v>0.59259259259259256</v>
      </c>
      <c r="Y46" s="217">
        <f>IFERROR(GETPIVOTDATA("dato",'[1]evolucion mensual nacionali'!$A$4,"indicador","DINAMARCA","mes",12,"año",2007),"-")</f>
        <v>47</v>
      </c>
      <c r="Z46" s="218">
        <f t="shared" si="36"/>
        <v>9.3023255813953432E-2</v>
      </c>
      <c r="AA46" s="217">
        <f>IFERROR(GETPIVOTDATA("dato",'[1]evolucion mensual nacionali'!$A$4,"indicador","FINLANDIA","mes",12,"año",2007),"-")</f>
        <v>53</v>
      </c>
      <c r="AB46" s="218">
        <f t="shared" si="37"/>
        <v>-0.13114754098360659</v>
      </c>
      <c r="AC46" s="217">
        <f>IFERROR(GETPIVOTDATA("dato",'[1]evolucion mensual nacionali'!$A$4,"indicador","SUIZA","mes",12,"año",2007),"-")</f>
        <v>52</v>
      </c>
      <c r="AD46" s="218">
        <f t="shared" si="38"/>
        <v>-3.703703703703709E-2</v>
      </c>
      <c r="AE46" s="217">
        <f>IFERROR(GETPIVOTDATA("dato",'[1]evolucion mensual nacionali'!$A$4,"indicador","AUSTRIA","mes",12,"año",2007),"-")</f>
        <v>23</v>
      </c>
      <c r="AF46" s="218">
        <f t="shared" si="39"/>
        <v>-4.166666666666663E-2</v>
      </c>
      <c r="AG46" s="217">
        <f>IFERROR(GETPIVOTDATA("dato",'[1]evolucion mensual nacionali'!$A$4,"indicador","RUSIA","mes",12,"año",2007),"-")</f>
        <v>38</v>
      </c>
      <c r="AH46" s="218">
        <f t="shared" si="40"/>
        <v>-0.34482758620689657</v>
      </c>
      <c r="AI46" s="217">
        <f>IFERROR(GETPIVOTDATA("dato",'[1]evolucion mensual nacionali'!$A$4,"indicador","PAÍSES DEL ESTE","mes",12,"año",2007),"-")</f>
        <v>72</v>
      </c>
      <c r="AJ46" s="218">
        <f t="shared" si="41"/>
        <v>2.857142857142847E-2</v>
      </c>
      <c r="AK46" s="217">
        <f>IFERROR(GETPIVOTDATA("dato",'[1]evolucion mensual nacionali'!$A$4,"indicador","RESTO DE EUROPA","mes",12,"año",2007),"-")</f>
        <v>172</v>
      </c>
      <c r="AL46" s="218">
        <f t="shared" si="42"/>
        <v>-0.12244897959183676</v>
      </c>
      <c r="AM46" s="217">
        <f>IFERROR(GETPIVOTDATA("dato",'[1]evolucion mensual nacionali'!$A$4,"indicador","USA","mes",12,"año",2007),"-")</f>
        <v>68</v>
      </c>
      <c r="AN46" s="218">
        <f t="shared" si="43"/>
        <v>-0.16049382716049387</v>
      </c>
      <c r="AO46" s="217">
        <f>IFERROR(GETPIVOTDATA("dato",'[1]evolucion mensual nacionali'!$A$4,"indicador","RESTO DE AMÉRICA","mes",12,"año",2007),"-")</f>
        <v>465</v>
      </c>
      <c r="AP46" s="218">
        <f t="shared" si="44"/>
        <v>6.4073226544622441E-2</v>
      </c>
      <c r="AQ46" s="217">
        <f>IFERROR(GETPIVOTDATA("dato",'[1]evolucion mensual nacionali'!$A$4,"indicador","RESTO DEL MUNDO","mes",12,"año",2007),"-")</f>
        <v>407</v>
      </c>
      <c r="AR46" s="218">
        <f t="shared" si="45"/>
        <v>0.65447154471544722</v>
      </c>
      <c r="AS46" s="217">
        <f>AU46-C46</f>
        <v>3224</v>
      </c>
      <c r="AT46" s="218">
        <f t="shared" si="46"/>
        <v>0.12648497554157934</v>
      </c>
      <c r="AU46" s="204">
        <f>IFERROR(GETPIVOTDATA("dato",'[1]evolucion mensual nacionali'!$A$4,"indicador","TOTAL","mes",12,"año",2007),"-")</f>
        <v>16894</v>
      </c>
      <c r="AV46" s="205">
        <f t="shared" si="47"/>
        <v>3.8623804147601692E-3</v>
      </c>
    </row>
    <row r="47" spans="2:48" hidden="1" outlineLevel="1">
      <c r="B47" s="51" t="s">
        <v>39</v>
      </c>
      <c r="C47" s="217">
        <f>IFERROR(GETPIVOTDATA("dato",'[1]evolucion mensual nacionali'!$A$4,"indicador","España","mes",11,"año",2007),"-")</f>
        <v>15807</v>
      </c>
      <c r="D47" s="218">
        <f t="shared" si="25"/>
        <v>3.3069734004313345E-2</v>
      </c>
      <c r="E47" s="217">
        <f>IFERROR(GETPIVOTDATA("dato",'[1]evolucion mensual nacionali'!$A$4,"indicador","HOLANDA","mes",11,"año",2007),"-")</f>
        <v>34</v>
      </c>
      <c r="F47" s="218">
        <f t="shared" si="26"/>
        <v>-0.51428571428571423</v>
      </c>
      <c r="G47" s="217">
        <f>IFERROR(GETPIVOTDATA("dato",'[1]evolucion mensual nacionali'!$A$4,"indicador","BÉLGICA","mes",11,"año",2007),"-")</f>
        <v>38</v>
      </c>
      <c r="H47" s="218">
        <f t="shared" si="27"/>
        <v>-0.13636363636363635</v>
      </c>
      <c r="I47" s="217">
        <f>IFERROR(GETPIVOTDATA("dato",'[1]evolucion mensual nacionali'!$A$4,"indicador","ALEMANIA","mes",11,"año",2007),"-")</f>
        <v>505</v>
      </c>
      <c r="J47" s="218">
        <f t="shared" si="28"/>
        <v>0.12222222222222223</v>
      </c>
      <c r="K47" s="217">
        <f>IFERROR(GETPIVOTDATA("dato",'[1]evolucion mensual nacionali'!$A$4,"indicador","FRANCIA","mes",11,"año",2007),"-")</f>
        <v>194</v>
      </c>
      <c r="L47" s="218">
        <f t="shared" si="29"/>
        <v>-8.0568720379146974E-2</v>
      </c>
      <c r="M47" s="217">
        <f>IFERROR(GETPIVOTDATA("dato",'[1]evolucion mensual nacionali'!$A$4,"indicador","REINO UNIDO","mes",11,"año",2007),"-")</f>
        <v>388</v>
      </c>
      <c r="N47" s="218">
        <f t="shared" si="30"/>
        <v>0.2847682119205297</v>
      </c>
      <c r="O47" s="217">
        <f>IFERROR(GETPIVOTDATA("dato",'[1]evolucion mensual nacionali'!$A$4,"indicador","IRLANDA","mes",11,"año",2007),"-")</f>
        <v>43</v>
      </c>
      <c r="P47" s="218">
        <f t="shared" si="31"/>
        <v>3.7777777777777777</v>
      </c>
      <c r="Q47" s="217">
        <f>IFERROR(GETPIVOTDATA("dato",'[1]evolucion mensual nacionali'!$A$4,"indicador","ITALIA","mes",11,"año",2007),"-")</f>
        <v>190</v>
      </c>
      <c r="R47" s="218">
        <f t="shared" si="32"/>
        <v>-0.1517857142857143</v>
      </c>
      <c r="S47" s="217">
        <f t="shared" ref="S47:S58" si="52">U47+W47+Y47+AA47</f>
        <v>320</v>
      </c>
      <c r="T47" s="218">
        <f t="shared" si="33"/>
        <v>0.3223140495867769</v>
      </c>
      <c r="U47" s="217">
        <f>IFERROR(GETPIVOTDATA("dato",'[1]evolucion mensual nacionali'!$A$4,"indicador","SUECIA","mes",11,"año",2007),"-")</f>
        <v>127</v>
      </c>
      <c r="V47" s="218">
        <f t="shared" si="34"/>
        <v>0.18691588785046731</v>
      </c>
      <c r="W47" s="217">
        <f>IFERROR(GETPIVOTDATA("dato",'[1]evolucion mensual nacionali'!$A$4,"indicador","NORUEGA","mes",11,"año",2007),"-")</f>
        <v>77</v>
      </c>
      <c r="X47" s="218">
        <f t="shared" si="35"/>
        <v>0.18461538461538463</v>
      </c>
      <c r="Y47" s="217">
        <f>IFERROR(GETPIVOTDATA("dato",'[1]evolucion mensual nacionali'!$A$4,"indicador","DINAMARCA","mes",11,"año",2007),"-")</f>
        <v>44</v>
      </c>
      <c r="Z47" s="218">
        <f t="shared" si="36"/>
        <v>0.15789473684210531</v>
      </c>
      <c r="AA47" s="217">
        <f>IFERROR(GETPIVOTDATA("dato",'[1]evolucion mensual nacionali'!$A$4,"indicador","FINLANDIA","mes",11,"año",2007),"-")</f>
        <v>72</v>
      </c>
      <c r="AB47" s="218">
        <f t="shared" si="37"/>
        <v>1.25</v>
      </c>
      <c r="AC47" s="217">
        <f>IFERROR(GETPIVOTDATA("dato",'[1]evolucion mensual nacionali'!$A$4,"indicador","SUIZA","mes",11,"año",2007),"-")</f>
        <v>90</v>
      </c>
      <c r="AD47" s="218">
        <f t="shared" si="38"/>
        <v>1.5</v>
      </c>
      <c r="AE47" s="217">
        <f>IFERROR(GETPIVOTDATA("dato",'[1]evolucion mensual nacionali'!$A$4,"indicador","AUSTRIA","mes",11,"año",2007),"-")</f>
        <v>34</v>
      </c>
      <c r="AF47" s="218">
        <f t="shared" si="39"/>
        <v>-0.12820512820512819</v>
      </c>
      <c r="AG47" s="217">
        <f>IFERROR(GETPIVOTDATA("dato",'[1]evolucion mensual nacionali'!$A$4,"indicador","RUSIA","mes",11,"año",2007),"-")</f>
        <v>16</v>
      </c>
      <c r="AH47" s="218">
        <f t="shared" si="40"/>
        <v>-0.40740740740740744</v>
      </c>
      <c r="AI47" s="217">
        <f>IFERROR(GETPIVOTDATA("dato",'[1]evolucion mensual nacionali'!$A$4,"indicador","PAÍSES DEL ESTE","mes",11,"año",2007),"-")</f>
        <v>105</v>
      </c>
      <c r="AJ47" s="218">
        <f t="shared" si="41"/>
        <v>0.84210526315789469</v>
      </c>
      <c r="AK47" s="217">
        <f>IFERROR(GETPIVOTDATA("dato",'[1]evolucion mensual nacionali'!$A$4,"indicador","RESTO DE EUROPA","mes",11,"año",2007),"-")</f>
        <v>173</v>
      </c>
      <c r="AL47" s="218">
        <f t="shared" si="42"/>
        <v>6.1349693251533832E-2</v>
      </c>
      <c r="AM47" s="217">
        <f>IFERROR(GETPIVOTDATA("dato",'[1]evolucion mensual nacionali'!$A$4,"indicador","USA","mes",11,"año",2007),"-")</f>
        <v>93</v>
      </c>
      <c r="AN47" s="218">
        <f t="shared" si="43"/>
        <v>-0.29007633587786263</v>
      </c>
      <c r="AO47" s="217">
        <f>IFERROR(GETPIVOTDATA("dato",'[1]evolucion mensual nacionali'!$A$4,"indicador","RESTO DE AMÉRICA","mes",11,"año",2007),"-")</f>
        <v>553</v>
      </c>
      <c r="AP47" s="218">
        <f t="shared" si="44"/>
        <v>5.7361376673040088E-2</v>
      </c>
      <c r="AQ47" s="217">
        <f>IFERROR(GETPIVOTDATA("dato",'[1]evolucion mensual nacionali'!$A$4,"indicador","RESTO DEL MUNDO","mes",11,"año",2007),"-")</f>
        <v>326</v>
      </c>
      <c r="AR47" s="218">
        <f t="shared" si="45"/>
        <v>0.26356589147286824</v>
      </c>
      <c r="AS47" s="217">
        <f t="shared" ref="AS47:AS58" si="53">AU47-C47</f>
        <v>3102</v>
      </c>
      <c r="AT47" s="218">
        <f t="shared" si="46"/>
        <v>0.11342426417803297</v>
      </c>
      <c r="AU47" s="204">
        <f>IFERROR(GETPIVOTDATA("dato",'[1]evolucion mensual nacionali'!$A$4,"indicador","TOTAL","mes",11,"año",2007),"-")</f>
        <v>18909</v>
      </c>
      <c r="AV47" s="205">
        <f t="shared" si="47"/>
        <v>4.5447006137004475E-2</v>
      </c>
    </row>
    <row r="48" spans="2:48" hidden="1" outlineLevel="1">
      <c r="B48" s="51" t="s">
        <v>40</v>
      </c>
      <c r="C48" s="217">
        <f>IFERROR(GETPIVOTDATA("dato",'[1]evolucion mensual nacionali'!$A$4,"indicador","España","mes",10,"año",2007),"-")</f>
        <v>14736</v>
      </c>
      <c r="D48" s="218">
        <f t="shared" si="25"/>
        <v>7.381767835021491E-2</v>
      </c>
      <c r="E48" s="217">
        <f>IFERROR(GETPIVOTDATA("dato",'[1]evolucion mensual nacionali'!$A$4,"indicador","HOLANDA","mes",10,"año",2007),"-")</f>
        <v>48</v>
      </c>
      <c r="F48" s="218">
        <f t="shared" si="26"/>
        <v>0</v>
      </c>
      <c r="G48" s="217">
        <f>IFERROR(GETPIVOTDATA("dato",'[1]evolucion mensual nacionali'!$A$4,"indicador","BÉLGICA","mes",10,"año",2007),"-")</f>
        <v>37</v>
      </c>
      <c r="H48" s="218">
        <f t="shared" si="27"/>
        <v>0.27586206896551735</v>
      </c>
      <c r="I48" s="217">
        <f>IFERROR(GETPIVOTDATA("dato",'[1]evolucion mensual nacionali'!$A$4,"indicador","ALEMANIA","mes",10,"año",2007),"-")</f>
        <v>341</v>
      </c>
      <c r="J48" s="218">
        <f t="shared" si="28"/>
        <v>0.61611374407582931</v>
      </c>
      <c r="K48" s="217">
        <f>IFERROR(GETPIVOTDATA("dato",'[1]evolucion mensual nacionali'!$A$4,"indicador","FRANCIA","mes",10,"año",2007),"-")</f>
        <v>180</v>
      </c>
      <c r="L48" s="218">
        <f t="shared" si="29"/>
        <v>-4.2553191489361653E-2</v>
      </c>
      <c r="M48" s="217">
        <f>IFERROR(GETPIVOTDATA("dato",'[1]evolucion mensual nacionali'!$A$4,"indicador","REINO UNIDO","mes",10,"año",2007),"-")</f>
        <v>250</v>
      </c>
      <c r="N48" s="218">
        <f t="shared" si="30"/>
        <v>0.20192307692307687</v>
      </c>
      <c r="O48" s="217">
        <f>IFERROR(GETPIVOTDATA("dato",'[1]evolucion mensual nacionali'!$A$4,"indicador","IRLANDA","mes",10,"año",2007),"-")</f>
        <v>63</v>
      </c>
      <c r="P48" s="218">
        <f t="shared" si="31"/>
        <v>2.5</v>
      </c>
      <c r="Q48" s="217">
        <f>IFERROR(GETPIVOTDATA("dato",'[1]evolucion mensual nacionali'!$A$4,"indicador","ITALIA","mes",10,"año",2007),"-")</f>
        <v>201</v>
      </c>
      <c r="R48" s="218">
        <f t="shared" si="32"/>
        <v>0.12290502793296088</v>
      </c>
      <c r="S48" s="217">
        <f t="shared" si="52"/>
        <v>219</v>
      </c>
      <c r="T48" s="218">
        <f t="shared" si="33"/>
        <v>1.5172413793103448</v>
      </c>
      <c r="U48" s="217">
        <f>IFERROR(GETPIVOTDATA("dato",'[1]evolucion mensual nacionali'!$A$4,"indicador","SUECIA","mes",10,"año",2007),"-")</f>
        <v>55</v>
      </c>
      <c r="V48" s="218">
        <f t="shared" si="34"/>
        <v>1.2000000000000002</v>
      </c>
      <c r="W48" s="217">
        <f>IFERROR(GETPIVOTDATA("dato",'[1]evolucion mensual nacionali'!$A$4,"indicador","NORUEGA","mes",10,"año",2007),"-")</f>
        <v>76</v>
      </c>
      <c r="X48" s="218">
        <f t="shared" si="35"/>
        <v>2.6190476190476191</v>
      </c>
      <c r="Y48" s="217">
        <f>IFERROR(GETPIVOTDATA("dato",'[1]evolucion mensual nacionali'!$A$4,"indicador","DINAMARCA","mes",10,"año",2007),"-")</f>
        <v>44</v>
      </c>
      <c r="Z48" s="218">
        <f t="shared" si="36"/>
        <v>2.3846153846153846</v>
      </c>
      <c r="AA48" s="217">
        <f>IFERROR(GETPIVOTDATA("dato",'[1]evolucion mensual nacionali'!$A$4,"indicador","FINLANDIA","mes",10,"año",2007),"-")</f>
        <v>44</v>
      </c>
      <c r="AB48" s="218">
        <f t="shared" si="37"/>
        <v>0.5714285714285714</v>
      </c>
      <c r="AC48" s="217">
        <f>IFERROR(GETPIVOTDATA("dato",'[1]evolucion mensual nacionali'!$A$4,"indicador","SUIZA","mes",10,"año",2007),"-")</f>
        <v>101</v>
      </c>
      <c r="AD48" s="218">
        <f t="shared" si="38"/>
        <v>-6.481481481481477E-2</v>
      </c>
      <c r="AE48" s="217">
        <f>IFERROR(GETPIVOTDATA("dato",'[1]evolucion mensual nacionali'!$A$4,"indicador","AUSTRIA","mes",10,"año",2007),"-")</f>
        <v>25</v>
      </c>
      <c r="AF48" s="218">
        <f t="shared" si="39"/>
        <v>0</v>
      </c>
      <c r="AG48" s="217">
        <f>IFERROR(GETPIVOTDATA("dato",'[1]evolucion mensual nacionali'!$A$4,"indicador","RUSIA","mes",10,"año",2007),"-")</f>
        <v>16</v>
      </c>
      <c r="AH48" s="218">
        <f t="shared" si="40"/>
        <v>0.14285714285714279</v>
      </c>
      <c r="AI48" s="217">
        <f>IFERROR(GETPIVOTDATA("dato",'[1]evolucion mensual nacionali'!$A$4,"indicador","PAÍSES DEL ESTE","mes",10,"año",2007),"-")</f>
        <v>91</v>
      </c>
      <c r="AJ48" s="218">
        <f t="shared" si="41"/>
        <v>1.3333333333333335</v>
      </c>
      <c r="AK48" s="217">
        <f>IFERROR(GETPIVOTDATA("dato",'[1]evolucion mensual nacionali'!$A$4,"indicador","RESTO DE EUROPA","mes",10,"año",2007),"-")</f>
        <v>117</v>
      </c>
      <c r="AL48" s="218">
        <f t="shared" si="42"/>
        <v>-5.6451612903225756E-2</v>
      </c>
      <c r="AM48" s="217">
        <f>IFERROR(GETPIVOTDATA("dato",'[1]evolucion mensual nacionali'!$A$4,"indicador","USA","mes",10,"año",2007),"-")</f>
        <v>123</v>
      </c>
      <c r="AN48" s="218">
        <f t="shared" si="43"/>
        <v>1.9285714285714284</v>
      </c>
      <c r="AO48" s="217">
        <f>IFERROR(GETPIVOTDATA("dato",'[1]evolucion mensual nacionali'!$A$4,"indicador","RESTO DE AMÉRICA","mes",10,"año",2007),"-")</f>
        <v>446</v>
      </c>
      <c r="AP48" s="218">
        <f t="shared" si="44"/>
        <v>-0.11683168316831682</v>
      </c>
      <c r="AQ48" s="217">
        <f>IFERROR(GETPIVOTDATA("dato",'[1]evolucion mensual nacionali'!$A$4,"indicador","RESTO DEL MUNDO","mes",10,"año",2007),"-")</f>
        <v>352</v>
      </c>
      <c r="AR48" s="218">
        <f t="shared" si="45"/>
        <v>0.92349726775956276</v>
      </c>
      <c r="AS48" s="217">
        <f t="shared" si="53"/>
        <v>2610</v>
      </c>
      <c r="AT48" s="218">
        <f t="shared" si="46"/>
        <v>0.29980079681274896</v>
      </c>
      <c r="AU48" s="204">
        <f>IFERROR(GETPIVOTDATA("dato",'[1]evolucion mensual nacionali'!$A$4,"indicador","TOTAL","mes",10,"año",2007),"-")</f>
        <v>17346</v>
      </c>
      <c r="AV48" s="205">
        <f t="shared" si="47"/>
        <v>0.10266353060835298</v>
      </c>
    </row>
    <row r="49" spans="2:48" hidden="1" outlineLevel="1">
      <c r="B49" s="51" t="s">
        <v>41</v>
      </c>
      <c r="C49" s="217">
        <f>IFERROR(GETPIVOTDATA("dato",'[1]evolucion mensual nacionali'!$A$4,"indicador","España","mes",9,"año",2007),"-")</f>
        <v>12064</v>
      </c>
      <c r="D49" s="218">
        <f t="shared" si="25"/>
        <v>-2.9991155423333637E-2</v>
      </c>
      <c r="E49" s="217">
        <f>IFERROR(GETPIVOTDATA("dato",'[1]evolucion mensual nacionali'!$A$4,"indicador","HOLANDA","mes",9,"año",2007),"-")</f>
        <v>43</v>
      </c>
      <c r="F49" s="218">
        <f t="shared" si="26"/>
        <v>-0.34848484848484851</v>
      </c>
      <c r="G49" s="217">
        <f>IFERROR(GETPIVOTDATA("dato",'[1]evolucion mensual nacionali'!$A$4,"indicador","BÉLGICA","mes",9,"año",2007),"-")</f>
        <v>43</v>
      </c>
      <c r="H49" s="218">
        <f t="shared" si="27"/>
        <v>0.10256410256410264</v>
      </c>
      <c r="I49" s="217">
        <f>IFERROR(GETPIVOTDATA("dato",'[1]evolucion mensual nacionali'!$A$4,"indicador","ALEMANIA","mes",9,"año",2007),"-")</f>
        <v>208</v>
      </c>
      <c r="J49" s="218">
        <f t="shared" si="28"/>
        <v>-0.11111111111111116</v>
      </c>
      <c r="K49" s="217">
        <f>IFERROR(GETPIVOTDATA("dato",'[1]evolucion mensual nacionali'!$A$4,"indicador","FRANCIA","mes",9,"año",2007),"-")</f>
        <v>139</v>
      </c>
      <c r="L49" s="218">
        <f t="shared" si="29"/>
        <v>0.12096774193548376</v>
      </c>
      <c r="M49" s="217">
        <f>IFERROR(GETPIVOTDATA("dato",'[1]evolucion mensual nacionali'!$A$4,"indicador","REINO UNIDO","mes",9,"año",2007),"-")</f>
        <v>186</v>
      </c>
      <c r="N49" s="218">
        <f t="shared" si="30"/>
        <v>-1.5873015873015928E-2</v>
      </c>
      <c r="O49" s="217">
        <f>IFERROR(GETPIVOTDATA("dato",'[1]evolucion mensual nacionali'!$A$4,"indicador","IRLANDA","mes",9,"año",2007),"-")</f>
        <v>46</v>
      </c>
      <c r="P49" s="218">
        <f t="shared" si="31"/>
        <v>2.8333333333333335</v>
      </c>
      <c r="Q49" s="217">
        <f>IFERROR(GETPIVOTDATA("dato",'[1]evolucion mensual nacionali'!$A$4,"indicador","ITALIA","mes",9,"año",2007),"-")</f>
        <v>201</v>
      </c>
      <c r="R49" s="218">
        <f t="shared" si="32"/>
        <v>-0.1026785714285714</v>
      </c>
      <c r="S49" s="217">
        <f t="shared" si="52"/>
        <v>68</v>
      </c>
      <c r="T49" s="218">
        <f t="shared" si="33"/>
        <v>-2.8571428571428581E-2</v>
      </c>
      <c r="U49" s="217">
        <f>IFERROR(GETPIVOTDATA("dato",'[1]evolucion mensual nacionali'!$A$4,"indicador","SUECIA","mes",9,"año",2007),"-")</f>
        <v>18</v>
      </c>
      <c r="V49" s="218">
        <f t="shared" si="34"/>
        <v>-0.25</v>
      </c>
      <c r="W49" s="217">
        <f>IFERROR(GETPIVOTDATA("dato",'[1]evolucion mensual nacionali'!$A$4,"indicador","NORUEGA","mes",9,"año",2007),"-")</f>
        <v>14</v>
      </c>
      <c r="X49" s="218">
        <f t="shared" si="35"/>
        <v>0</v>
      </c>
      <c r="Y49" s="217">
        <f>IFERROR(GETPIVOTDATA("dato",'[1]evolucion mensual nacionali'!$A$4,"indicador","DINAMARCA","mes",9,"año",2007),"-")</f>
        <v>7</v>
      </c>
      <c r="Z49" s="218">
        <f t="shared" si="36"/>
        <v>-0.53333333333333333</v>
      </c>
      <c r="AA49" s="217">
        <f>IFERROR(GETPIVOTDATA("dato",'[1]evolucion mensual nacionali'!$A$4,"indicador","FINLANDIA","mes",9,"año",2007),"-")</f>
        <v>29</v>
      </c>
      <c r="AB49" s="218">
        <f t="shared" si="37"/>
        <v>0.70588235294117641</v>
      </c>
      <c r="AC49" s="217">
        <f>IFERROR(GETPIVOTDATA("dato",'[1]evolucion mensual nacionali'!$A$4,"indicador","SUIZA","mes",9,"año",2007),"-")</f>
        <v>25</v>
      </c>
      <c r="AD49" s="218">
        <f t="shared" si="38"/>
        <v>-0.44444444444444442</v>
      </c>
      <c r="AE49" s="217">
        <f>IFERROR(GETPIVOTDATA("dato",'[1]evolucion mensual nacionali'!$A$4,"indicador","AUSTRIA","mes",9,"año",2007),"-")</f>
        <v>20</v>
      </c>
      <c r="AF49" s="218">
        <f t="shared" si="39"/>
        <v>-0.31034482758620685</v>
      </c>
      <c r="AG49" s="217">
        <f>IFERROR(GETPIVOTDATA("dato",'[1]evolucion mensual nacionali'!$A$4,"indicador","RUSIA","mes",9,"año",2007),"-")</f>
        <v>11</v>
      </c>
      <c r="AH49" s="218">
        <f t="shared" si="40"/>
        <v>0.83333333333333326</v>
      </c>
      <c r="AI49" s="217">
        <f>IFERROR(GETPIVOTDATA("dato",'[1]evolucion mensual nacionali'!$A$4,"indicador","PAÍSES DEL ESTE","mes",9,"año",2007),"-")</f>
        <v>95</v>
      </c>
      <c r="AJ49" s="218">
        <f t="shared" si="41"/>
        <v>1.5</v>
      </c>
      <c r="AK49" s="217">
        <f>IFERROR(GETPIVOTDATA("dato",'[1]evolucion mensual nacionali'!$A$4,"indicador","RESTO DE EUROPA","mes",9,"año",2007),"-")</f>
        <v>95</v>
      </c>
      <c r="AL49" s="218">
        <f t="shared" si="42"/>
        <v>0.17283950617283961</v>
      </c>
      <c r="AM49" s="217">
        <f>IFERROR(GETPIVOTDATA("dato",'[1]evolucion mensual nacionali'!$A$4,"indicador","USA","mes",9,"año",2007),"-")</f>
        <v>84</v>
      </c>
      <c r="AN49" s="218">
        <f t="shared" si="43"/>
        <v>0.5</v>
      </c>
      <c r="AO49" s="217">
        <f>IFERROR(GETPIVOTDATA("dato",'[1]evolucion mensual nacionali'!$A$4,"indicador","RESTO DE AMÉRICA","mes",9,"año",2007),"-")</f>
        <v>368</v>
      </c>
      <c r="AP49" s="218">
        <f t="shared" si="44"/>
        <v>-0.25203252032520329</v>
      </c>
      <c r="AQ49" s="217">
        <f>IFERROR(GETPIVOTDATA("dato",'[1]evolucion mensual nacionali'!$A$4,"indicador","RESTO DEL MUNDO","mes",9,"año",2007),"-")</f>
        <v>369</v>
      </c>
      <c r="AR49" s="218">
        <f t="shared" si="45"/>
        <v>0.4137931034482758</v>
      </c>
      <c r="AS49" s="217">
        <f t="shared" si="53"/>
        <v>2001</v>
      </c>
      <c r="AT49" s="218">
        <f t="shared" si="46"/>
        <v>1.7802644964394654E-2</v>
      </c>
      <c r="AU49" s="204">
        <f>IFERROR(GETPIVOTDATA("dato",'[1]evolucion mensual nacionali'!$A$4,"indicador","TOTAL","mes",9,"año",2007),"-")</f>
        <v>14065</v>
      </c>
      <c r="AV49" s="205">
        <f t="shared" si="47"/>
        <v>-2.3467333194473361E-2</v>
      </c>
    </row>
    <row r="50" spans="2:48" hidden="1" outlineLevel="1">
      <c r="B50" s="51" t="s">
        <v>42</v>
      </c>
      <c r="C50" s="217">
        <f>IFERROR(GETPIVOTDATA("dato",'[1]evolucion mensual nacionali'!$A$4,"indicador","España","mes",8,"año",2007),"-")</f>
        <v>8182</v>
      </c>
      <c r="D50" s="218">
        <f t="shared" si="25"/>
        <v>-0.11860389960142192</v>
      </c>
      <c r="E50" s="217">
        <f>IFERROR(GETPIVOTDATA("dato",'[1]evolucion mensual nacionali'!$A$4,"indicador","HOLANDA","mes",8,"año",2007),"-")</f>
        <v>22</v>
      </c>
      <c r="F50" s="218">
        <f t="shared" si="26"/>
        <v>-0.6271186440677966</v>
      </c>
      <c r="G50" s="217">
        <f>IFERROR(GETPIVOTDATA("dato",'[1]evolucion mensual nacionali'!$A$4,"indicador","BÉLGICA","mes",8,"año",2007),"-")</f>
        <v>7</v>
      </c>
      <c r="H50" s="218">
        <f t="shared" si="27"/>
        <v>-0.76666666666666661</v>
      </c>
      <c r="I50" s="217">
        <f>IFERROR(GETPIVOTDATA("dato",'[1]evolucion mensual nacionali'!$A$4,"indicador","ALEMANIA","mes",8,"año",2007),"-")</f>
        <v>151</v>
      </c>
      <c r="J50" s="218">
        <f t="shared" si="28"/>
        <v>-0.55588235294117649</v>
      </c>
      <c r="K50" s="217">
        <f>IFERROR(GETPIVOTDATA("dato",'[1]evolucion mensual nacionali'!$A$4,"indicador","FRANCIA","mes",8,"año",2007),"-")</f>
        <v>237</v>
      </c>
      <c r="L50" s="218">
        <f t="shared" si="29"/>
        <v>9.7222222222222321E-2</v>
      </c>
      <c r="M50" s="217">
        <f>IFERROR(GETPIVOTDATA("dato",'[1]evolucion mensual nacionali'!$A$4,"indicador","REINO UNIDO","mes",8,"año",2007),"-")</f>
        <v>98</v>
      </c>
      <c r="N50" s="218">
        <f t="shared" si="30"/>
        <v>-0.42011834319526631</v>
      </c>
      <c r="O50" s="217">
        <f>IFERROR(GETPIVOTDATA("dato",'[1]evolucion mensual nacionali'!$A$4,"indicador","IRLANDA","mes",8,"año",2007),"-")</f>
        <v>43</v>
      </c>
      <c r="P50" s="218">
        <f t="shared" si="31"/>
        <v>0.86956521739130443</v>
      </c>
      <c r="Q50" s="217">
        <f>IFERROR(GETPIVOTDATA("dato",'[1]evolucion mensual nacionali'!$A$4,"indicador","ITALIA","mes",8,"año",2007),"-")</f>
        <v>269</v>
      </c>
      <c r="R50" s="218">
        <f t="shared" si="32"/>
        <v>-0.36255924170616116</v>
      </c>
      <c r="S50" s="217">
        <f t="shared" si="52"/>
        <v>100</v>
      </c>
      <c r="T50" s="218">
        <f t="shared" si="33"/>
        <v>1.0408163265306123</v>
      </c>
      <c r="U50" s="217">
        <f>IFERROR(GETPIVOTDATA("dato",'[1]evolucion mensual nacionali'!$A$4,"indicador","SUECIA","mes",8,"año",2007),"-")</f>
        <v>5</v>
      </c>
      <c r="V50" s="218">
        <f t="shared" si="34"/>
        <v>-0.2857142857142857</v>
      </c>
      <c r="W50" s="217">
        <f>IFERROR(GETPIVOTDATA("dato",'[1]evolucion mensual nacionali'!$A$4,"indicador","NORUEGA","mes",8,"año",2007),"-")</f>
        <v>8</v>
      </c>
      <c r="X50" s="218">
        <f t="shared" si="35"/>
        <v>-0.6</v>
      </c>
      <c r="Y50" s="217">
        <f>IFERROR(GETPIVOTDATA("dato",'[1]evolucion mensual nacionali'!$A$4,"indicador","DINAMARCA","mes",8,"año",2007),"-")</f>
        <v>75</v>
      </c>
      <c r="Z50" s="218">
        <f t="shared" si="36"/>
        <v>7.3333333333333339</v>
      </c>
      <c r="AA50" s="217">
        <f>IFERROR(GETPIVOTDATA("dato",'[1]evolucion mensual nacionali'!$A$4,"indicador","FINLANDIA","mes",8,"año",2007),"-")</f>
        <v>12</v>
      </c>
      <c r="AB50" s="218">
        <f t="shared" si="37"/>
        <v>-7.6923076923076872E-2</v>
      </c>
      <c r="AC50" s="217">
        <f>IFERROR(GETPIVOTDATA("dato",'[1]evolucion mensual nacionali'!$A$4,"indicador","SUIZA","mes",8,"año",2007),"-")</f>
        <v>16</v>
      </c>
      <c r="AD50" s="218">
        <f t="shared" si="38"/>
        <v>-0.27272727272727271</v>
      </c>
      <c r="AE50" s="217">
        <f>IFERROR(GETPIVOTDATA("dato",'[1]evolucion mensual nacionali'!$A$4,"indicador","AUSTRIA","mes",8,"año",2007),"-")</f>
        <v>20</v>
      </c>
      <c r="AF50" s="218">
        <f t="shared" si="39"/>
        <v>0.66666666666666674</v>
      </c>
      <c r="AG50" s="217">
        <f>IFERROR(GETPIVOTDATA("dato",'[1]evolucion mensual nacionali'!$A$4,"indicador","RUSIA","mes",8,"año",2007),"-")</f>
        <v>18</v>
      </c>
      <c r="AH50" s="218">
        <f t="shared" si="40"/>
        <v>1</v>
      </c>
      <c r="AI50" s="217">
        <f>IFERROR(GETPIVOTDATA("dato",'[1]evolucion mensual nacionali'!$A$4,"indicador","PAÍSES DEL ESTE","mes",8,"año",2007),"-")</f>
        <v>62</v>
      </c>
      <c r="AJ50" s="218">
        <f t="shared" si="41"/>
        <v>0.21568627450980382</v>
      </c>
      <c r="AK50" s="217">
        <f>IFERROR(GETPIVOTDATA("dato",'[1]evolucion mensual nacionali'!$A$4,"indicador","RESTO DE EUROPA","mes",8,"año",2007),"-")</f>
        <v>145</v>
      </c>
      <c r="AL50" s="218">
        <f t="shared" si="42"/>
        <v>1.377049180327869</v>
      </c>
      <c r="AM50" s="217">
        <f>IFERROR(GETPIVOTDATA("dato",'[1]evolucion mensual nacionali'!$A$4,"indicador","USA","mes",8,"año",2007),"-")</f>
        <v>74</v>
      </c>
      <c r="AN50" s="218">
        <f t="shared" si="43"/>
        <v>0.76190476190476186</v>
      </c>
      <c r="AO50" s="217">
        <f>IFERROR(GETPIVOTDATA("dato",'[1]evolucion mensual nacionali'!$A$4,"indicador","RESTO DE AMÉRICA","mes",8,"año",2007),"-")</f>
        <v>324</v>
      </c>
      <c r="AP50" s="218">
        <f t="shared" si="44"/>
        <v>-2.7027027027026973E-2</v>
      </c>
      <c r="AQ50" s="217">
        <f>IFERROR(GETPIVOTDATA("dato",'[1]evolucion mensual nacionali'!$A$4,"indicador","RESTO DEL MUNDO","mes",8,"año",2007),"-")</f>
        <v>199</v>
      </c>
      <c r="AR50" s="218">
        <f t="shared" si="45"/>
        <v>0.80909090909090908</v>
      </c>
      <c r="AS50" s="217">
        <f t="shared" si="53"/>
        <v>1785</v>
      </c>
      <c r="AT50" s="218">
        <f t="shared" si="46"/>
        <v>-8.3675564681724879E-2</v>
      </c>
      <c r="AU50" s="204">
        <f>IFERROR(GETPIVOTDATA("dato",'[1]evolucion mensual nacionali'!$A$4,"indicador","TOTAL","mes",8,"año",2007),"-")</f>
        <v>9967</v>
      </c>
      <c r="AV50" s="205">
        <f t="shared" si="47"/>
        <v>-0.1125456326239872</v>
      </c>
    </row>
    <row r="51" spans="2:48" hidden="1" outlineLevel="1">
      <c r="B51" s="51" t="s">
        <v>43</v>
      </c>
      <c r="C51" s="217">
        <f>IFERROR(GETPIVOTDATA("dato",'[1]evolucion mensual nacionali'!$A$4,"indicador","España","mes",7,"año",2007),"-")</f>
        <v>12724</v>
      </c>
      <c r="D51" s="218">
        <f t="shared" si="25"/>
        <v>-1.4025571483920918E-2</v>
      </c>
      <c r="E51" s="217">
        <f>IFERROR(GETPIVOTDATA("dato",'[1]evolucion mensual nacionali'!$A$4,"indicador","HOLANDA","mes",7,"año",2007),"-")</f>
        <v>30</v>
      </c>
      <c r="F51" s="218">
        <f t="shared" si="26"/>
        <v>-0.5714285714285714</v>
      </c>
      <c r="G51" s="217">
        <f>IFERROR(GETPIVOTDATA("dato",'[1]evolucion mensual nacionali'!$A$4,"indicador","BÉLGICA","mes",7,"año",2007),"-")</f>
        <v>34</v>
      </c>
      <c r="H51" s="218">
        <f t="shared" si="27"/>
        <v>-0.37037037037037035</v>
      </c>
      <c r="I51" s="217">
        <f>IFERROR(GETPIVOTDATA("dato",'[1]evolucion mensual nacionali'!$A$4,"indicador","ALEMANIA","mes",7,"año",2007),"-")</f>
        <v>174</v>
      </c>
      <c r="J51" s="218">
        <f t="shared" si="28"/>
        <v>0.12987012987012991</v>
      </c>
      <c r="K51" s="217">
        <f>IFERROR(GETPIVOTDATA("dato",'[1]evolucion mensual nacionali'!$A$4,"indicador","FRANCIA","mes",7,"año",2007),"-")</f>
        <v>135</v>
      </c>
      <c r="L51" s="218">
        <f t="shared" si="29"/>
        <v>-0.12903225806451613</v>
      </c>
      <c r="M51" s="217">
        <f>IFERROR(GETPIVOTDATA("dato",'[1]evolucion mensual nacionali'!$A$4,"indicador","REINO UNIDO","mes",7,"año",2007),"-")</f>
        <v>149</v>
      </c>
      <c r="N51" s="218">
        <f t="shared" si="30"/>
        <v>-0.31336405529953915</v>
      </c>
      <c r="O51" s="217">
        <f>IFERROR(GETPIVOTDATA("dato",'[1]evolucion mensual nacionali'!$A$4,"indicador","IRLANDA","mes",7,"año",2007),"-")</f>
        <v>37</v>
      </c>
      <c r="P51" s="218">
        <f t="shared" si="31"/>
        <v>0.15625</v>
      </c>
      <c r="Q51" s="217">
        <f>IFERROR(GETPIVOTDATA("dato",'[1]evolucion mensual nacionali'!$A$4,"indicador","ITALIA","mes",7,"año",2007),"-")</f>
        <v>185</v>
      </c>
      <c r="R51" s="218">
        <f t="shared" si="32"/>
        <v>-0.19213973799126638</v>
      </c>
      <c r="S51" s="217">
        <f t="shared" si="52"/>
        <v>48</v>
      </c>
      <c r="T51" s="218">
        <f t="shared" si="33"/>
        <v>-0.44827586206896552</v>
      </c>
      <c r="U51" s="217">
        <f>IFERROR(GETPIVOTDATA("dato",'[1]evolucion mensual nacionali'!$A$4,"indicador","SUECIA","mes",7,"año",2007),"-")</f>
        <v>10</v>
      </c>
      <c r="V51" s="218">
        <f t="shared" si="34"/>
        <v>-0.70588235294117641</v>
      </c>
      <c r="W51" s="217">
        <f>IFERROR(GETPIVOTDATA("dato",'[1]evolucion mensual nacionali'!$A$4,"indicador","NORUEGA","mes",7,"año",2007),"-")</f>
        <v>21</v>
      </c>
      <c r="X51" s="218">
        <f t="shared" si="35"/>
        <v>-4.5454545454545414E-2</v>
      </c>
      <c r="Y51" s="217">
        <f>IFERROR(GETPIVOTDATA("dato",'[1]evolucion mensual nacionali'!$A$4,"indicador","DINAMARCA","mes",7,"año",2007),"-")</f>
        <v>5</v>
      </c>
      <c r="Z51" s="218">
        <f t="shared" si="36"/>
        <v>-0.75</v>
      </c>
      <c r="AA51" s="217">
        <f>IFERROR(GETPIVOTDATA("dato",'[1]evolucion mensual nacionali'!$A$4,"indicador","FINLANDIA","mes",7,"año",2007),"-")</f>
        <v>12</v>
      </c>
      <c r="AB51" s="218">
        <f t="shared" si="37"/>
        <v>9.0909090909090828E-2</v>
      </c>
      <c r="AC51" s="217">
        <f>IFERROR(GETPIVOTDATA("dato",'[1]evolucion mensual nacionali'!$A$4,"indicador","SUIZA","mes",7,"año",2007),"-")</f>
        <v>12</v>
      </c>
      <c r="AD51" s="218">
        <f t="shared" si="38"/>
        <v>-0.6</v>
      </c>
      <c r="AE51" s="217">
        <f>IFERROR(GETPIVOTDATA("dato",'[1]evolucion mensual nacionali'!$A$4,"indicador","AUSTRIA","mes",7,"año",2007),"-")</f>
        <v>23</v>
      </c>
      <c r="AF51" s="218">
        <f t="shared" si="39"/>
        <v>0.4375</v>
      </c>
      <c r="AG51" s="217">
        <f>IFERROR(GETPIVOTDATA("dato",'[1]evolucion mensual nacionali'!$A$4,"indicador","RUSIA","mes",7,"año",2007),"-")</f>
        <v>8</v>
      </c>
      <c r="AH51" s="218">
        <f t="shared" si="40"/>
        <v>-0.65217391304347827</v>
      </c>
      <c r="AI51" s="217">
        <f>IFERROR(GETPIVOTDATA("dato",'[1]evolucion mensual nacionali'!$A$4,"indicador","PAÍSES DEL ESTE","mes",7,"año",2007),"-")</f>
        <v>79</v>
      </c>
      <c r="AJ51" s="218">
        <f t="shared" si="41"/>
        <v>0.58000000000000007</v>
      </c>
      <c r="AK51" s="217">
        <f>IFERROR(GETPIVOTDATA("dato",'[1]evolucion mensual nacionali'!$A$4,"indicador","RESTO DE EUROPA","mes",7,"año",2007),"-")</f>
        <v>147</v>
      </c>
      <c r="AL51" s="218">
        <f t="shared" si="42"/>
        <v>0.41346153846153855</v>
      </c>
      <c r="AM51" s="217">
        <f>IFERROR(GETPIVOTDATA("dato",'[1]evolucion mensual nacionali'!$A$4,"indicador","USA","mes",7,"año",2007),"-")</f>
        <v>60</v>
      </c>
      <c r="AN51" s="218">
        <f t="shared" si="43"/>
        <v>-0.10447761194029848</v>
      </c>
      <c r="AO51" s="217">
        <f>IFERROR(GETPIVOTDATA("dato",'[1]evolucion mensual nacionali'!$A$4,"indicador","RESTO DE AMÉRICA","mes",7,"año",2007),"-")</f>
        <v>368</v>
      </c>
      <c r="AP51" s="218">
        <f t="shared" si="44"/>
        <v>-0.15011547344110854</v>
      </c>
      <c r="AQ51" s="217">
        <f>IFERROR(GETPIVOTDATA("dato",'[1]evolucion mensual nacionali'!$A$4,"indicador","RESTO DEL MUNDO","mes",7,"año",2007),"-")</f>
        <v>147</v>
      </c>
      <c r="AR51" s="218">
        <f t="shared" si="45"/>
        <v>0.11363636363636354</v>
      </c>
      <c r="AS51" s="217">
        <f t="shared" si="53"/>
        <v>1636</v>
      </c>
      <c r="AT51" s="218">
        <f t="shared" si="46"/>
        <v>-0.11710739341608201</v>
      </c>
      <c r="AU51" s="204">
        <f>IFERROR(GETPIVOTDATA("dato",'[1]evolucion mensual nacionali'!$A$4,"indicador","TOTAL","mes",7,"año",2007),"-")</f>
        <v>14360</v>
      </c>
      <c r="AV51" s="205">
        <f t="shared" si="47"/>
        <v>-2.6968423905678329E-2</v>
      </c>
    </row>
    <row r="52" spans="2:48" hidden="1" outlineLevel="1">
      <c r="B52" s="51" t="s">
        <v>44</v>
      </c>
      <c r="C52" s="217">
        <f>IFERROR(GETPIVOTDATA("dato",'[1]evolucion mensual nacionali'!$A$4,"indicador","España","mes",6,"año",2007),"-")</f>
        <v>11928</v>
      </c>
      <c r="D52" s="218">
        <f t="shared" si="25"/>
        <v>-0.14604810996563578</v>
      </c>
      <c r="E52" s="217">
        <f>IFERROR(GETPIVOTDATA("dato",'[1]evolucion mensual nacionali'!$A$4,"indicador","HOLANDA","mes",6,"año",2007),"-")</f>
        <v>5</v>
      </c>
      <c r="F52" s="218">
        <f t="shared" si="26"/>
        <v>-0.89795918367346939</v>
      </c>
      <c r="G52" s="217">
        <f>IFERROR(GETPIVOTDATA("dato",'[1]evolucion mensual nacionali'!$A$4,"indicador","BÉLGICA","mes",6,"año",2007),"-")</f>
        <v>15</v>
      </c>
      <c r="H52" s="218">
        <f t="shared" si="27"/>
        <v>-0.61538461538461542</v>
      </c>
      <c r="I52" s="217">
        <f>IFERROR(GETPIVOTDATA("dato",'[1]evolucion mensual nacionali'!$A$4,"indicador","ALEMANIA","mes",6,"año",2007),"-")</f>
        <v>151</v>
      </c>
      <c r="J52" s="218">
        <f t="shared" si="28"/>
        <v>-9.5808383233532912E-2</v>
      </c>
      <c r="K52" s="217">
        <f>IFERROR(GETPIVOTDATA("dato",'[1]evolucion mensual nacionali'!$A$4,"indicador","FRANCIA","mes",6,"año",2007),"-")</f>
        <v>102</v>
      </c>
      <c r="L52" s="218">
        <f t="shared" si="29"/>
        <v>-0.25</v>
      </c>
      <c r="M52" s="217">
        <f>IFERROR(GETPIVOTDATA("dato",'[1]evolucion mensual nacionali'!$A$4,"indicador","REINO UNIDO","mes",6,"año",2007),"-")</f>
        <v>87</v>
      </c>
      <c r="N52" s="218">
        <f t="shared" si="30"/>
        <v>-0.5</v>
      </c>
      <c r="O52" s="217">
        <f>IFERROR(GETPIVOTDATA("dato",'[1]evolucion mensual nacionali'!$A$4,"indicador","IRLANDA","mes",6,"año",2007),"-")</f>
        <v>33</v>
      </c>
      <c r="P52" s="218">
        <f t="shared" si="31"/>
        <v>0.10000000000000009</v>
      </c>
      <c r="Q52" s="217">
        <f>IFERROR(GETPIVOTDATA("dato",'[1]evolucion mensual nacionali'!$A$4,"indicador","ITALIA","mes",6,"año",2007),"-")</f>
        <v>123</v>
      </c>
      <c r="R52" s="218">
        <f t="shared" si="32"/>
        <v>-0.22151898734177211</v>
      </c>
      <c r="S52" s="217">
        <f t="shared" si="52"/>
        <v>36</v>
      </c>
      <c r="T52" s="218">
        <f t="shared" si="33"/>
        <v>-0.5955056179775281</v>
      </c>
      <c r="U52" s="217">
        <f>IFERROR(GETPIVOTDATA("dato",'[1]evolucion mensual nacionali'!$A$4,"indicador","SUECIA","mes",6,"año",2007),"-")</f>
        <v>13</v>
      </c>
      <c r="V52" s="218">
        <f t="shared" si="34"/>
        <v>-0.31578947368421051</v>
      </c>
      <c r="W52" s="217">
        <f>IFERROR(GETPIVOTDATA("dato",'[1]evolucion mensual nacionali'!$A$4,"indicador","NORUEGA","mes",6,"año",2007),"-")</f>
        <v>16</v>
      </c>
      <c r="X52" s="218">
        <f t="shared" si="35"/>
        <v>-0.4285714285714286</v>
      </c>
      <c r="Y52" s="217">
        <f>IFERROR(GETPIVOTDATA("dato",'[1]evolucion mensual nacionali'!$A$4,"indicador","DINAMARCA","mes",6,"año",2007),"-")</f>
        <v>5</v>
      </c>
      <c r="Z52" s="218">
        <f t="shared" si="36"/>
        <v>-0.73684210526315796</v>
      </c>
      <c r="AA52" s="217">
        <f>IFERROR(GETPIVOTDATA("dato",'[1]evolucion mensual nacionali'!$A$4,"indicador","FINLANDIA","mes",6,"año",2007),"-")</f>
        <v>2</v>
      </c>
      <c r="AB52" s="218">
        <f t="shared" si="37"/>
        <v>-0.91304347826086962</v>
      </c>
      <c r="AC52" s="217">
        <f>IFERROR(GETPIVOTDATA("dato",'[1]evolucion mensual nacionali'!$A$4,"indicador","SUIZA","mes",6,"año",2007),"-")</f>
        <v>12</v>
      </c>
      <c r="AD52" s="218">
        <f t="shared" si="38"/>
        <v>-0.5</v>
      </c>
      <c r="AE52" s="217">
        <f>IFERROR(GETPIVOTDATA("dato",'[1]evolucion mensual nacionali'!$A$4,"indicador","AUSTRIA","mes",6,"año",2007),"-")</f>
        <v>14</v>
      </c>
      <c r="AF52" s="218">
        <f t="shared" si="39"/>
        <v>-0.125</v>
      </c>
      <c r="AG52" s="217">
        <f>IFERROR(GETPIVOTDATA("dato",'[1]evolucion mensual nacionali'!$A$4,"indicador","RUSIA","mes",6,"año",2007),"-")</f>
        <v>2</v>
      </c>
      <c r="AH52" s="218">
        <f t="shared" si="40"/>
        <v>-0.88235294117647056</v>
      </c>
      <c r="AI52" s="217">
        <f>IFERROR(GETPIVOTDATA("dato",'[1]evolucion mensual nacionali'!$A$4,"indicador","PAÍSES DEL ESTE","mes",6,"año",2007),"-")</f>
        <v>65</v>
      </c>
      <c r="AJ52" s="218">
        <f t="shared" si="41"/>
        <v>0.66666666666666674</v>
      </c>
      <c r="AK52" s="217">
        <f>IFERROR(GETPIVOTDATA("dato",'[1]evolucion mensual nacionali'!$A$4,"indicador","RESTO DE EUROPA","mes",6,"año",2007),"-")</f>
        <v>120</v>
      </c>
      <c r="AL52" s="218">
        <f t="shared" si="42"/>
        <v>0.11111111111111116</v>
      </c>
      <c r="AM52" s="217">
        <f>IFERROR(GETPIVOTDATA("dato",'[1]evolucion mensual nacionali'!$A$4,"indicador","USA","mes",6,"año",2007),"-")</f>
        <v>38</v>
      </c>
      <c r="AN52" s="218">
        <f t="shared" si="43"/>
        <v>-0.53086419753086422</v>
      </c>
      <c r="AO52" s="217">
        <f>IFERROR(GETPIVOTDATA("dato",'[1]evolucion mensual nacionali'!$A$4,"indicador","RESTO DE AMÉRICA","mes",6,"año",2007),"-")</f>
        <v>315</v>
      </c>
      <c r="AP52" s="218">
        <f t="shared" si="44"/>
        <v>-0.31521739130434778</v>
      </c>
      <c r="AQ52" s="217">
        <f>IFERROR(GETPIVOTDATA("dato",'[1]evolucion mensual nacionali'!$A$4,"indicador","RESTO DEL MUNDO","mes",6,"año",2007),"-")</f>
        <v>125</v>
      </c>
      <c r="AR52" s="218">
        <f t="shared" si="45"/>
        <v>-0.34895833333333337</v>
      </c>
      <c r="AS52" s="217">
        <f t="shared" si="53"/>
        <v>1243</v>
      </c>
      <c r="AT52" s="218">
        <f t="shared" si="46"/>
        <v>-0.30129286115795395</v>
      </c>
      <c r="AU52" s="204">
        <f>IFERROR(GETPIVOTDATA("dato",'[1]evolucion mensual nacionali'!$A$4,"indicador","TOTAL","mes",6,"año",2007),"-")</f>
        <v>13171</v>
      </c>
      <c r="AV52" s="205">
        <f t="shared" si="47"/>
        <v>-0.1635867149298279</v>
      </c>
    </row>
    <row r="53" spans="2:48" hidden="1" outlineLevel="1">
      <c r="B53" s="51" t="s">
        <v>45</v>
      </c>
      <c r="C53" s="217">
        <f>IFERROR(GETPIVOTDATA("dato",'[1]evolucion mensual nacionali'!$A$4,"indicador","España","mes",5,"año",2007),"-")</f>
        <v>12927</v>
      </c>
      <c r="D53" s="218">
        <f t="shared" si="25"/>
        <v>-3.7762022194821609E-3</v>
      </c>
      <c r="E53" s="217">
        <f>IFERROR(GETPIVOTDATA("dato",'[1]evolucion mensual nacionali'!$A$4,"indicador","HOLANDA","mes",5,"año",2007),"-")</f>
        <v>17</v>
      </c>
      <c r="F53" s="218">
        <f t="shared" si="26"/>
        <v>-0.82474226804123707</v>
      </c>
      <c r="G53" s="217">
        <f>IFERROR(GETPIVOTDATA("dato",'[1]evolucion mensual nacionali'!$A$4,"indicador","BÉLGICA","mes",5,"año",2007),"-")</f>
        <v>28</v>
      </c>
      <c r="H53" s="218">
        <f t="shared" si="27"/>
        <v>-0.34883720930232553</v>
      </c>
      <c r="I53" s="217">
        <f>IFERROR(GETPIVOTDATA("dato",'[1]evolucion mensual nacionali'!$A$4,"indicador","ALEMANIA","mes",5,"año",2007),"-")</f>
        <v>191</v>
      </c>
      <c r="J53" s="218">
        <f t="shared" si="28"/>
        <v>-6.8292682926829218E-2</v>
      </c>
      <c r="K53" s="217">
        <f>IFERROR(GETPIVOTDATA("dato",'[1]evolucion mensual nacionali'!$A$4,"indicador","FRANCIA","mes",5,"año",2007),"-")</f>
        <v>146</v>
      </c>
      <c r="L53" s="218">
        <f t="shared" si="29"/>
        <v>-0.16091954022988508</v>
      </c>
      <c r="M53" s="217">
        <f>IFERROR(GETPIVOTDATA("dato",'[1]evolucion mensual nacionali'!$A$4,"indicador","REINO UNIDO","mes",5,"año",2007),"-")</f>
        <v>113</v>
      </c>
      <c r="N53" s="218">
        <f t="shared" si="30"/>
        <v>-0.4955357142857143</v>
      </c>
      <c r="O53" s="217">
        <f>IFERROR(GETPIVOTDATA("dato",'[1]evolucion mensual nacionali'!$A$4,"indicador","IRLANDA","mes",5,"año",2007),"-")</f>
        <v>26</v>
      </c>
      <c r="P53" s="218">
        <f t="shared" si="31"/>
        <v>0.18181818181818188</v>
      </c>
      <c r="Q53" s="217">
        <f>IFERROR(GETPIVOTDATA("dato",'[1]evolucion mensual nacionali'!$A$4,"indicador","ITALIA","mes",5,"año",2007),"-")</f>
        <v>185</v>
      </c>
      <c r="R53" s="218">
        <f t="shared" si="32"/>
        <v>0.50406504065040658</v>
      </c>
      <c r="S53" s="217">
        <f t="shared" si="52"/>
        <v>63</v>
      </c>
      <c r="T53" s="218">
        <f t="shared" si="33"/>
        <v>-4.5454545454545414E-2</v>
      </c>
      <c r="U53" s="217">
        <f>IFERROR(GETPIVOTDATA("dato",'[1]evolucion mensual nacionali'!$A$4,"indicador","SUECIA","mes",5,"año",2007),"-")</f>
        <v>21</v>
      </c>
      <c r="V53" s="218">
        <f t="shared" si="34"/>
        <v>-0.27586206896551724</v>
      </c>
      <c r="W53" s="217">
        <f>IFERROR(GETPIVOTDATA("dato",'[1]evolucion mensual nacionali'!$A$4,"indicador","NORUEGA","mes",5,"año",2007),"-")</f>
        <v>6</v>
      </c>
      <c r="X53" s="218">
        <f t="shared" si="35"/>
        <v>0.5</v>
      </c>
      <c r="Y53" s="217">
        <f>IFERROR(GETPIVOTDATA("dato",'[1]evolucion mensual nacionali'!$A$4,"indicador","DINAMARCA","mes",5,"año",2007),"-")</f>
        <v>6</v>
      </c>
      <c r="Z53" s="218">
        <f t="shared" si="36"/>
        <v>-0.25</v>
      </c>
      <c r="AA53" s="217">
        <f>IFERROR(GETPIVOTDATA("dato",'[1]evolucion mensual nacionali'!$A$4,"indicador","FINLANDIA","mes",5,"año",2007),"-")</f>
        <v>30</v>
      </c>
      <c r="AB53" s="218">
        <f t="shared" si="37"/>
        <v>0.19999999999999996</v>
      </c>
      <c r="AC53" s="217">
        <f>IFERROR(GETPIVOTDATA("dato",'[1]evolucion mensual nacionali'!$A$4,"indicador","SUIZA","mes",5,"año",2007),"-")</f>
        <v>29</v>
      </c>
      <c r="AD53" s="218">
        <f t="shared" si="38"/>
        <v>0.93333333333333335</v>
      </c>
      <c r="AE53" s="217">
        <f>IFERROR(GETPIVOTDATA("dato",'[1]evolucion mensual nacionali'!$A$4,"indicador","AUSTRIA","mes",5,"año",2007),"-")</f>
        <v>12</v>
      </c>
      <c r="AF53" s="218">
        <f t="shared" si="39"/>
        <v>-0.29411764705882348</v>
      </c>
      <c r="AG53" s="217">
        <f>IFERROR(GETPIVOTDATA("dato",'[1]evolucion mensual nacionali'!$A$4,"indicador","RUSIA","mes",5,"año",2007),"-")</f>
        <v>27</v>
      </c>
      <c r="AH53" s="218">
        <f t="shared" si="40"/>
        <v>-0.3571428571428571</v>
      </c>
      <c r="AI53" s="217">
        <f>IFERROR(GETPIVOTDATA("dato",'[1]evolucion mensual nacionali'!$A$4,"indicador","PAÍSES DEL ESTE","mes",5,"año",2007),"-")</f>
        <v>88</v>
      </c>
      <c r="AJ53" s="218">
        <f t="shared" si="41"/>
        <v>0.76</v>
      </c>
      <c r="AK53" s="217">
        <f>IFERROR(GETPIVOTDATA("dato",'[1]evolucion mensual nacionali'!$A$4,"indicador","RESTO DE EUROPA","mes",5,"año",2007),"-")</f>
        <v>176</v>
      </c>
      <c r="AL53" s="218">
        <f t="shared" si="42"/>
        <v>0.18120805369127524</v>
      </c>
      <c r="AM53" s="217">
        <f>IFERROR(GETPIVOTDATA("dato",'[1]evolucion mensual nacionali'!$A$4,"indicador","USA","mes",5,"año",2007),"-")</f>
        <v>62</v>
      </c>
      <c r="AN53" s="218">
        <f t="shared" si="43"/>
        <v>-0.24390243902439024</v>
      </c>
      <c r="AO53" s="217">
        <f>IFERROR(GETPIVOTDATA("dato",'[1]evolucion mensual nacionali'!$A$4,"indicador","RESTO DE AMÉRICA","mes",5,"año",2007),"-")</f>
        <v>447</v>
      </c>
      <c r="AP53" s="218">
        <f t="shared" si="44"/>
        <v>0.44660194174757284</v>
      </c>
      <c r="AQ53" s="217">
        <f>IFERROR(GETPIVOTDATA("dato",'[1]evolucion mensual nacionali'!$A$4,"indicador","RESTO DEL MUNDO","mes",5,"año",2007),"-")</f>
        <v>189</v>
      </c>
      <c r="AR53" s="218">
        <f t="shared" si="45"/>
        <v>0.20382165605095537</v>
      </c>
      <c r="AS53" s="217">
        <f t="shared" si="53"/>
        <v>1799</v>
      </c>
      <c r="AT53" s="218">
        <f t="shared" si="46"/>
        <v>1.3521126760563273E-2</v>
      </c>
      <c r="AU53" s="204">
        <f>IFERROR(GETPIVOTDATA("dato",'[1]evolucion mensual nacionali'!$A$4,"indicador","TOTAL","mes",5,"año",2007),"-")</f>
        <v>14726</v>
      </c>
      <c r="AV53" s="205">
        <f t="shared" si="47"/>
        <v>-1.6948003525184552E-3</v>
      </c>
    </row>
    <row r="54" spans="2:48" hidden="1" outlineLevel="1">
      <c r="B54" s="51" t="s">
        <v>46</v>
      </c>
      <c r="C54" s="217">
        <f>IFERROR(GETPIVOTDATA("dato",'[1]evolucion mensual nacionali'!$A$4,"indicador","España","mes",4,"año",2007),"-")</f>
        <v>12949</v>
      </c>
      <c r="D54" s="218">
        <f t="shared" si="25"/>
        <v>0.10363930793488452</v>
      </c>
      <c r="E54" s="217">
        <f>IFERROR(GETPIVOTDATA("dato",'[1]evolucion mensual nacionali'!$A$4,"indicador","HOLANDA","mes",4,"año",2007),"-")</f>
        <v>79</v>
      </c>
      <c r="F54" s="218">
        <f t="shared" si="26"/>
        <v>0.83720930232558133</v>
      </c>
      <c r="G54" s="217">
        <f>IFERROR(GETPIVOTDATA("dato",'[1]evolucion mensual nacionali'!$A$4,"indicador","BÉLGICA","mes",4,"año",2007),"-")</f>
        <v>41</v>
      </c>
      <c r="H54" s="218">
        <f t="shared" si="27"/>
        <v>0.13888888888888884</v>
      </c>
      <c r="I54" s="217">
        <f>IFERROR(GETPIVOTDATA("dato",'[1]evolucion mensual nacionali'!$A$4,"indicador","ALEMANIA","mes",4,"año",2007),"-")</f>
        <v>254</v>
      </c>
      <c r="J54" s="218">
        <f t="shared" si="28"/>
        <v>-0.13310580204778155</v>
      </c>
      <c r="K54" s="217">
        <f>IFERROR(GETPIVOTDATA("dato",'[1]evolucion mensual nacionali'!$A$4,"indicador","FRANCIA","mes",4,"año",2007),"-")</f>
        <v>287</v>
      </c>
      <c r="L54" s="218">
        <f t="shared" si="29"/>
        <v>0.52659574468085113</v>
      </c>
      <c r="M54" s="217">
        <f>IFERROR(GETPIVOTDATA("dato",'[1]evolucion mensual nacionali'!$A$4,"indicador","REINO UNIDO","mes",4,"año",2007),"-")</f>
        <v>443</v>
      </c>
      <c r="N54" s="218">
        <f t="shared" si="30"/>
        <v>0.68441064638783278</v>
      </c>
      <c r="O54" s="217">
        <f>IFERROR(GETPIVOTDATA("dato",'[1]evolucion mensual nacionali'!$A$4,"indicador","IRLANDA","mes",4,"año",2007),"-")</f>
        <v>64</v>
      </c>
      <c r="P54" s="218">
        <f t="shared" si="31"/>
        <v>1.2857142857142856</v>
      </c>
      <c r="Q54" s="217">
        <f>IFERROR(GETPIVOTDATA("dato",'[1]evolucion mensual nacionali'!$A$4,"indicador","ITALIA","mes",4,"año",2007),"-")</f>
        <v>274</v>
      </c>
      <c r="R54" s="218">
        <f t="shared" si="32"/>
        <v>0.814569536423841</v>
      </c>
      <c r="S54" s="217">
        <f t="shared" si="52"/>
        <v>111</v>
      </c>
      <c r="T54" s="218">
        <f t="shared" si="33"/>
        <v>-0.57471264367816088</v>
      </c>
      <c r="U54" s="217">
        <f>IFERROR(GETPIVOTDATA("dato",'[1]evolucion mensual nacionali'!$A$4,"indicador","SUECIA","mes",4,"año",2007),"-")</f>
        <v>33</v>
      </c>
      <c r="V54" s="218">
        <f t="shared" si="34"/>
        <v>-0.82722513089005234</v>
      </c>
      <c r="W54" s="217">
        <f>IFERROR(GETPIVOTDATA("dato",'[1]evolucion mensual nacionali'!$A$4,"indicador","NORUEGA","mes",4,"año",2007),"-")</f>
        <v>32</v>
      </c>
      <c r="X54" s="218">
        <f t="shared" si="35"/>
        <v>1.9090909090909092</v>
      </c>
      <c r="Y54" s="217">
        <f>IFERROR(GETPIVOTDATA("dato",'[1]evolucion mensual nacionali'!$A$4,"indicador","DINAMARCA","mes",4,"año",2007),"-")</f>
        <v>14</v>
      </c>
      <c r="Z54" s="218">
        <f t="shared" si="36"/>
        <v>-6.6666666666666652E-2</v>
      </c>
      <c r="AA54" s="217">
        <f>IFERROR(GETPIVOTDATA("dato",'[1]evolucion mensual nacionali'!$A$4,"indicador","FINLANDIA","mes",4,"año",2007),"-")</f>
        <v>32</v>
      </c>
      <c r="AB54" s="218">
        <f t="shared" si="37"/>
        <v>-0.27272727272727271</v>
      </c>
      <c r="AC54" s="217">
        <f>IFERROR(GETPIVOTDATA("dato",'[1]evolucion mensual nacionali'!$A$4,"indicador","SUIZA","mes",4,"año",2007),"-")</f>
        <v>25</v>
      </c>
      <c r="AD54" s="218">
        <f t="shared" si="38"/>
        <v>-0.5</v>
      </c>
      <c r="AE54" s="217">
        <f>IFERROR(GETPIVOTDATA("dato",'[1]evolucion mensual nacionali'!$A$4,"indicador","AUSTRIA","mes",4,"año",2007),"-")</f>
        <v>28</v>
      </c>
      <c r="AF54" s="218">
        <f t="shared" si="39"/>
        <v>0.16666666666666674</v>
      </c>
      <c r="AG54" s="217">
        <f>IFERROR(GETPIVOTDATA("dato",'[1]evolucion mensual nacionali'!$A$4,"indicador","RUSIA","mes",4,"año",2007),"-")</f>
        <v>35</v>
      </c>
      <c r="AH54" s="218">
        <f t="shared" si="40"/>
        <v>-0.32692307692307687</v>
      </c>
      <c r="AI54" s="217">
        <f>IFERROR(GETPIVOTDATA("dato",'[1]evolucion mensual nacionali'!$A$4,"indicador","PAÍSES DEL ESTE","mes",4,"año",2007),"-")</f>
        <v>102</v>
      </c>
      <c r="AJ54" s="218">
        <f t="shared" si="41"/>
        <v>0.88888888888888884</v>
      </c>
      <c r="AK54" s="217">
        <f>IFERROR(GETPIVOTDATA("dato",'[1]evolucion mensual nacionali'!$A$4,"indicador","RESTO DE EUROPA","mes",4,"año",2007),"-")</f>
        <v>169</v>
      </c>
      <c r="AL54" s="218">
        <f t="shared" si="42"/>
        <v>0</v>
      </c>
      <c r="AM54" s="217">
        <f>IFERROR(GETPIVOTDATA("dato",'[1]evolucion mensual nacionali'!$A$4,"indicador","USA","mes",4,"año",2007),"-")</f>
        <v>103</v>
      </c>
      <c r="AN54" s="218">
        <f t="shared" si="43"/>
        <v>0.609375</v>
      </c>
      <c r="AO54" s="217">
        <f>IFERROR(GETPIVOTDATA("dato",'[1]evolucion mensual nacionali'!$A$4,"indicador","RESTO DE AMÉRICA","mes",4,"año",2007),"-")</f>
        <v>359</v>
      </c>
      <c r="AP54" s="218">
        <f t="shared" si="44"/>
        <v>0.24652777777777768</v>
      </c>
      <c r="AQ54" s="217">
        <f>IFERROR(GETPIVOTDATA("dato",'[1]evolucion mensual nacionali'!$A$4,"indicador","RESTO DEL MUNDO","mes",4,"año",2007),"-")</f>
        <v>169</v>
      </c>
      <c r="AR54" s="218">
        <f t="shared" si="45"/>
        <v>0.11184210526315796</v>
      </c>
      <c r="AS54" s="217">
        <f t="shared" si="53"/>
        <v>2543</v>
      </c>
      <c r="AT54" s="218">
        <f t="shared" si="46"/>
        <v>0.20179584120982996</v>
      </c>
      <c r="AU54" s="204">
        <f>IFERROR(GETPIVOTDATA("dato",'[1]evolucion mensual nacionali'!$A$4,"indicador","TOTAL","mes",4,"año",2007),"-")</f>
        <v>15492</v>
      </c>
      <c r="AV54" s="205">
        <f t="shared" si="47"/>
        <v>0.11863672467326158</v>
      </c>
    </row>
    <row r="55" spans="2:48" hidden="1" outlineLevel="1">
      <c r="B55" s="51" t="s">
        <v>47</v>
      </c>
      <c r="C55" s="217">
        <f>IFERROR(GETPIVOTDATA("dato",'[1]evolucion mensual nacionali'!$A$4,"indicador","España","mes",3,"año",2007),"-")</f>
        <v>16189</v>
      </c>
      <c r="D55" s="218">
        <f t="shared" si="25"/>
        <v>8.5053619302948968E-2</v>
      </c>
      <c r="E55" s="217">
        <f>IFERROR(GETPIVOTDATA("dato",'[1]evolucion mensual nacionali'!$A$4,"indicador","HOLANDA","mes",3,"año",2007),"-")</f>
        <v>87</v>
      </c>
      <c r="F55" s="218">
        <f t="shared" si="26"/>
        <v>8.7499999999999911E-2</v>
      </c>
      <c r="G55" s="217">
        <f>IFERROR(GETPIVOTDATA("dato",'[1]evolucion mensual nacionali'!$A$4,"indicador","BÉLGICA","mes",3,"año",2007),"-")</f>
        <v>22</v>
      </c>
      <c r="H55" s="218">
        <f t="shared" si="27"/>
        <v>-0.57692307692307687</v>
      </c>
      <c r="I55" s="217">
        <f>IFERROR(GETPIVOTDATA("dato",'[1]evolucion mensual nacionali'!$A$4,"indicador","ALEMANIA","mes",3,"año",2007),"-")</f>
        <v>425</v>
      </c>
      <c r="J55" s="218">
        <f t="shared" si="28"/>
        <v>-7.407407407407407E-2</v>
      </c>
      <c r="K55" s="217">
        <f>IFERROR(GETPIVOTDATA("dato",'[1]evolucion mensual nacionali'!$A$4,"indicador","FRANCIA","mes",3,"año",2007),"-")</f>
        <v>225</v>
      </c>
      <c r="L55" s="218">
        <f t="shared" si="29"/>
        <v>0.30813953488372103</v>
      </c>
      <c r="M55" s="217">
        <f>IFERROR(GETPIVOTDATA("dato",'[1]evolucion mensual nacionali'!$A$4,"indicador","REINO UNIDO","mes",3,"año",2007),"-")</f>
        <v>335</v>
      </c>
      <c r="N55" s="218">
        <f t="shared" si="30"/>
        <v>3.076923076923066E-2</v>
      </c>
      <c r="O55" s="217">
        <f>IFERROR(GETPIVOTDATA("dato",'[1]evolucion mensual nacionali'!$A$4,"indicador","IRLANDA","mes",3,"año",2007),"-")</f>
        <v>78</v>
      </c>
      <c r="P55" s="218">
        <f t="shared" si="31"/>
        <v>1.4375</v>
      </c>
      <c r="Q55" s="217">
        <f>IFERROR(GETPIVOTDATA("dato",'[1]evolucion mensual nacionali'!$A$4,"indicador","ITALIA","mes",3,"año",2007),"-")</f>
        <v>264</v>
      </c>
      <c r="R55" s="218">
        <f t="shared" si="32"/>
        <v>0.22222222222222232</v>
      </c>
      <c r="S55" s="217">
        <f t="shared" si="52"/>
        <v>205</v>
      </c>
      <c r="T55" s="218">
        <f t="shared" si="33"/>
        <v>-0.46052631578947367</v>
      </c>
      <c r="U55" s="217">
        <f>IFERROR(GETPIVOTDATA("dato",'[1]evolucion mensual nacionali'!$A$4,"indicador","SUECIA","mes",3,"año",2007),"-")</f>
        <v>67</v>
      </c>
      <c r="V55" s="218">
        <f t="shared" si="34"/>
        <v>-0.71610169491525422</v>
      </c>
      <c r="W55" s="217">
        <f>IFERROR(GETPIVOTDATA("dato",'[1]evolucion mensual nacionali'!$A$4,"indicador","NORUEGA","mes",3,"año",2007),"-")</f>
        <v>60</v>
      </c>
      <c r="X55" s="218">
        <f t="shared" si="35"/>
        <v>1.7272727272727271</v>
      </c>
      <c r="Y55" s="217">
        <f>IFERROR(GETPIVOTDATA("dato",'[1]evolucion mensual nacionali'!$A$4,"indicador","DINAMARCA","mes",3,"año",2007),"-")</f>
        <v>39</v>
      </c>
      <c r="Z55" s="218">
        <f t="shared" si="36"/>
        <v>-0.32758620689655171</v>
      </c>
      <c r="AA55" s="217">
        <f>IFERROR(GETPIVOTDATA("dato",'[1]evolucion mensual nacionali'!$A$4,"indicador","FINLANDIA","mes",3,"año",2007),"-")</f>
        <v>39</v>
      </c>
      <c r="AB55" s="218">
        <f t="shared" si="37"/>
        <v>-0.390625</v>
      </c>
      <c r="AC55" s="217">
        <f>IFERROR(GETPIVOTDATA("dato",'[1]evolucion mensual nacionali'!$A$4,"indicador","SUIZA","mes",3,"año",2007),"-")</f>
        <v>52</v>
      </c>
      <c r="AD55" s="218">
        <f t="shared" si="38"/>
        <v>-5.4545454545454564E-2</v>
      </c>
      <c r="AE55" s="217">
        <f>IFERROR(GETPIVOTDATA("dato",'[1]evolucion mensual nacionali'!$A$4,"indicador","AUSTRIA","mes",3,"año",2007),"-")</f>
        <v>40</v>
      </c>
      <c r="AF55" s="218">
        <f t="shared" si="39"/>
        <v>0.81818181818181812</v>
      </c>
      <c r="AG55" s="217">
        <f>IFERROR(GETPIVOTDATA("dato",'[1]evolucion mensual nacionali'!$A$4,"indicador","RUSIA","mes",3,"año",2007),"-")</f>
        <v>49</v>
      </c>
      <c r="AH55" s="218">
        <f t="shared" si="40"/>
        <v>0.53125</v>
      </c>
      <c r="AI55" s="217">
        <f>IFERROR(GETPIVOTDATA("dato",'[1]evolucion mensual nacionali'!$A$4,"indicador","PAÍSES DEL ESTE","mes",3,"año",2007),"-")</f>
        <v>102</v>
      </c>
      <c r="AJ55" s="218">
        <f t="shared" si="41"/>
        <v>1.04</v>
      </c>
      <c r="AK55" s="217">
        <f>IFERROR(GETPIVOTDATA("dato",'[1]evolucion mensual nacionali'!$A$4,"indicador","RESTO DE EUROPA","mes",3,"año",2007),"-")</f>
        <v>225</v>
      </c>
      <c r="AL55" s="218">
        <f t="shared" si="42"/>
        <v>1.0642201834862384</v>
      </c>
      <c r="AM55" s="217">
        <f>IFERROR(GETPIVOTDATA("dato",'[1]evolucion mensual nacionali'!$A$4,"indicador","USA","mes",3,"año",2007),"-")</f>
        <v>98</v>
      </c>
      <c r="AN55" s="218">
        <f t="shared" si="43"/>
        <v>0.13953488372093026</v>
      </c>
      <c r="AO55" s="217">
        <f>IFERROR(GETPIVOTDATA("dato",'[1]evolucion mensual nacionali'!$A$4,"indicador","RESTO DE AMÉRICA","mes",3,"año",2007),"-")</f>
        <v>373</v>
      </c>
      <c r="AP55" s="218">
        <f t="shared" si="44"/>
        <v>0.38148148148148153</v>
      </c>
      <c r="AQ55" s="217">
        <f>IFERROR(GETPIVOTDATA("dato",'[1]evolucion mensual nacionali'!$A$4,"indicador","RESTO DEL MUNDO","mes",3,"año",2007),"-")</f>
        <v>237</v>
      </c>
      <c r="AR55" s="218">
        <f t="shared" si="45"/>
        <v>0.4023668639053255</v>
      </c>
      <c r="AS55" s="217">
        <f t="shared" si="53"/>
        <v>2817</v>
      </c>
      <c r="AT55" s="218">
        <f t="shared" si="46"/>
        <v>0.12275807094459945</v>
      </c>
      <c r="AU55" s="204">
        <f>IFERROR(GETPIVOTDATA("dato",'[1]evolucion mensual nacionali'!$A$4,"indicador","TOTAL","mes",3,"año",2007),"-")</f>
        <v>19006</v>
      </c>
      <c r="AV55" s="205">
        <f t="shared" si="47"/>
        <v>9.0481381605370448E-2</v>
      </c>
    </row>
    <row r="56" spans="2:48" hidden="1" outlineLevel="1">
      <c r="B56" s="51" t="s">
        <v>48</v>
      </c>
      <c r="C56" s="217">
        <f>IFERROR(GETPIVOTDATA("dato",'[1]evolucion mensual nacionali'!$A$4,"indicador","España","mes",2,"año",2007),"-")</f>
        <v>13061</v>
      </c>
      <c r="D56" s="218">
        <f t="shared" si="25"/>
        <v>-2.2965290245362091E-2</v>
      </c>
      <c r="E56" s="217">
        <f>IFERROR(GETPIVOTDATA("dato",'[1]evolucion mensual nacionali'!$A$4,"indicador","HOLANDA","mes",2,"año",2007),"-")</f>
        <v>44</v>
      </c>
      <c r="F56" s="218">
        <f t="shared" si="26"/>
        <v>-0.29032258064516125</v>
      </c>
      <c r="G56" s="217">
        <f>IFERROR(GETPIVOTDATA("dato",'[1]evolucion mensual nacionali'!$A$4,"indicador","BÉLGICA","mes",2,"año",2007),"-")</f>
        <v>36</v>
      </c>
      <c r="H56" s="218">
        <f t="shared" si="27"/>
        <v>-0.47826086956521741</v>
      </c>
      <c r="I56" s="217">
        <f>IFERROR(GETPIVOTDATA("dato",'[1]evolucion mensual nacionali'!$A$4,"indicador","ALEMANIA","mes",2,"año",2007),"-")</f>
        <v>346</v>
      </c>
      <c r="J56" s="218">
        <f t="shared" si="28"/>
        <v>6.1349693251533832E-2</v>
      </c>
      <c r="K56" s="217">
        <f>IFERROR(GETPIVOTDATA("dato",'[1]evolucion mensual nacionali'!$A$4,"indicador","FRANCIA","mes",2,"año",2007),"-")</f>
        <v>172</v>
      </c>
      <c r="L56" s="218">
        <f t="shared" si="29"/>
        <v>-0.24229074889867841</v>
      </c>
      <c r="M56" s="217">
        <f>IFERROR(GETPIVOTDATA("dato",'[1]evolucion mensual nacionali'!$A$4,"indicador","REINO UNIDO","mes",2,"año",2007),"-")</f>
        <v>321</v>
      </c>
      <c r="N56" s="218">
        <f t="shared" si="30"/>
        <v>-1.834862385321101E-2</v>
      </c>
      <c r="O56" s="217">
        <f>IFERROR(GETPIVOTDATA("dato",'[1]evolucion mensual nacionali'!$A$4,"indicador","IRLANDA","mes",2,"año",2007),"-")</f>
        <v>66</v>
      </c>
      <c r="P56" s="218">
        <f t="shared" si="31"/>
        <v>2.1428571428571428</v>
      </c>
      <c r="Q56" s="217">
        <f>IFERROR(GETPIVOTDATA("dato",'[1]evolucion mensual nacionali'!$A$4,"indicador","ITALIA","mes",2,"año",2007),"-")</f>
        <v>202</v>
      </c>
      <c r="R56" s="218">
        <f t="shared" si="32"/>
        <v>-0.11403508771929827</v>
      </c>
      <c r="S56" s="217">
        <f t="shared" si="52"/>
        <v>132</v>
      </c>
      <c r="T56" s="218">
        <f t="shared" si="33"/>
        <v>-0.65171503957783639</v>
      </c>
      <c r="U56" s="217">
        <f>IFERROR(GETPIVOTDATA("dato",'[1]evolucion mensual nacionali'!$A$4,"indicador","SUECIA","mes",2,"año",2007),"-")</f>
        <v>32</v>
      </c>
      <c r="V56" s="218">
        <f t="shared" si="34"/>
        <v>-0.8423645320197044</v>
      </c>
      <c r="W56" s="217">
        <f>IFERROR(GETPIVOTDATA("dato",'[1]evolucion mensual nacionali'!$A$4,"indicador","NORUEGA","mes",2,"año",2007),"-")</f>
        <v>23</v>
      </c>
      <c r="X56" s="218">
        <f t="shared" si="35"/>
        <v>-0.56603773584905659</v>
      </c>
      <c r="Y56" s="217">
        <f>IFERROR(GETPIVOTDATA("dato",'[1]evolucion mensual nacionali'!$A$4,"indicador","DINAMARCA","mes",2,"año",2007),"-")</f>
        <v>47</v>
      </c>
      <c r="Z56" s="218">
        <f t="shared" si="36"/>
        <v>-0.3380281690140845</v>
      </c>
      <c r="AA56" s="217">
        <f>IFERROR(GETPIVOTDATA("dato",'[1]evolucion mensual nacionali'!$A$4,"indicador","FINLANDIA","mes",2,"año",2007),"-")</f>
        <v>30</v>
      </c>
      <c r="AB56" s="218">
        <f t="shared" si="37"/>
        <v>-0.42307692307692313</v>
      </c>
      <c r="AC56" s="217">
        <f>IFERROR(GETPIVOTDATA("dato",'[1]evolucion mensual nacionali'!$A$4,"indicador","SUIZA","mes",2,"año",2007),"-")</f>
        <v>47</v>
      </c>
      <c r="AD56" s="218">
        <f t="shared" si="38"/>
        <v>0.6785714285714286</v>
      </c>
      <c r="AE56" s="217">
        <f>IFERROR(GETPIVOTDATA("dato",'[1]evolucion mensual nacionali'!$A$4,"indicador","AUSTRIA","mes",2,"año",2007),"-")</f>
        <v>46</v>
      </c>
      <c r="AF56" s="218">
        <f t="shared" si="39"/>
        <v>0.70370370370370372</v>
      </c>
      <c r="AG56" s="217">
        <f>IFERROR(GETPIVOTDATA("dato",'[1]evolucion mensual nacionali'!$A$4,"indicador","RUSIA","mes",2,"año",2007),"-")</f>
        <v>21</v>
      </c>
      <c r="AH56" s="218">
        <f t="shared" si="40"/>
        <v>-0.36363636363636365</v>
      </c>
      <c r="AI56" s="217">
        <f>IFERROR(GETPIVOTDATA("dato",'[1]evolucion mensual nacionali'!$A$4,"indicador","PAÍSES DEL ESTE","mes",2,"año",2007),"-")</f>
        <v>50</v>
      </c>
      <c r="AJ56" s="218">
        <f t="shared" si="41"/>
        <v>-5.6603773584905648E-2</v>
      </c>
      <c r="AK56" s="217">
        <f>IFERROR(GETPIVOTDATA("dato",'[1]evolucion mensual nacionali'!$A$4,"indicador","RESTO DE EUROPA","mes",2,"año",2007),"-")</f>
        <v>135</v>
      </c>
      <c r="AL56" s="218">
        <f t="shared" si="42"/>
        <v>0.46739130434782616</v>
      </c>
      <c r="AM56" s="217">
        <f>IFERROR(GETPIVOTDATA("dato",'[1]evolucion mensual nacionali'!$A$4,"indicador","USA","mes",2,"año",2007),"-")</f>
        <v>65</v>
      </c>
      <c r="AN56" s="218">
        <f t="shared" si="43"/>
        <v>4.8387096774193505E-2</v>
      </c>
      <c r="AO56" s="217">
        <f>IFERROR(GETPIVOTDATA("dato",'[1]evolucion mensual nacionali'!$A$4,"indicador","RESTO DE AMÉRICA","mes",2,"año",2007),"-")</f>
        <v>330</v>
      </c>
      <c r="AP56" s="218">
        <f t="shared" si="44"/>
        <v>0.31474103585657365</v>
      </c>
      <c r="AQ56" s="217">
        <f>IFERROR(GETPIVOTDATA("dato",'[1]evolucion mensual nacionali'!$A$4,"indicador","RESTO DEL MUNDO","mes",2,"año",2007),"-")</f>
        <v>148</v>
      </c>
      <c r="AR56" s="218">
        <f t="shared" si="45"/>
        <v>6.4748201438848962E-2</v>
      </c>
      <c r="AS56" s="217">
        <f t="shared" si="53"/>
        <v>2161</v>
      </c>
      <c r="AT56" s="218">
        <f t="shared" si="46"/>
        <v>-7.0137693631669551E-2</v>
      </c>
      <c r="AU56" s="204">
        <f>IFERROR(GETPIVOTDATA("dato",'[1]evolucion mensual nacionali'!$A$4,"indicador","TOTAL","mes",2,"año",2007),"-")</f>
        <v>15222</v>
      </c>
      <c r="AV56" s="205">
        <f t="shared" si="47"/>
        <v>-2.9951567677797608E-2</v>
      </c>
    </row>
    <row r="57" spans="2:48" hidden="1" outlineLevel="1">
      <c r="B57" s="51" t="s">
        <v>49</v>
      </c>
      <c r="C57" s="217">
        <f>IFERROR(GETPIVOTDATA("dato",'[1]evolucion mensual nacionali'!$A$4,"indicador","España","mes",1,"año",2007),"-")</f>
        <v>11923</v>
      </c>
      <c r="D57" s="218">
        <f t="shared" si="25"/>
        <v>-2.2304223042230453E-2</v>
      </c>
      <c r="E57" s="217">
        <f>IFERROR(GETPIVOTDATA("dato",'[1]evolucion mensual nacionali'!$A$4,"indicador","HOLANDA","mes",1,"año",2007),"-")</f>
        <v>63</v>
      </c>
      <c r="F57" s="218">
        <f t="shared" si="26"/>
        <v>-0.11267605633802813</v>
      </c>
      <c r="G57" s="217">
        <f>IFERROR(GETPIVOTDATA("dato",'[1]evolucion mensual nacionali'!$A$4,"indicador","BÉLGICA","mes",1,"año",2007),"-")</f>
        <v>68</v>
      </c>
      <c r="H57" s="218">
        <f t="shared" si="27"/>
        <v>0.58139534883720922</v>
      </c>
      <c r="I57" s="217">
        <f>IFERROR(GETPIVOTDATA("dato",'[1]evolucion mensual nacionali'!$A$4,"indicador","ALEMANIA","mes",1,"año",2007),"-")</f>
        <v>373</v>
      </c>
      <c r="J57" s="218">
        <f t="shared" si="28"/>
        <v>-0.15227272727272723</v>
      </c>
      <c r="K57" s="217">
        <f>IFERROR(GETPIVOTDATA("dato",'[1]evolucion mensual nacionali'!$A$4,"indicador","FRANCIA","mes",1,"año",2007),"-")</f>
        <v>230</v>
      </c>
      <c r="L57" s="218">
        <f t="shared" si="29"/>
        <v>0.796875</v>
      </c>
      <c r="M57" s="217">
        <f>IFERROR(GETPIVOTDATA("dato",'[1]evolucion mensual nacionali'!$A$4,"indicador","REINO UNIDO","mes",1,"año",2007),"-")</f>
        <v>335</v>
      </c>
      <c r="N57" s="218">
        <f t="shared" si="30"/>
        <v>0.2007168458781361</v>
      </c>
      <c r="O57" s="217">
        <f>IFERROR(GETPIVOTDATA("dato",'[1]evolucion mensual nacionali'!$A$4,"indicador","IRLANDA","mes",1,"año",2007),"-")</f>
        <v>122</v>
      </c>
      <c r="P57" s="218">
        <f t="shared" si="31"/>
        <v>3.0666666666666664</v>
      </c>
      <c r="Q57" s="217">
        <f>IFERROR(GETPIVOTDATA("dato",'[1]evolucion mensual nacionali'!$A$4,"indicador","ITALIA","mes",1,"año",2007),"-")</f>
        <v>238</v>
      </c>
      <c r="R57" s="218">
        <f t="shared" si="32"/>
        <v>0.37572254335260125</v>
      </c>
      <c r="S57" s="217">
        <f t="shared" si="52"/>
        <v>133</v>
      </c>
      <c r="T57" s="218">
        <f t="shared" si="33"/>
        <v>-0.43404255319148932</v>
      </c>
      <c r="U57" s="217">
        <f>IFERROR(GETPIVOTDATA("dato",'[1]evolucion mensual nacionali'!$A$4,"indicador","SUECIA","mes",1,"año",2007),"-")</f>
        <v>33</v>
      </c>
      <c r="V57" s="218">
        <f t="shared" si="34"/>
        <v>-0.72950819672131151</v>
      </c>
      <c r="W57" s="217">
        <f>IFERROR(GETPIVOTDATA("dato",'[1]evolucion mensual nacionali'!$A$4,"indicador","NORUEGA","mes",1,"año",2007),"-")</f>
        <v>32</v>
      </c>
      <c r="X57" s="218">
        <f t="shared" si="35"/>
        <v>-0.41818181818181821</v>
      </c>
      <c r="Y57" s="217">
        <f>IFERROR(GETPIVOTDATA("dato",'[1]evolucion mensual nacionali'!$A$4,"indicador","DINAMARCA","mes",1,"año",2007),"-")</f>
        <v>40</v>
      </c>
      <c r="Z57" s="218">
        <f t="shared" si="36"/>
        <v>0.17647058823529416</v>
      </c>
      <c r="AA57" s="217">
        <f>IFERROR(GETPIVOTDATA("dato",'[1]evolucion mensual nacionali'!$A$4,"indicador","FINLANDIA","mes",1,"año",2007),"-")</f>
        <v>28</v>
      </c>
      <c r="AB57" s="218">
        <f t="shared" si="37"/>
        <v>0.16666666666666674</v>
      </c>
      <c r="AC57" s="217">
        <f>IFERROR(GETPIVOTDATA("dato",'[1]evolucion mensual nacionali'!$A$4,"indicador","SUIZA","mes",1,"año",2007),"-")</f>
        <v>52</v>
      </c>
      <c r="AD57" s="218">
        <f t="shared" si="38"/>
        <v>0.48571428571428577</v>
      </c>
      <c r="AE57" s="217">
        <f>IFERROR(GETPIVOTDATA("dato",'[1]evolucion mensual nacionali'!$A$4,"indicador","AUSTRIA","mes",1,"año",2007),"-")</f>
        <v>43</v>
      </c>
      <c r="AF57" s="218">
        <f t="shared" si="39"/>
        <v>2.9090909090909092</v>
      </c>
      <c r="AG57" s="217">
        <f>IFERROR(GETPIVOTDATA("dato",'[1]evolucion mensual nacionali'!$A$4,"indicador","RUSIA","mes",1,"año",2007),"-")</f>
        <v>24</v>
      </c>
      <c r="AH57" s="218">
        <f t="shared" si="40"/>
        <v>0.33333333333333326</v>
      </c>
      <c r="AI57" s="217">
        <f>IFERROR(GETPIVOTDATA("dato",'[1]evolucion mensual nacionali'!$A$4,"indicador","PAÍSES DEL ESTE","mes",1,"año",2007),"-")</f>
        <v>106</v>
      </c>
      <c r="AJ57" s="218">
        <f t="shared" si="41"/>
        <v>1.1632653061224492</v>
      </c>
      <c r="AK57" s="217">
        <f>IFERROR(GETPIVOTDATA("dato",'[1]evolucion mensual nacionali'!$A$4,"indicador","RESTO DE EUROPA","mes",1,"año",2007),"-")</f>
        <v>209</v>
      </c>
      <c r="AL57" s="218">
        <f t="shared" si="42"/>
        <v>0.81739130434782603</v>
      </c>
      <c r="AM57" s="217">
        <f>IFERROR(GETPIVOTDATA("dato",'[1]evolucion mensual nacionali'!$A$4,"indicador","USA","mes",1,"año",2007),"-")</f>
        <v>51</v>
      </c>
      <c r="AN57" s="218">
        <f t="shared" si="43"/>
        <v>0.1333333333333333</v>
      </c>
      <c r="AO57" s="217">
        <f>IFERROR(GETPIVOTDATA("dato",'[1]evolucion mensual nacionali'!$A$4,"indicador","RESTO DE AMÉRICA","mes",1,"año",2007),"-")</f>
        <v>328</v>
      </c>
      <c r="AP57" s="218">
        <f t="shared" si="44"/>
        <v>0.22846441947565532</v>
      </c>
      <c r="AQ57" s="217">
        <f>IFERROR(GETPIVOTDATA("dato",'[1]evolucion mensual nacionali'!$A$4,"indicador","RESTO DEL MUNDO","mes",1,"año",2007),"-")</f>
        <v>209</v>
      </c>
      <c r="AR57" s="218">
        <f t="shared" si="45"/>
        <v>0.58333333333333326</v>
      </c>
      <c r="AS57" s="217">
        <f t="shared" si="53"/>
        <v>2584</v>
      </c>
      <c r="AT57" s="218">
        <f t="shared" si="46"/>
        <v>0.24770642201834869</v>
      </c>
      <c r="AU57" s="204">
        <f>IFERROR(GETPIVOTDATA("dato",'[1]evolucion mensual nacionali'!$A$4,"indicador","TOTAL","mes",1,"año",2007),"-")</f>
        <v>14507</v>
      </c>
      <c r="AV57" s="205">
        <f t="shared" si="47"/>
        <v>1.6893312771624869E-2</v>
      </c>
    </row>
    <row r="58" spans="2:48" collapsed="1">
      <c r="B58" s="214">
        <v>2007</v>
      </c>
      <c r="C58" s="215">
        <f>GETPIVOTDATA("dato",'[1]evolucion mensual nacionali'!$A$4,"indicador","España","año",2007)</f>
        <v>156160</v>
      </c>
      <c r="D58" s="216">
        <f t="shared" si="25"/>
        <v>-3.929172832576433E-3</v>
      </c>
      <c r="E58" s="215">
        <f>GETPIVOTDATA("dato",'[1]evolucion mensual nacionali'!$A$4,"indicador","HOLANDA","año",2007)</f>
        <v>579</v>
      </c>
      <c r="F58" s="216">
        <f t="shared" si="26"/>
        <v>-0.27443609022556392</v>
      </c>
      <c r="G58" s="215">
        <f>GETPIVOTDATA("dato",'[1]evolucion mensual nacionali'!$A$4,"indicador","BÉLGICA","año",2007)</f>
        <v>438</v>
      </c>
      <c r="H58" s="216">
        <f t="shared" si="27"/>
        <v>-0.16252390057361377</v>
      </c>
      <c r="I58" s="215">
        <f>GETPIVOTDATA("dato",'[1]evolucion mensual nacionali'!$A$4,"indicador","ALEMANIA","año",2007)</f>
        <v>3641</v>
      </c>
      <c r="J58" s="216">
        <f t="shared" si="28"/>
        <v>-2.9584221748400807E-2</v>
      </c>
      <c r="K58" s="215">
        <f>GETPIVOTDATA("dato",'[1]evolucion mensual nacionali'!$A$4,"indicador","FRANCIA","año",2007)</f>
        <v>2217</v>
      </c>
      <c r="L58" s="216">
        <f t="shared" si="29"/>
        <v>4.3294117647058927E-2</v>
      </c>
      <c r="M58" s="215">
        <f>GETPIVOTDATA("dato",'[1]evolucion mensual nacionali'!$A$4,"indicador","REINO UNIDO","año",2007)</f>
        <v>3167</v>
      </c>
      <c r="N58" s="216">
        <f t="shared" si="30"/>
        <v>3.3616187989556234E-2</v>
      </c>
      <c r="O58" s="215">
        <f>GETPIVOTDATA("dato",'[1]evolucion mensual nacionali'!$A$4,"indicador","IRLANDA","año",2007)</f>
        <v>692</v>
      </c>
      <c r="P58" s="216">
        <f t="shared" si="31"/>
        <v>0.98280802292263614</v>
      </c>
      <c r="Q58" s="215">
        <f>GETPIVOTDATA("dato",'[1]evolucion mensual nacionali'!$A$4,"indicador","ITALIA","año",2007)</f>
        <v>2663</v>
      </c>
      <c r="R58" s="216">
        <f t="shared" si="32"/>
        <v>3.7802026500389774E-2</v>
      </c>
      <c r="S58" s="215">
        <f t="shared" si="52"/>
        <v>1630</v>
      </c>
      <c r="T58" s="216">
        <f t="shared" si="33"/>
        <v>-0.22967863894139884</v>
      </c>
      <c r="U58" s="215">
        <f>GETPIVOTDATA("dato",'[1]evolucion mensual nacionali'!$A$4,"indicador","SUECIA","año",2007)</f>
        <v>466</v>
      </c>
      <c r="V58" s="216">
        <f t="shared" si="34"/>
        <v>-0.5506268081002893</v>
      </c>
      <c r="W58" s="215">
        <f>GETPIVOTDATA("dato",'[1]evolucion mensual nacionali'!$A$4,"indicador","NORUEGA","año",2007)</f>
        <v>408</v>
      </c>
      <c r="X58" s="216">
        <f t="shared" si="35"/>
        <v>0.19298245614035081</v>
      </c>
      <c r="Y58" s="215">
        <f>GETPIVOTDATA("dato",'[1]evolucion mensual nacionali'!$A$4,"indicador","DINAMARCA","año",2007)</f>
        <v>373</v>
      </c>
      <c r="Z58" s="216">
        <f t="shared" si="36"/>
        <v>8.7463556851312019E-2</v>
      </c>
      <c r="AA58" s="215">
        <f>GETPIVOTDATA("dato",'[1]evolucion mensual nacionali'!$A$4,"indicador","FINLANDIA","año",2007)</f>
        <v>383</v>
      </c>
      <c r="AB58" s="216">
        <f t="shared" si="37"/>
        <v>-2.7918781725888353E-2</v>
      </c>
      <c r="AC58" s="215">
        <f>GETPIVOTDATA("dato",'[1]evolucion mensual nacionali'!$A$4,"indicador","SUIZA","año",2007)</f>
        <v>513</v>
      </c>
      <c r="AD58" s="216">
        <f t="shared" si="38"/>
        <v>2.1912350597609542E-2</v>
      </c>
      <c r="AE58" s="215">
        <f>GETPIVOTDATA("dato",'[1]evolucion mensual nacionali'!$A$4,"indicador","AUSTRIA","año",2007)</f>
        <v>328</v>
      </c>
      <c r="AF58" s="216">
        <f t="shared" si="39"/>
        <v>0.25190839694656497</v>
      </c>
      <c r="AG58" s="215">
        <f>GETPIVOTDATA("dato",'[1]evolucion mensual nacionali'!$A$4,"indicador","RUSIA","año",2007)</f>
        <v>265</v>
      </c>
      <c r="AH58" s="216">
        <f t="shared" si="40"/>
        <v>-0.19939577039274925</v>
      </c>
      <c r="AI58" s="215">
        <f>GETPIVOTDATA("dato",'[1]evolucion mensual nacionali'!$A$4,"indicador","PAÍSES DEL ESTE","año",2007)</f>
        <v>1017</v>
      </c>
      <c r="AJ58" s="216">
        <f t="shared" si="41"/>
        <v>0.69500000000000006</v>
      </c>
      <c r="AK58" s="215">
        <f>GETPIVOTDATA("dato",'[1]evolucion mensual nacionali'!$A$4,"indicador","RESTO DE EUROPA","año",2007)</f>
        <v>1883</v>
      </c>
      <c r="AL58" s="216">
        <f t="shared" si="42"/>
        <v>0.28008157715839554</v>
      </c>
      <c r="AM58" s="215">
        <f>GETPIVOTDATA("dato",'[1]evolucion mensual nacionali'!$A$4,"indicador","USA","año",2007)</f>
        <v>919</v>
      </c>
      <c r="AN58" s="216">
        <f t="shared" si="43"/>
        <v>9.5351609058402786E-2</v>
      </c>
      <c r="AO58" s="215">
        <f>GETPIVOTDATA("dato",'[1]evolucion mensual nacionali'!$A$4,"indicador","RESTO DE AMÉRICA","año",2007)</f>
        <v>4676</v>
      </c>
      <c r="AP58" s="216">
        <f t="shared" si="44"/>
        <v>2.3642732049036885E-2</v>
      </c>
      <c r="AQ58" s="215">
        <f>GETPIVOTDATA("dato",'[1]evolucion mensual nacionali'!$A$4,"indicador","RESTO DEL MUNDO","año",2007)</f>
        <v>2877</v>
      </c>
      <c r="AR58" s="216">
        <f t="shared" si="45"/>
        <v>0.35007038948850311</v>
      </c>
      <c r="AS58" s="215">
        <f t="shared" si="53"/>
        <v>27505</v>
      </c>
      <c r="AT58" s="216">
        <f t="shared" si="46"/>
        <v>5.800669307997075E-2</v>
      </c>
      <c r="AU58" s="212">
        <f>GETPIVOTDATA("dato",'[1]evolucion mensual nacionali'!$A$4,"indicador","TOTAL","año",2007)</f>
        <v>183665</v>
      </c>
      <c r="AV58" s="213">
        <f t="shared" si="47"/>
        <v>4.8803707330951074E-3</v>
      </c>
    </row>
    <row r="59" spans="2:48" hidden="1" outlineLevel="1">
      <c r="B59" s="51" t="s">
        <v>38</v>
      </c>
      <c r="C59" s="217">
        <f>IFERROR(GETPIVOTDATA("dato",'[1]evolucion mensual nacionali'!$A$4,"indicador","España","mes",12,"año",2006),"-")</f>
        <v>13967</v>
      </c>
      <c r="D59" s="218" t="str">
        <f t="shared" si="25"/>
        <v>-</v>
      </c>
      <c r="E59" s="217">
        <f>IFERROR(GETPIVOTDATA("dato",'[1]evolucion mensual nacionali'!$A$4,"indicador","HOLANDA","mes",12,"año",2006),"-")</f>
        <v>83</v>
      </c>
      <c r="F59" s="218" t="str">
        <f t="shared" si="26"/>
        <v>-</v>
      </c>
      <c r="G59" s="217">
        <f>IFERROR(GETPIVOTDATA("dato",'[1]evolucion mensual nacionali'!$A$4,"indicador","BÉLGICA","mes",12,"año",2006),"-")</f>
        <v>45</v>
      </c>
      <c r="H59" s="218" t="str">
        <f t="shared" si="27"/>
        <v>-</v>
      </c>
      <c r="I59" s="217">
        <f>IFERROR(GETPIVOTDATA("dato",'[1]evolucion mensual nacionali'!$A$4,"indicador","ALEMANIA","mes",12,"año",2006),"-")</f>
        <v>473</v>
      </c>
      <c r="J59" s="218" t="str">
        <f t="shared" si="28"/>
        <v>-</v>
      </c>
      <c r="K59" s="217">
        <f>IFERROR(GETPIVOTDATA("dato",'[1]evolucion mensual nacionali'!$A$4,"indicador","FRANCIA","mes",12,"año",2006),"-")</f>
        <v>206</v>
      </c>
      <c r="L59" s="218" t="str">
        <f t="shared" si="29"/>
        <v>-</v>
      </c>
      <c r="M59" s="217">
        <f>IFERROR(GETPIVOTDATA("dato",'[1]evolucion mensual nacionali'!$A$4,"indicador","REINO UNIDO","mes",12,"año",2006),"-")</f>
        <v>387</v>
      </c>
      <c r="N59" s="218" t="str">
        <f t="shared" si="30"/>
        <v>-</v>
      </c>
      <c r="O59" s="217">
        <f>IFERROR(GETPIVOTDATA("dato",'[1]evolucion mensual nacionali'!$A$4,"indicador","IRLANDA","mes",12,"año",2006),"-")</f>
        <v>92</v>
      </c>
      <c r="P59" s="218" t="str">
        <f t="shared" si="31"/>
        <v>-</v>
      </c>
      <c r="Q59" s="217">
        <f>IFERROR(GETPIVOTDATA("dato",'[1]evolucion mensual nacionali'!$A$4,"indicador","ITALIA","mes",12,"año",2006),"-")</f>
        <v>239</v>
      </c>
      <c r="R59" s="218" t="str">
        <f t="shared" si="32"/>
        <v>-</v>
      </c>
      <c r="S59" s="217">
        <f>U59+W59+Y59+AA59</f>
        <v>171</v>
      </c>
      <c r="T59" s="218" t="str">
        <f t="shared" si="33"/>
        <v>-</v>
      </c>
      <c r="U59" s="217">
        <f>IFERROR(GETPIVOTDATA("dato",'[1]evolucion mensual nacionali'!$A$4,"indicador","SUECIA","mes",12,"año",2006),"-")</f>
        <v>40</v>
      </c>
      <c r="V59" s="218" t="str">
        <f t="shared" si="34"/>
        <v>-</v>
      </c>
      <c r="W59" s="217">
        <f>IFERROR(GETPIVOTDATA("dato",'[1]evolucion mensual nacionali'!$A$4,"indicador","NORUEGA","mes",12,"año",2006),"-")</f>
        <v>27</v>
      </c>
      <c r="X59" s="218" t="str">
        <f t="shared" si="35"/>
        <v>-</v>
      </c>
      <c r="Y59" s="217">
        <f>IFERROR(GETPIVOTDATA("dato",'[1]evolucion mensual nacionali'!$A$4,"indicador","DINAMARCA","mes",12,"año",2006),"-")</f>
        <v>43</v>
      </c>
      <c r="Z59" s="218" t="str">
        <f t="shared" si="36"/>
        <v>-</v>
      </c>
      <c r="AA59" s="217">
        <f>IFERROR(GETPIVOTDATA("dato",'[1]evolucion mensual nacionali'!$A$4,"indicador","FINLANDIA","mes",12,"año",2006),"-")</f>
        <v>61</v>
      </c>
      <c r="AB59" s="218" t="str">
        <f t="shared" si="37"/>
        <v>-</v>
      </c>
      <c r="AC59" s="217">
        <f>IFERROR(GETPIVOTDATA("dato",'[1]evolucion mensual nacionali'!$A$4,"indicador","SUIZA","mes",12,"año",2006),"-")</f>
        <v>54</v>
      </c>
      <c r="AD59" s="218" t="str">
        <f t="shared" si="38"/>
        <v>-</v>
      </c>
      <c r="AE59" s="217">
        <f>IFERROR(GETPIVOTDATA("dato",'[1]evolucion mensual nacionali'!$A$4,"indicador","AUSTRIA","mes",12,"año",2006),"-")</f>
        <v>24</v>
      </c>
      <c r="AF59" s="218" t="str">
        <f t="shared" si="39"/>
        <v>-</v>
      </c>
      <c r="AG59" s="217">
        <f>IFERROR(GETPIVOTDATA("dato",'[1]evolucion mensual nacionali'!$A$4,"indicador","RUSIA","mes",12,"año",2006),"-")</f>
        <v>58</v>
      </c>
      <c r="AH59" s="218" t="str">
        <f t="shared" si="40"/>
        <v>-</v>
      </c>
      <c r="AI59" s="217">
        <f>IFERROR(GETPIVOTDATA("dato",'[1]evolucion mensual nacionali'!$A$4,"indicador","PAÍSES DEL ESTE","mes",12,"año",2006),"-")</f>
        <v>70</v>
      </c>
      <c r="AJ59" s="218" t="str">
        <f t="shared" si="41"/>
        <v>-</v>
      </c>
      <c r="AK59" s="217">
        <f>IFERROR(GETPIVOTDATA("dato",'[1]evolucion mensual nacionali'!$A$4,"indicador","RESTO DE EUROPA","mes",12,"año",2006),"-")</f>
        <v>196</v>
      </c>
      <c r="AL59" s="218" t="str">
        <f t="shared" si="42"/>
        <v>-</v>
      </c>
      <c r="AM59" s="217">
        <f>IFERROR(GETPIVOTDATA("dato",'[1]evolucion mensual nacionali'!$A$4,"indicador","USA","mes",12,"año",2006),"-")</f>
        <v>81</v>
      </c>
      <c r="AN59" s="218" t="str">
        <f t="shared" si="43"/>
        <v>-</v>
      </c>
      <c r="AO59" s="217">
        <f>IFERROR(GETPIVOTDATA("dato",'[1]evolucion mensual nacionali'!$A$4,"indicador","RESTO DE AMÉRICA","mes",12,"año",2006),"-")</f>
        <v>437</v>
      </c>
      <c r="AP59" s="218" t="str">
        <f t="shared" si="44"/>
        <v>-</v>
      </c>
      <c r="AQ59" s="217">
        <f>IFERROR(GETPIVOTDATA("dato",'[1]evolucion mensual nacionali'!$A$4,"indicador","RESTO DEL MUNDO","mes",12,"año",2006),"-")</f>
        <v>246</v>
      </c>
      <c r="AR59" s="218" t="str">
        <f t="shared" si="45"/>
        <v>-</v>
      </c>
      <c r="AS59" s="217">
        <f>AU59-C59</f>
        <v>2862</v>
      </c>
      <c r="AT59" s="218" t="str">
        <f t="shared" si="46"/>
        <v>-</v>
      </c>
      <c r="AU59" s="204">
        <f>IFERROR(GETPIVOTDATA("dato",'[1]evolucion mensual nacionali'!$A$4,"indicador","TOTAL","mes",12,"año",2006),"-")</f>
        <v>16829</v>
      </c>
      <c r="AV59" s="205" t="str">
        <f t="shared" si="47"/>
        <v>-</v>
      </c>
    </row>
    <row r="60" spans="2:48" hidden="1" outlineLevel="1">
      <c r="B60" s="51" t="s">
        <v>39</v>
      </c>
      <c r="C60" s="217">
        <f>IFERROR(GETPIVOTDATA("dato",'[1]evolucion mensual nacionali'!$A$4,"indicador","España","mes",11,"año",2006),"-")</f>
        <v>15301</v>
      </c>
      <c r="D60" s="218" t="str">
        <f t="shared" si="25"/>
        <v>-</v>
      </c>
      <c r="E60" s="217">
        <f>IFERROR(GETPIVOTDATA("dato",'[1]evolucion mensual nacionali'!$A$4,"indicador","HOLANDA","mes",11,"año",2006),"-")</f>
        <v>70</v>
      </c>
      <c r="F60" s="218" t="str">
        <f t="shared" si="26"/>
        <v>-</v>
      </c>
      <c r="G60" s="217">
        <f>IFERROR(GETPIVOTDATA("dato",'[1]evolucion mensual nacionali'!$A$4,"indicador","BÉLGICA","mes",11,"año",2006),"-")</f>
        <v>44</v>
      </c>
      <c r="H60" s="218" t="str">
        <f t="shared" si="27"/>
        <v>-</v>
      </c>
      <c r="I60" s="217">
        <f>IFERROR(GETPIVOTDATA("dato",'[1]evolucion mensual nacionali'!$A$4,"indicador","ALEMANIA","mes",11,"año",2006),"-")</f>
        <v>450</v>
      </c>
      <c r="J60" s="218" t="str">
        <f t="shared" si="28"/>
        <v>-</v>
      </c>
      <c r="K60" s="217">
        <f>IFERROR(GETPIVOTDATA("dato",'[1]evolucion mensual nacionali'!$A$4,"indicador","FRANCIA","mes",11,"año",2006),"-")</f>
        <v>211</v>
      </c>
      <c r="L60" s="218" t="str">
        <f t="shared" si="29"/>
        <v>-</v>
      </c>
      <c r="M60" s="217">
        <f>IFERROR(GETPIVOTDATA("dato",'[1]evolucion mensual nacionali'!$A$4,"indicador","REINO UNIDO","mes",11,"año",2006),"-")</f>
        <v>302</v>
      </c>
      <c r="N60" s="218" t="str">
        <f t="shared" si="30"/>
        <v>-</v>
      </c>
      <c r="O60" s="217">
        <f>IFERROR(GETPIVOTDATA("dato",'[1]evolucion mensual nacionali'!$A$4,"indicador","IRLANDA","mes",11,"año",2006),"-")</f>
        <v>9</v>
      </c>
      <c r="P60" s="218" t="str">
        <f t="shared" si="31"/>
        <v>-</v>
      </c>
      <c r="Q60" s="217">
        <f>IFERROR(GETPIVOTDATA("dato",'[1]evolucion mensual nacionali'!$A$4,"indicador","ITALIA","mes",11,"año",2006),"-")</f>
        <v>224</v>
      </c>
      <c r="R60" s="218" t="str">
        <f t="shared" si="32"/>
        <v>-</v>
      </c>
      <c r="S60" s="217">
        <f t="shared" ref="S60:S71" si="54">U60+W60+Y60+AA60</f>
        <v>242</v>
      </c>
      <c r="T60" s="218" t="str">
        <f t="shared" si="33"/>
        <v>-</v>
      </c>
      <c r="U60" s="217">
        <f>IFERROR(GETPIVOTDATA("dato",'[1]evolucion mensual nacionali'!$A$4,"indicador","SUECIA","mes",11,"año",2006),"-")</f>
        <v>107</v>
      </c>
      <c r="V60" s="218" t="str">
        <f t="shared" si="34"/>
        <v>-</v>
      </c>
      <c r="W60" s="217">
        <f>IFERROR(GETPIVOTDATA("dato",'[1]evolucion mensual nacionali'!$A$4,"indicador","NORUEGA","mes",11,"año",2006),"-")</f>
        <v>65</v>
      </c>
      <c r="X60" s="218" t="str">
        <f t="shared" si="35"/>
        <v>-</v>
      </c>
      <c r="Y60" s="217">
        <f>IFERROR(GETPIVOTDATA("dato",'[1]evolucion mensual nacionali'!$A$4,"indicador","DINAMARCA","mes",11,"año",2006),"-")</f>
        <v>38</v>
      </c>
      <c r="Z60" s="218" t="str">
        <f t="shared" si="36"/>
        <v>-</v>
      </c>
      <c r="AA60" s="217">
        <f>IFERROR(GETPIVOTDATA("dato",'[1]evolucion mensual nacionali'!$A$4,"indicador","FINLANDIA","mes",11,"año",2006),"-")</f>
        <v>32</v>
      </c>
      <c r="AB60" s="218" t="str">
        <f t="shared" si="37"/>
        <v>-</v>
      </c>
      <c r="AC60" s="217">
        <f>IFERROR(GETPIVOTDATA("dato",'[1]evolucion mensual nacionali'!$A$4,"indicador","SUIZA","mes",11,"año",2006),"-")</f>
        <v>36</v>
      </c>
      <c r="AD60" s="218" t="str">
        <f t="shared" si="38"/>
        <v>-</v>
      </c>
      <c r="AE60" s="217">
        <f>IFERROR(GETPIVOTDATA("dato",'[1]evolucion mensual nacionali'!$A$4,"indicador","AUSTRIA","mes",11,"año",2006),"-")</f>
        <v>39</v>
      </c>
      <c r="AF60" s="218" t="str">
        <f t="shared" si="39"/>
        <v>-</v>
      </c>
      <c r="AG60" s="217">
        <f>IFERROR(GETPIVOTDATA("dato",'[1]evolucion mensual nacionali'!$A$4,"indicador","RUSIA","mes",11,"año",2006),"-")</f>
        <v>27</v>
      </c>
      <c r="AH60" s="218" t="str">
        <f t="shared" si="40"/>
        <v>-</v>
      </c>
      <c r="AI60" s="217">
        <f>IFERROR(GETPIVOTDATA("dato",'[1]evolucion mensual nacionali'!$A$4,"indicador","PAÍSES DEL ESTE","mes",11,"año",2006),"-")</f>
        <v>57</v>
      </c>
      <c r="AJ60" s="218" t="str">
        <f t="shared" si="41"/>
        <v>-</v>
      </c>
      <c r="AK60" s="217">
        <f>IFERROR(GETPIVOTDATA("dato",'[1]evolucion mensual nacionali'!$A$4,"indicador","RESTO DE EUROPA","mes",11,"año",2006),"-")</f>
        <v>163</v>
      </c>
      <c r="AL60" s="218" t="str">
        <f t="shared" si="42"/>
        <v>-</v>
      </c>
      <c r="AM60" s="217">
        <f>IFERROR(GETPIVOTDATA("dato",'[1]evolucion mensual nacionali'!$A$4,"indicador","USA","mes",11,"año",2006),"-")</f>
        <v>131</v>
      </c>
      <c r="AN60" s="218" t="str">
        <f t="shared" si="43"/>
        <v>-</v>
      </c>
      <c r="AO60" s="217">
        <f>IFERROR(GETPIVOTDATA("dato",'[1]evolucion mensual nacionali'!$A$4,"indicador","RESTO DE AMÉRICA","mes",11,"año",2006),"-")</f>
        <v>523</v>
      </c>
      <c r="AP60" s="218" t="str">
        <f t="shared" si="44"/>
        <v>-</v>
      </c>
      <c r="AQ60" s="217">
        <f>IFERROR(GETPIVOTDATA("dato",'[1]evolucion mensual nacionali'!$A$4,"indicador","RESTO DEL MUNDO","mes",11,"año",2006),"-")</f>
        <v>258</v>
      </c>
      <c r="AR60" s="218" t="str">
        <f t="shared" si="45"/>
        <v>-</v>
      </c>
      <c r="AS60" s="217">
        <f t="shared" ref="AS60:AS71" si="55">AU60-C60</f>
        <v>2786</v>
      </c>
      <c r="AT60" s="218" t="str">
        <f t="shared" si="46"/>
        <v>-</v>
      </c>
      <c r="AU60" s="204">
        <f>IFERROR(GETPIVOTDATA("dato",'[1]evolucion mensual nacionali'!$A$4,"indicador","TOTAL","mes",11,"año",2006),"-")</f>
        <v>18087</v>
      </c>
      <c r="AV60" s="205" t="str">
        <f t="shared" si="47"/>
        <v>-</v>
      </c>
    </row>
    <row r="61" spans="2:48" hidden="1" outlineLevel="1">
      <c r="B61" s="51" t="s">
        <v>40</v>
      </c>
      <c r="C61" s="217">
        <f>IFERROR(GETPIVOTDATA("dato",'[1]evolucion mensual nacionali'!$A$4,"indicador","España","mes",10,"año",2006),"-")</f>
        <v>13723</v>
      </c>
      <c r="D61" s="218" t="str">
        <f t="shared" si="25"/>
        <v>-</v>
      </c>
      <c r="E61" s="217">
        <f>IFERROR(GETPIVOTDATA("dato",'[1]evolucion mensual nacionali'!$A$4,"indicador","HOLANDA","mes",10,"año",2006),"-")</f>
        <v>48</v>
      </c>
      <c r="F61" s="218" t="str">
        <f t="shared" si="26"/>
        <v>-</v>
      </c>
      <c r="G61" s="217">
        <f>IFERROR(GETPIVOTDATA("dato",'[1]evolucion mensual nacionali'!$A$4,"indicador","BÉLGICA","mes",10,"año",2006),"-")</f>
        <v>29</v>
      </c>
      <c r="H61" s="218" t="str">
        <f t="shared" si="27"/>
        <v>-</v>
      </c>
      <c r="I61" s="217">
        <f>IFERROR(GETPIVOTDATA("dato",'[1]evolucion mensual nacionali'!$A$4,"indicador","ALEMANIA","mes",10,"año",2006),"-")</f>
        <v>211</v>
      </c>
      <c r="J61" s="218" t="str">
        <f t="shared" si="28"/>
        <v>-</v>
      </c>
      <c r="K61" s="217">
        <f>IFERROR(GETPIVOTDATA("dato",'[1]evolucion mensual nacionali'!$A$4,"indicador","FRANCIA","mes",10,"año",2006),"-")</f>
        <v>188</v>
      </c>
      <c r="L61" s="218" t="str">
        <f t="shared" si="29"/>
        <v>-</v>
      </c>
      <c r="M61" s="217">
        <f>IFERROR(GETPIVOTDATA("dato",'[1]evolucion mensual nacionali'!$A$4,"indicador","REINO UNIDO","mes",10,"año",2006),"-")</f>
        <v>208</v>
      </c>
      <c r="N61" s="218" t="str">
        <f t="shared" si="30"/>
        <v>-</v>
      </c>
      <c r="O61" s="217">
        <f>IFERROR(GETPIVOTDATA("dato",'[1]evolucion mensual nacionali'!$A$4,"indicador","IRLANDA","mes",10,"año",2006),"-")</f>
        <v>18</v>
      </c>
      <c r="P61" s="218" t="str">
        <f t="shared" si="31"/>
        <v>-</v>
      </c>
      <c r="Q61" s="217">
        <f>IFERROR(GETPIVOTDATA("dato",'[1]evolucion mensual nacionali'!$A$4,"indicador","ITALIA","mes",10,"año",2006),"-")</f>
        <v>179</v>
      </c>
      <c r="R61" s="218" t="str">
        <f t="shared" si="32"/>
        <v>-</v>
      </c>
      <c r="S61" s="217">
        <f t="shared" si="54"/>
        <v>87</v>
      </c>
      <c r="T61" s="218" t="str">
        <f t="shared" si="33"/>
        <v>-</v>
      </c>
      <c r="U61" s="217">
        <f>IFERROR(GETPIVOTDATA("dato",'[1]evolucion mensual nacionali'!$A$4,"indicador","SUECIA","mes",10,"año",2006),"-")</f>
        <v>25</v>
      </c>
      <c r="V61" s="218" t="str">
        <f t="shared" si="34"/>
        <v>-</v>
      </c>
      <c r="W61" s="217">
        <f>IFERROR(GETPIVOTDATA("dato",'[1]evolucion mensual nacionali'!$A$4,"indicador","NORUEGA","mes",10,"año",2006),"-")</f>
        <v>21</v>
      </c>
      <c r="X61" s="218" t="str">
        <f t="shared" si="35"/>
        <v>-</v>
      </c>
      <c r="Y61" s="217">
        <f>IFERROR(GETPIVOTDATA("dato",'[1]evolucion mensual nacionali'!$A$4,"indicador","DINAMARCA","mes",10,"año",2006),"-")</f>
        <v>13</v>
      </c>
      <c r="Z61" s="218" t="str">
        <f t="shared" si="36"/>
        <v>-</v>
      </c>
      <c r="AA61" s="217">
        <f>IFERROR(GETPIVOTDATA("dato",'[1]evolucion mensual nacionali'!$A$4,"indicador","FINLANDIA","mes",10,"año",2006),"-")</f>
        <v>28</v>
      </c>
      <c r="AB61" s="218" t="str">
        <f t="shared" si="37"/>
        <v>-</v>
      </c>
      <c r="AC61" s="217">
        <f>IFERROR(GETPIVOTDATA("dato",'[1]evolucion mensual nacionali'!$A$4,"indicador","SUIZA","mes",10,"año",2006),"-")</f>
        <v>108</v>
      </c>
      <c r="AD61" s="218" t="str">
        <f t="shared" si="38"/>
        <v>-</v>
      </c>
      <c r="AE61" s="217">
        <f>IFERROR(GETPIVOTDATA("dato",'[1]evolucion mensual nacionali'!$A$4,"indicador","AUSTRIA","mes",10,"año",2006),"-")</f>
        <v>25</v>
      </c>
      <c r="AF61" s="218" t="str">
        <f t="shared" si="39"/>
        <v>-</v>
      </c>
      <c r="AG61" s="217">
        <f>IFERROR(GETPIVOTDATA("dato",'[1]evolucion mensual nacionali'!$A$4,"indicador","RUSIA","mes",10,"año",2006),"-")</f>
        <v>14</v>
      </c>
      <c r="AH61" s="218" t="str">
        <f t="shared" si="40"/>
        <v>-</v>
      </c>
      <c r="AI61" s="217">
        <f>IFERROR(GETPIVOTDATA("dato",'[1]evolucion mensual nacionali'!$A$4,"indicador","PAÍSES DEL ESTE","mes",10,"año",2006),"-")</f>
        <v>39</v>
      </c>
      <c r="AJ61" s="218" t="str">
        <f t="shared" si="41"/>
        <v>-</v>
      </c>
      <c r="AK61" s="217">
        <f>IFERROR(GETPIVOTDATA("dato",'[1]evolucion mensual nacionali'!$A$4,"indicador","RESTO DE EUROPA","mes",10,"año",2006),"-")</f>
        <v>124</v>
      </c>
      <c r="AL61" s="218" t="str">
        <f t="shared" si="42"/>
        <v>-</v>
      </c>
      <c r="AM61" s="217">
        <f>IFERROR(GETPIVOTDATA("dato",'[1]evolucion mensual nacionali'!$A$4,"indicador","USA","mes",10,"año",2006),"-")</f>
        <v>42</v>
      </c>
      <c r="AN61" s="218" t="str">
        <f t="shared" si="43"/>
        <v>-</v>
      </c>
      <c r="AO61" s="217">
        <f>IFERROR(GETPIVOTDATA("dato",'[1]evolucion mensual nacionali'!$A$4,"indicador","RESTO DE AMÉRICA","mes",10,"año",2006),"-")</f>
        <v>505</v>
      </c>
      <c r="AP61" s="218" t="str">
        <f t="shared" si="44"/>
        <v>-</v>
      </c>
      <c r="AQ61" s="217">
        <f>IFERROR(GETPIVOTDATA("dato",'[1]evolucion mensual nacionali'!$A$4,"indicador","RESTO DEL MUNDO","mes",10,"año",2006),"-")</f>
        <v>183</v>
      </c>
      <c r="AR61" s="218" t="str">
        <f t="shared" si="45"/>
        <v>-</v>
      </c>
      <c r="AS61" s="217">
        <f t="shared" si="55"/>
        <v>2008</v>
      </c>
      <c r="AT61" s="218" t="str">
        <f t="shared" si="46"/>
        <v>-</v>
      </c>
      <c r="AU61" s="204">
        <f>IFERROR(GETPIVOTDATA("dato",'[1]evolucion mensual nacionali'!$A$4,"indicador","TOTAL","mes",10,"año",2006),"-")</f>
        <v>15731</v>
      </c>
      <c r="AV61" s="205" t="str">
        <f t="shared" si="47"/>
        <v>-</v>
      </c>
    </row>
    <row r="62" spans="2:48" hidden="1" outlineLevel="1">
      <c r="B62" s="51" t="s">
        <v>41</v>
      </c>
      <c r="C62" s="217">
        <f>IFERROR(GETPIVOTDATA("dato",'[1]evolucion mensual nacionali'!$A$4,"indicador","España","mes",9,"año",2006),"-")</f>
        <v>12437</v>
      </c>
      <c r="D62" s="218" t="str">
        <f t="shared" si="25"/>
        <v>-</v>
      </c>
      <c r="E62" s="217">
        <f>IFERROR(GETPIVOTDATA("dato",'[1]evolucion mensual nacionali'!$A$4,"indicador","HOLANDA","mes",9,"año",2006),"-")</f>
        <v>66</v>
      </c>
      <c r="F62" s="218" t="str">
        <f t="shared" si="26"/>
        <v>-</v>
      </c>
      <c r="G62" s="217">
        <f>IFERROR(GETPIVOTDATA("dato",'[1]evolucion mensual nacionali'!$A$4,"indicador","BÉLGICA","mes",9,"año",2006),"-")</f>
        <v>39</v>
      </c>
      <c r="H62" s="218" t="str">
        <f t="shared" si="27"/>
        <v>-</v>
      </c>
      <c r="I62" s="217">
        <f>IFERROR(GETPIVOTDATA("dato",'[1]evolucion mensual nacionali'!$A$4,"indicador","ALEMANIA","mes",9,"año",2006),"-")</f>
        <v>234</v>
      </c>
      <c r="J62" s="218" t="str">
        <f t="shared" si="28"/>
        <v>-</v>
      </c>
      <c r="K62" s="217">
        <f>IFERROR(GETPIVOTDATA("dato",'[1]evolucion mensual nacionali'!$A$4,"indicador","FRANCIA","mes",9,"año",2006),"-")</f>
        <v>124</v>
      </c>
      <c r="L62" s="218" t="str">
        <f t="shared" si="29"/>
        <v>-</v>
      </c>
      <c r="M62" s="217">
        <f>IFERROR(GETPIVOTDATA("dato",'[1]evolucion mensual nacionali'!$A$4,"indicador","REINO UNIDO","mes",9,"año",2006),"-")</f>
        <v>189</v>
      </c>
      <c r="N62" s="218" t="str">
        <f t="shared" si="30"/>
        <v>-</v>
      </c>
      <c r="O62" s="217">
        <f>IFERROR(GETPIVOTDATA("dato",'[1]evolucion mensual nacionali'!$A$4,"indicador","IRLANDA","mes",9,"año",2006),"-")</f>
        <v>12</v>
      </c>
      <c r="P62" s="218" t="str">
        <f t="shared" si="31"/>
        <v>-</v>
      </c>
      <c r="Q62" s="217">
        <f>IFERROR(GETPIVOTDATA("dato",'[1]evolucion mensual nacionali'!$A$4,"indicador","ITALIA","mes",9,"año",2006),"-")</f>
        <v>224</v>
      </c>
      <c r="R62" s="218" t="str">
        <f t="shared" si="32"/>
        <v>-</v>
      </c>
      <c r="S62" s="217">
        <f t="shared" si="54"/>
        <v>70</v>
      </c>
      <c r="T62" s="218" t="str">
        <f t="shared" si="33"/>
        <v>-</v>
      </c>
      <c r="U62" s="217">
        <f>IFERROR(GETPIVOTDATA("dato",'[1]evolucion mensual nacionali'!$A$4,"indicador","SUECIA","mes",9,"año",2006),"-")</f>
        <v>24</v>
      </c>
      <c r="V62" s="218" t="str">
        <f t="shared" si="34"/>
        <v>-</v>
      </c>
      <c r="W62" s="217">
        <f>IFERROR(GETPIVOTDATA("dato",'[1]evolucion mensual nacionali'!$A$4,"indicador","NORUEGA","mes",9,"año",2006),"-")</f>
        <v>14</v>
      </c>
      <c r="X62" s="218" t="str">
        <f t="shared" si="35"/>
        <v>-</v>
      </c>
      <c r="Y62" s="217">
        <f>IFERROR(GETPIVOTDATA("dato",'[1]evolucion mensual nacionali'!$A$4,"indicador","DINAMARCA","mes",9,"año",2006),"-")</f>
        <v>15</v>
      </c>
      <c r="Z62" s="218" t="str">
        <f t="shared" si="36"/>
        <v>-</v>
      </c>
      <c r="AA62" s="217">
        <f>IFERROR(GETPIVOTDATA("dato",'[1]evolucion mensual nacionali'!$A$4,"indicador","FINLANDIA","mes",9,"año",2006),"-")</f>
        <v>17</v>
      </c>
      <c r="AB62" s="218" t="str">
        <f t="shared" si="37"/>
        <v>-</v>
      </c>
      <c r="AC62" s="217">
        <f>IFERROR(GETPIVOTDATA("dato",'[1]evolucion mensual nacionali'!$A$4,"indicador","SUIZA","mes",9,"año",2006),"-")</f>
        <v>45</v>
      </c>
      <c r="AD62" s="218" t="str">
        <f t="shared" si="38"/>
        <v>-</v>
      </c>
      <c r="AE62" s="217">
        <f>IFERROR(GETPIVOTDATA("dato",'[1]evolucion mensual nacionali'!$A$4,"indicador","AUSTRIA","mes",9,"año",2006),"-")</f>
        <v>29</v>
      </c>
      <c r="AF62" s="218" t="str">
        <f t="shared" si="39"/>
        <v>-</v>
      </c>
      <c r="AG62" s="217">
        <f>IFERROR(GETPIVOTDATA("dato",'[1]evolucion mensual nacionali'!$A$4,"indicador","RUSIA","mes",9,"año",2006),"-")</f>
        <v>6</v>
      </c>
      <c r="AH62" s="218" t="str">
        <f t="shared" si="40"/>
        <v>-</v>
      </c>
      <c r="AI62" s="217">
        <f>IFERROR(GETPIVOTDATA("dato",'[1]evolucion mensual nacionali'!$A$4,"indicador","PAÍSES DEL ESTE","mes",9,"año",2006),"-")</f>
        <v>38</v>
      </c>
      <c r="AJ62" s="218" t="str">
        <f t="shared" si="41"/>
        <v>-</v>
      </c>
      <c r="AK62" s="217">
        <f>IFERROR(GETPIVOTDATA("dato",'[1]evolucion mensual nacionali'!$A$4,"indicador","RESTO DE EUROPA","mes",9,"año",2006),"-")</f>
        <v>81</v>
      </c>
      <c r="AL62" s="218" t="str">
        <f t="shared" si="42"/>
        <v>-</v>
      </c>
      <c r="AM62" s="217">
        <f>IFERROR(GETPIVOTDATA("dato",'[1]evolucion mensual nacionali'!$A$4,"indicador","USA","mes",9,"año",2006),"-")</f>
        <v>56</v>
      </c>
      <c r="AN62" s="218" t="str">
        <f t="shared" si="43"/>
        <v>-</v>
      </c>
      <c r="AO62" s="217">
        <f>IFERROR(GETPIVOTDATA("dato",'[1]evolucion mensual nacionali'!$A$4,"indicador","RESTO DE AMÉRICA","mes",9,"año",2006),"-")</f>
        <v>492</v>
      </c>
      <c r="AP62" s="218" t="str">
        <f t="shared" si="44"/>
        <v>-</v>
      </c>
      <c r="AQ62" s="217">
        <f>IFERROR(GETPIVOTDATA("dato",'[1]evolucion mensual nacionali'!$A$4,"indicador","RESTO DEL MUNDO","mes",9,"año",2006),"-")</f>
        <v>261</v>
      </c>
      <c r="AR62" s="218" t="str">
        <f t="shared" si="45"/>
        <v>-</v>
      </c>
      <c r="AS62" s="217">
        <f t="shared" si="55"/>
        <v>1966</v>
      </c>
      <c r="AT62" s="218" t="str">
        <f t="shared" si="46"/>
        <v>-</v>
      </c>
      <c r="AU62" s="204">
        <f>IFERROR(GETPIVOTDATA("dato",'[1]evolucion mensual nacionali'!$A$4,"indicador","TOTAL","mes",9,"año",2006),"-")</f>
        <v>14403</v>
      </c>
      <c r="AV62" s="205" t="str">
        <f t="shared" si="47"/>
        <v>-</v>
      </c>
    </row>
    <row r="63" spans="2:48" hidden="1" outlineLevel="1">
      <c r="B63" s="51" t="s">
        <v>42</v>
      </c>
      <c r="C63" s="217">
        <f>IFERROR(GETPIVOTDATA("dato",'[1]evolucion mensual nacionali'!$A$4,"indicador","España","mes",8,"año",2006),"-")</f>
        <v>9283</v>
      </c>
      <c r="D63" s="218" t="str">
        <f t="shared" si="25"/>
        <v>-</v>
      </c>
      <c r="E63" s="217">
        <f>IFERROR(GETPIVOTDATA("dato",'[1]evolucion mensual nacionali'!$A$4,"indicador","HOLANDA","mes",8,"año",2006),"-")</f>
        <v>59</v>
      </c>
      <c r="F63" s="218" t="str">
        <f t="shared" si="26"/>
        <v>-</v>
      </c>
      <c r="G63" s="217">
        <f>IFERROR(GETPIVOTDATA("dato",'[1]evolucion mensual nacionali'!$A$4,"indicador","BÉLGICA","mes",8,"año",2006),"-")</f>
        <v>30</v>
      </c>
      <c r="H63" s="218" t="str">
        <f t="shared" si="27"/>
        <v>-</v>
      </c>
      <c r="I63" s="217">
        <f>IFERROR(GETPIVOTDATA("dato",'[1]evolucion mensual nacionali'!$A$4,"indicador","ALEMANIA","mes",8,"año",2006),"-")</f>
        <v>340</v>
      </c>
      <c r="J63" s="218" t="str">
        <f t="shared" si="28"/>
        <v>-</v>
      </c>
      <c r="K63" s="217">
        <f>IFERROR(GETPIVOTDATA("dato",'[1]evolucion mensual nacionali'!$A$4,"indicador","FRANCIA","mes",8,"año",2006),"-")</f>
        <v>216</v>
      </c>
      <c r="L63" s="218" t="str">
        <f t="shared" si="29"/>
        <v>-</v>
      </c>
      <c r="M63" s="217">
        <f>IFERROR(GETPIVOTDATA("dato",'[1]evolucion mensual nacionali'!$A$4,"indicador","REINO UNIDO","mes",8,"año",2006),"-")</f>
        <v>169</v>
      </c>
      <c r="N63" s="218" t="str">
        <f t="shared" si="30"/>
        <v>-</v>
      </c>
      <c r="O63" s="217">
        <f>IFERROR(GETPIVOTDATA("dato",'[1]evolucion mensual nacionali'!$A$4,"indicador","IRLANDA","mes",8,"año",2006),"-")</f>
        <v>23</v>
      </c>
      <c r="P63" s="218" t="str">
        <f t="shared" si="31"/>
        <v>-</v>
      </c>
      <c r="Q63" s="217">
        <f>IFERROR(GETPIVOTDATA("dato",'[1]evolucion mensual nacionali'!$A$4,"indicador","ITALIA","mes",8,"año",2006),"-")</f>
        <v>422</v>
      </c>
      <c r="R63" s="218" t="str">
        <f t="shared" si="32"/>
        <v>-</v>
      </c>
      <c r="S63" s="217">
        <f t="shared" si="54"/>
        <v>49</v>
      </c>
      <c r="T63" s="218" t="str">
        <f t="shared" si="33"/>
        <v>-</v>
      </c>
      <c r="U63" s="217">
        <f>IFERROR(GETPIVOTDATA("dato",'[1]evolucion mensual nacionali'!$A$4,"indicador","SUECIA","mes",8,"año",2006),"-")</f>
        <v>7</v>
      </c>
      <c r="V63" s="218" t="str">
        <f t="shared" si="34"/>
        <v>-</v>
      </c>
      <c r="W63" s="217">
        <f>IFERROR(GETPIVOTDATA("dato",'[1]evolucion mensual nacionali'!$A$4,"indicador","NORUEGA","mes",8,"año",2006),"-")</f>
        <v>20</v>
      </c>
      <c r="X63" s="218" t="str">
        <f t="shared" si="35"/>
        <v>-</v>
      </c>
      <c r="Y63" s="217">
        <f>IFERROR(GETPIVOTDATA("dato",'[1]evolucion mensual nacionali'!$A$4,"indicador","DINAMARCA","mes",8,"año",2006),"-")</f>
        <v>9</v>
      </c>
      <c r="Z63" s="218" t="str">
        <f t="shared" si="36"/>
        <v>-</v>
      </c>
      <c r="AA63" s="217">
        <f>IFERROR(GETPIVOTDATA("dato",'[1]evolucion mensual nacionali'!$A$4,"indicador","FINLANDIA","mes",8,"año",2006),"-")</f>
        <v>13</v>
      </c>
      <c r="AB63" s="218" t="str">
        <f t="shared" si="37"/>
        <v>-</v>
      </c>
      <c r="AC63" s="217">
        <f>IFERROR(GETPIVOTDATA("dato",'[1]evolucion mensual nacionali'!$A$4,"indicador","SUIZA","mes",8,"año",2006),"-")</f>
        <v>22</v>
      </c>
      <c r="AD63" s="218" t="str">
        <f t="shared" si="38"/>
        <v>-</v>
      </c>
      <c r="AE63" s="217">
        <f>IFERROR(GETPIVOTDATA("dato",'[1]evolucion mensual nacionali'!$A$4,"indicador","AUSTRIA","mes",8,"año",2006),"-")</f>
        <v>12</v>
      </c>
      <c r="AF63" s="218" t="str">
        <f t="shared" si="39"/>
        <v>-</v>
      </c>
      <c r="AG63" s="217">
        <f>IFERROR(GETPIVOTDATA("dato",'[1]evolucion mensual nacionali'!$A$4,"indicador","RUSIA","mes",8,"año",2006),"-")</f>
        <v>9</v>
      </c>
      <c r="AH63" s="218" t="str">
        <f t="shared" si="40"/>
        <v>-</v>
      </c>
      <c r="AI63" s="217">
        <f>IFERROR(GETPIVOTDATA("dato",'[1]evolucion mensual nacionali'!$A$4,"indicador","PAÍSES DEL ESTE","mes",8,"año",2006),"-")</f>
        <v>51</v>
      </c>
      <c r="AJ63" s="218" t="str">
        <f t="shared" si="41"/>
        <v>-</v>
      </c>
      <c r="AK63" s="217">
        <f>IFERROR(GETPIVOTDATA("dato",'[1]evolucion mensual nacionali'!$A$4,"indicador","RESTO DE EUROPA","mes",8,"año",2006),"-")</f>
        <v>61</v>
      </c>
      <c r="AL63" s="218" t="str">
        <f t="shared" si="42"/>
        <v>-</v>
      </c>
      <c r="AM63" s="217">
        <f>IFERROR(GETPIVOTDATA("dato",'[1]evolucion mensual nacionali'!$A$4,"indicador","USA","mes",8,"año",2006),"-")</f>
        <v>42</v>
      </c>
      <c r="AN63" s="218" t="str">
        <f t="shared" si="43"/>
        <v>-</v>
      </c>
      <c r="AO63" s="217">
        <f>IFERROR(GETPIVOTDATA("dato",'[1]evolucion mensual nacionali'!$A$4,"indicador","RESTO DE AMÉRICA","mes",8,"año",2006),"-")</f>
        <v>333</v>
      </c>
      <c r="AP63" s="218" t="str">
        <f t="shared" si="44"/>
        <v>-</v>
      </c>
      <c r="AQ63" s="217">
        <f>IFERROR(GETPIVOTDATA("dato",'[1]evolucion mensual nacionali'!$A$4,"indicador","RESTO DEL MUNDO","mes",8,"año",2006),"-")</f>
        <v>110</v>
      </c>
      <c r="AR63" s="218" t="str">
        <f t="shared" si="45"/>
        <v>-</v>
      </c>
      <c r="AS63" s="217">
        <f t="shared" si="55"/>
        <v>1948</v>
      </c>
      <c r="AT63" s="218" t="str">
        <f t="shared" si="46"/>
        <v>-</v>
      </c>
      <c r="AU63" s="204">
        <f>IFERROR(GETPIVOTDATA("dato",'[1]evolucion mensual nacionali'!$A$4,"indicador","TOTAL","mes",8,"año",2006),"-")</f>
        <v>11231</v>
      </c>
      <c r="AV63" s="205" t="str">
        <f t="shared" si="47"/>
        <v>-</v>
      </c>
    </row>
    <row r="64" spans="2:48" hidden="1" outlineLevel="1">
      <c r="B64" s="51" t="s">
        <v>43</v>
      </c>
      <c r="C64" s="217">
        <f>IFERROR(GETPIVOTDATA("dato",'[1]evolucion mensual nacionali'!$A$4,"indicador","España","mes",7,"año",2006),"-")</f>
        <v>12905</v>
      </c>
      <c r="D64" s="218" t="str">
        <f t="shared" si="25"/>
        <v>-</v>
      </c>
      <c r="E64" s="217">
        <f>IFERROR(GETPIVOTDATA("dato",'[1]evolucion mensual nacionali'!$A$4,"indicador","HOLANDA","mes",7,"año",2006),"-")</f>
        <v>70</v>
      </c>
      <c r="F64" s="218" t="str">
        <f t="shared" si="26"/>
        <v>-</v>
      </c>
      <c r="G64" s="217">
        <f>IFERROR(GETPIVOTDATA("dato",'[1]evolucion mensual nacionali'!$A$4,"indicador","BÉLGICA","mes",7,"año",2006),"-")</f>
        <v>54</v>
      </c>
      <c r="H64" s="218" t="str">
        <f t="shared" si="27"/>
        <v>-</v>
      </c>
      <c r="I64" s="217">
        <f>IFERROR(GETPIVOTDATA("dato",'[1]evolucion mensual nacionali'!$A$4,"indicador","ALEMANIA","mes",7,"año",2006),"-")</f>
        <v>154</v>
      </c>
      <c r="J64" s="218" t="str">
        <f t="shared" si="28"/>
        <v>-</v>
      </c>
      <c r="K64" s="217">
        <f>IFERROR(GETPIVOTDATA("dato",'[1]evolucion mensual nacionali'!$A$4,"indicador","FRANCIA","mes",7,"año",2006),"-")</f>
        <v>155</v>
      </c>
      <c r="L64" s="218" t="str">
        <f t="shared" si="29"/>
        <v>-</v>
      </c>
      <c r="M64" s="217">
        <f>IFERROR(GETPIVOTDATA("dato",'[1]evolucion mensual nacionali'!$A$4,"indicador","REINO UNIDO","mes",7,"año",2006),"-")</f>
        <v>217</v>
      </c>
      <c r="N64" s="218" t="str">
        <f t="shared" si="30"/>
        <v>-</v>
      </c>
      <c r="O64" s="217">
        <f>IFERROR(GETPIVOTDATA("dato",'[1]evolucion mensual nacionali'!$A$4,"indicador","IRLANDA","mes",7,"año",2006),"-")</f>
        <v>32</v>
      </c>
      <c r="P64" s="218" t="str">
        <f t="shared" si="31"/>
        <v>-</v>
      </c>
      <c r="Q64" s="217">
        <f>IFERROR(GETPIVOTDATA("dato",'[1]evolucion mensual nacionali'!$A$4,"indicador","ITALIA","mes",7,"año",2006),"-")</f>
        <v>229</v>
      </c>
      <c r="R64" s="218" t="str">
        <f t="shared" si="32"/>
        <v>-</v>
      </c>
      <c r="S64" s="217">
        <f t="shared" si="54"/>
        <v>87</v>
      </c>
      <c r="T64" s="218" t="str">
        <f t="shared" si="33"/>
        <v>-</v>
      </c>
      <c r="U64" s="217">
        <f>IFERROR(GETPIVOTDATA("dato",'[1]evolucion mensual nacionali'!$A$4,"indicador","SUECIA","mes",7,"año",2006),"-")</f>
        <v>34</v>
      </c>
      <c r="V64" s="218" t="str">
        <f t="shared" si="34"/>
        <v>-</v>
      </c>
      <c r="W64" s="217">
        <f>IFERROR(GETPIVOTDATA("dato",'[1]evolucion mensual nacionali'!$A$4,"indicador","NORUEGA","mes",7,"año",2006),"-")</f>
        <v>22</v>
      </c>
      <c r="X64" s="218" t="str">
        <f t="shared" si="35"/>
        <v>-</v>
      </c>
      <c r="Y64" s="217">
        <f>IFERROR(GETPIVOTDATA("dato",'[1]evolucion mensual nacionali'!$A$4,"indicador","DINAMARCA","mes",7,"año",2006),"-")</f>
        <v>20</v>
      </c>
      <c r="Z64" s="218" t="str">
        <f t="shared" si="36"/>
        <v>-</v>
      </c>
      <c r="AA64" s="217">
        <f>IFERROR(GETPIVOTDATA("dato",'[1]evolucion mensual nacionali'!$A$4,"indicador","FINLANDIA","mes",7,"año",2006),"-")</f>
        <v>11</v>
      </c>
      <c r="AB64" s="218" t="str">
        <f t="shared" si="37"/>
        <v>-</v>
      </c>
      <c r="AC64" s="217">
        <f>IFERROR(GETPIVOTDATA("dato",'[1]evolucion mensual nacionali'!$A$4,"indicador","SUIZA","mes",7,"año",2006),"-")</f>
        <v>30</v>
      </c>
      <c r="AD64" s="218" t="str">
        <f t="shared" si="38"/>
        <v>-</v>
      </c>
      <c r="AE64" s="217">
        <f>IFERROR(GETPIVOTDATA("dato",'[1]evolucion mensual nacionali'!$A$4,"indicador","AUSTRIA","mes",7,"año",2006),"-")</f>
        <v>16</v>
      </c>
      <c r="AF64" s="218" t="str">
        <f t="shared" si="39"/>
        <v>-</v>
      </c>
      <c r="AG64" s="217">
        <f>IFERROR(GETPIVOTDATA("dato",'[1]evolucion mensual nacionali'!$A$4,"indicador","RUSIA","mes",7,"año",2006),"-")</f>
        <v>23</v>
      </c>
      <c r="AH64" s="218" t="str">
        <f t="shared" si="40"/>
        <v>-</v>
      </c>
      <c r="AI64" s="217">
        <f>IFERROR(GETPIVOTDATA("dato",'[1]evolucion mensual nacionali'!$A$4,"indicador","PAÍSES DEL ESTE","mes",7,"año",2006),"-")</f>
        <v>50</v>
      </c>
      <c r="AJ64" s="218" t="str">
        <f t="shared" si="41"/>
        <v>-</v>
      </c>
      <c r="AK64" s="217">
        <f>IFERROR(GETPIVOTDATA("dato",'[1]evolucion mensual nacionali'!$A$4,"indicador","RESTO DE EUROPA","mes",7,"año",2006),"-")</f>
        <v>104</v>
      </c>
      <c r="AL64" s="218" t="str">
        <f t="shared" si="42"/>
        <v>-</v>
      </c>
      <c r="AM64" s="217">
        <f>IFERROR(GETPIVOTDATA("dato",'[1]evolucion mensual nacionali'!$A$4,"indicador","USA","mes",7,"año",2006),"-")</f>
        <v>67</v>
      </c>
      <c r="AN64" s="218" t="str">
        <f t="shared" si="43"/>
        <v>-</v>
      </c>
      <c r="AO64" s="217">
        <f>IFERROR(GETPIVOTDATA("dato",'[1]evolucion mensual nacionali'!$A$4,"indicador","RESTO DE AMÉRICA","mes",7,"año",2006),"-")</f>
        <v>433</v>
      </c>
      <c r="AP64" s="218" t="str">
        <f t="shared" si="44"/>
        <v>-</v>
      </c>
      <c r="AQ64" s="217">
        <f>IFERROR(GETPIVOTDATA("dato",'[1]evolucion mensual nacionali'!$A$4,"indicador","RESTO DEL MUNDO","mes",7,"año",2006),"-")</f>
        <v>132</v>
      </c>
      <c r="AR64" s="218" t="str">
        <f t="shared" si="45"/>
        <v>-</v>
      </c>
      <c r="AS64" s="217">
        <f t="shared" si="55"/>
        <v>1853</v>
      </c>
      <c r="AT64" s="218" t="str">
        <f t="shared" si="46"/>
        <v>-</v>
      </c>
      <c r="AU64" s="204">
        <f>IFERROR(GETPIVOTDATA("dato",'[1]evolucion mensual nacionali'!$A$4,"indicador","TOTAL","mes",7,"año",2006),"-")</f>
        <v>14758</v>
      </c>
      <c r="AV64" s="205" t="str">
        <f t="shared" si="47"/>
        <v>-</v>
      </c>
    </row>
    <row r="65" spans="2:48" hidden="1" outlineLevel="1">
      <c r="B65" s="51" t="s">
        <v>44</v>
      </c>
      <c r="C65" s="217">
        <f>IFERROR(GETPIVOTDATA("dato",'[1]evolucion mensual nacionali'!$A$4,"indicador","España","mes",6,"año",2006),"-")</f>
        <v>13968</v>
      </c>
      <c r="D65" s="218" t="str">
        <f t="shared" si="25"/>
        <v>-</v>
      </c>
      <c r="E65" s="217">
        <f>IFERROR(GETPIVOTDATA("dato",'[1]evolucion mensual nacionali'!$A$4,"indicador","HOLANDA","mes",6,"año",2006),"-")</f>
        <v>49</v>
      </c>
      <c r="F65" s="218" t="str">
        <f t="shared" si="26"/>
        <v>-</v>
      </c>
      <c r="G65" s="217">
        <f>IFERROR(GETPIVOTDATA("dato",'[1]evolucion mensual nacionali'!$A$4,"indicador","BÉLGICA","mes",6,"año",2006),"-")</f>
        <v>39</v>
      </c>
      <c r="H65" s="218" t="str">
        <f t="shared" si="27"/>
        <v>-</v>
      </c>
      <c r="I65" s="217">
        <f>IFERROR(GETPIVOTDATA("dato",'[1]evolucion mensual nacionali'!$A$4,"indicador","ALEMANIA","mes",6,"año",2006),"-")</f>
        <v>167</v>
      </c>
      <c r="J65" s="218" t="str">
        <f t="shared" si="28"/>
        <v>-</v>
      </c>
      <c r="K65" s="217">
        <f>IFERROR(GETPIVOTDATA("dato",'[1]evolucion mensual nacionali'!$A$4,"indicador","FRANCIA","mes",6,"año",2006),"-")</f>
        <v>136</v>
      </c>
      <c r="L65" s="218" t="str">
        <f t="shared" si="29"/>
        <v>-</v>
      </c>
      <c r="M65" s="217">
        <f>IFERROR(GETPIVOTDATA("dato",'[1]evolucion mensual nacionali'!$A$4,"indicador","REINO UNIDO","mes",6,"año",2006),"-")</f>
        <v>174</v>
      </c>
      <c r="N65" s="218" t="str">
        <f t="shared" si="30"/>
        <v>-</v>
      </c>
      <c r="O65" s="217">
        <f>IFERROR(GETPIVOTDATA("dato",'[1]evolucion mensual nacionali'!$A$4,"indicador","IRLANDA","mes",6,"año",2006),"-")</f>
        <v>30</v>
      </c>
      <c r="P65" s="218" t="str">
        <f t="shared" si="31"/>
        <v>-</v>
      </c>
      <c r="Q65" s="217">
        <f>IFERROR(GETPIVOTDATA("dato",'[1]evolucion mensual nacionali'!$A$4,"indicador","ITALIA","mes",6,"año",2006),"-")</f>
        <v>158</v>
      </c>
      <c r="R65" s="218" t="str">
        <f t="shared" si="32"/>
        <v>-</v>
      </c>
      <c r="S65" s="217">
        <f t="shared" si="54"/>
        <v>89</v>
      </c>
      <c r="T65" s="218" t="str">
        <f t="shared" si="33"/>
        <v>-</v>
      </c>
      <c r="U65" s="217">
        <f>IFERROR(GETPIVOTDATA("dato",'[1]evolucion mensual nacionali'!$A$4,"indicador","SUECIA","mes",6,"año",2006),"-")</f>
        <v>19</v>
      </c>
      <c r="V65" s="218" t="str">
        <f t="shared" si="34"/>
        <v>-</v>
      </c>
      <c r="W65" s="217">
        <f>IFERROR(GETPIVOTDATA("dato",'[1]evolucion mensual nacionali'!$A$4,"indicador","NORUEGA","mes",6,"año",2006),"-")</f>
        <v>28</v>
      </c>
      <c r="X65" s="218" t="str">
        <f t="shared" si="35"/>
        <v>-</v>
      </c>
      <c r="Y65" s="217">
        <f>IFERROR(GETPIVOTDATA("dato",'[1]evolucion mensual nacionali'!$A$4,"indicador","DINAMARCA","mes",6,"año",2006),"-")</f>
        <v>19</v>
      </c>
      <c r="Z65" s="218" t="str">
        <f t="shared" si="36"/>
        <v>-</v>
      </c>
      <c r="AA65" s="217">
        <f>IFERROR(GETPIVOTDATA("dato",'[1]evolucion mensual nacionali'!$A$4,"indicador","FINLANDIA","mes",6,"año",2006),"-")</f>
        <v>23</v>
      </c>
      <c r="AB65" s="218" t="str">
        <f t="shared" si="37"/>
        <v>-</v>
      </c>
      <c r="AC65" s="217">
        <f>IFERROR(GETPIVOTDATA("dato",'[1]evolucion mensual nacionali'!$A$4,"indicador","SUIZA","mes",6,"año",2006),"-")</f>
        <v>24</v>
      </c>
      <c r="AD65" s="218" t="str">
        <f t="shared" si="38"/>
        <v>-</v>
      </c>
      <c r="AE65" s="217">
        <f>IFERROR(GETPIVOTDATA("dato",'[1]evolucion mensual nacionali'!$A$4,"indicador","AUSTRIA","mes",6,"año",2006),"-")</f>
        <v>16</v>
      </c>
      <c r="AF65" s="218" t="str">
        <f t="shared" si="39"/>
        <v>-</v>
      </c>
      <c r="AG65" s="217">
        <f>IFERROR(GETPIVOTDATA("dato",'[1]evolucion mensual nacionali'!$A$4,"indicador","RUSIA","mes",6,"año",2006),"-")</f>
        <v>17</v>
      </c>
      <c r="AH65" s="218" t="str">
        <f t="shared" si="40"/>
        <v>-</v>
      </c>
      <c r="AI65" s="217">
        <f>IFERROR(GETPIVOTDATA("dato",'[1]evolucion mensual nacionali'!$A$4,"indicador","PAÍSES DEL ESTE","mes",6,"año",2006),"-")</f>
        <v>39</v>
      </c>
      <c r="AJ65" s="218" t="str">
        <f t="shared" si="41"/>
        <v>-</v>
      </c>
      <c r="AK65" s="217">
        <f>IFERROR(GETPIVOTDATA("dato",'[1]evolucion mensual nacionali'!$A$4,"indicador","RESTO DE EUROPA","mes",6,"año",2006),"-")</f>
        <v>108</v>
      </c>
      <c r="AL65" s="218" t="str">
        <f t="shared" si="42"/>
        <v>-</v>
      </c>
      <c r="AM65" s="217">
        <f>IFERROR(GETPIVOTDATA("dato",'[1]evolucion mensual nacionali'!$A$4,"indicador","USA","mes",6,"año",2006),"-")</f>
        <v>81</v>
      </c>
      <c r="AN65" s="218" t="str">
        <f t="shared" si="43"/>
        <v>-</v>
      </c>
      <c r="AO65" s="217">
        <f>IFERROR(GETPIVOTDATA("dato",'[1]evolucion mensual nacionali'!$A$4,"indicador","RESTO DE AMÉRICA","mes",6,"año",2006),"-")</f>
        <v>460</v>
      </c>
      <c r="AP65" s="218" t="str">
        <f t="shared" si="44"/>
        <v>-</v>
      </c>
      <c r="AQ65" s="217">
        <f>IFERROR(GETPIVOTDATA("dato",'[1]evolucion mensual nacionali'!$A$4,"indicador","RESTO DEL MUNDO","mes",6,"año",2006),"-")</f>
        <v>192</v>
      </c>
      <c r="AR65" s="218" t="str">
        <f t="shared" si="45"/>
        <v>-</v>
      </c>
      <c r="AS65" s="217">
        <f t="shared" si="55"/>
        <v>1779</v>
      </c>
      <c r="AT65" s="218" t="str">
        <f t="shared" si="46"/>
        <v>-</v>
      </c>
      <c r="AU65" s="204">
        <f>IFERROR(GETPIVOTDATA("dato",'[1]evolucion mensual nacionali'!$A$4,"indicador","TOTAL","mes",6,"año",2006),"-")</f>
        <v>15747</v>
      </c>
      <c r="AV65" s="205" t="str">
        <f t="shared" si="47"/>
        <v>-</v>
      </c>
    </row>
    <row r="66" spans="2:48" hidden="1" outlineLevel="1">
      <c r="B66" s="51" t="s">
        <v>45</v>
      </c>
      <c r="C66" s="217">
        <f>IFERROR(GETPIVOTDATA("dato",'[1]evolucion mensual nacionali'!$A$4,"indicador","España","mes",5,"año",2006),"-")</f>
        <v>12976</v>
      </c>
      <c r="D66" s="218" t="str">
        <f t="shared" si="25"/>
        <v>-</v>
      </c>
      <c r="E66" s="217">
        <f>IFERROR(GETPIVOTDATA("dato",'[1]evolucion mensual nacionali'!$A$4,"indicador","HOLANDA","mes",5,"año",2006),"-")</f>
        <v>97</v>
      </c>
      <c r="F66" s="218" t="str">
        <f t="shared" si="26"/>
        <v>-</v>
      </c>
      <c r="G66" s="217">
        <f>IFERROR(GETPIVOTDATA("dato",'[1]evolucion mensual nacionali'!$A$4,"indicador","BÉLGICA","mes",5,"año",2006),"-")</f>
        <v>43</v>
      </c>
      <c r="H66" s="218" t="str">
        <f t="shared" si="27"/>
        <v>-</v>
      </c>
      <c r="I66" s="217">
        <f>IFERROR(GETPIVOTDATA("dato",'[1]evolucion mensual nacionali'!$A$4,"indicador","ALEMANIA","mes",5,"año",2006),"-")</f>
        <v>205</v>
      </c>
      <c r="J66" s="218" t="str">
        <f t="shared" si="28"/>
        <v>-</v>
      </c>
      <c r="K66" s="217">
        <f>IFERROR(GETPIVOTDATA("dato",'[1]evolucion mensual nacionali'!$A$4,"indicador","FRANCIA","mes",5,"año",2006),"-")</f>
        <v>174</v>
      </c>
      <c r="L66" s="218" t="str">
        <f t="shared" si="29"/>
        <v>-</v>
      </c>
      <c r="M66" s="217">
        <f>IFERROR(GETPIVOTDATA("dato",'[1]evolucion mensual nacionali'!$A$4,"indicador","REINO UNIDO","mes",5,"año",2006),"-")</f>
        <v>224</v>
      </c>
      <c r="N66" s="218" t="str">
        <f t="shared" si="30"/>
        <v>-</v>
      </c>
      <c r="O66" s="217">
        <f>IFERROR(GETPIVOTDATA("dato",'[1]evolucion mensual nacionali'!$A$4,"indicador","IRLANDA","mes",5,"año",2006),"-")</f>
        <v>22</v>
      </c>
      <c r="P66" s="218" t="str">
        <f t="shared" si="31"/>
        <v>-</v>
      </c>
      <c r="Q66" s="217">
        <f>IFERROR(GETPIVOTDATA("dato",'[1]evolucion mensual nacionali'!$A$4,"indicador","ITALIA","mes",5,"año",2006),"-")</f>
        <v>123</v>
      </c>
      <c r="R66" s="218" t="str">
        <f t="shared" si="32"/>
        <v>-</v>
      </c>
      <c r="S66" s="217">
        <f t="shared" si="54"/>
        <v>66</v>
      </c>
      <c r="T66" s="218" t="str">
        <f t="shared" si="33"/>
        <v>-</v>
      </c>
      <c r="U66" s="217">
        <f>IFERROR(GETPIVOTDATA("dato",'[1]evolucion mensual nacionali'!$A$4,"indicador","SUECIA","mes",5,"año",2006),"-")</f>
        <v>29</v>
      </c>
      <c r="V66" s="218" t="str">
        <f t="shared" si="34"/>
        <v>-</v>
      </c>
      <c r="W66" s="217">
        <f>IFERROR(GETPIVOTDATA("dato",'[1]evolucion mensual nacionali'!$A$4,"indicador","NORUEGA","mes",5,"año",2006),"-")</f>
        <v>4</v>
      </c>
      <c r="X66" s="218" t="str">
        <f t="shared" si="35"/>
        <v>-</v>
      </c>
      <c r="Y66" s="217">
        <f>IFERROR(GETPIVOTDATA("dato",'[1]evolucion mensual nacionali'!$A$4,"indicador","DINAMARCA","mes",5,"año",2006),"-")</f>
        <v>8</v>
      </c>
      <c r="Z66" s="218" t="str">
        <f t="shared" si="36"/>
        <v>-</v>
      </c>
      <c r="AA66" s="217">
        <f>IFERROR(GETPIVOTDATA("dato",'[1]evolucion mensual nacionali'!$A$4,"indicador","FINLANDIA","mes",5,"año",2006),"-")</f>
        <v>25</v>
      </c>
      <c r="AB66" s="218" t="str">
        <f t="shared" si="37"/>
        <v>-</v>
      </c>
      <c r="AC66" s="217">
        <f>IFERROR(GETPIVOTDATA("dato",'[1]evolucion mensual nacionali'!$A$4,"indicador","SUIZA","mes",5,"año",2006),"-")</f>
        <v>15</v>
      </c>
      <c r="AD66" s="218" t="str">
        <f t="shared" si="38"/>
        <v>-</v>
      </c>
      <c r="AE66" s="217">
        <f>IFERROR(GETPIVOTDATA("dato",'[1]evolucion mensual nacionali'!$A$4,"indicador","AUSTRIA","mes",5,"año",2006),"-")</f>
        <v>17</v>
      </c>
      <c r="AF66" s="218" t="str">
        <f t="shared" si="39"/>
        <v>-</v>
      </c>
      <c r="AG66" s="217">
        <f>IFERROR(GETPIVOTDATA("dato",'[1]evolucion mensual nacionali'!$A$4,"indicador","RUSIA","mes",5,"año",2006),"-")</f>
        <v>42</v>
      </c>
      <c r="AH66" s="218" t="str">
        <f t="shared" si="40"/>
        <v>-</v>
      </c>
      <c r="AI66" s="217">
        <f>IFERROR(GETPIVOTDATA("dato",'[1]evolucion mensual nacionali'!$A$4,"indicador","PAÍSES DEL ESTE","mes",5,"año",2006),"-")</f>
        <v>50</v>
      </c>
      <c r="AJ66" s="218" t="str">
        <f t="shared" si="41"/>
        <v>-</v>
      </c>
      <c r="AK66" s="217">
        <f>IFERROR(GETPIVOTDATA("dato",'[1]evolucion mensual nacionali'!$A$4,"indicador","RESTO DE EUROPA","mes",5,"año",2006),"-")</f>
        <v>149</v>
      </c>
      <c r="AL66" s="218" t="str">
        <f t="shared" si="42"/>
        <v>-</v>
      </c>
      <c r="AM66" s="217">
        <f>IFERROR(GETPIVOTDATA("dato",'[1]evolucion mensual nacionali'!$A$4,"indicador","USA","mes",5,"año",2006),"-")</f>
        <v>82</v>
      </c>
      <c r="AN66" s="218" t="str">
        <f t="shared" si="43"/>
        <v>-</v>
      </c>
      <c r="AO66" s="217">
        <f>IFERROR(GETPIVOTDATA("dato",'[1]evolucion mensual nacionali'!$A$4,"indicador","RESTO DE AMÉRICA","mes",5,"año",2006),"-")</f>
        <v>309</v>
      </c>
      <c r="AP66" s="218" t="str">
        <f t="shared" si="44"/>
        <v>-</v>
      </c>
      <c r="AQ66" s="217">
        <f>IFERROR(GETPIVOTDATA("dato",'[1]evolucion mensual nacionali'!$A$4,"indicador","RESTO DEL MUNDO","mes",5,"año",2006),"-")</f>
        <v>157</v>
      </c>
      <c r="AR66" s="218" t="str">
        <f t="shared" si="45"/>
        <v>-</v>
      </c>
      <c r="AS66" s="217">
        <f t="shared" si="55"/>
        <v>1775</v>
      </c>
      <c r="AT66" s="218" t="str">
        <f t="shared" si="46"/>
        <v>-</v>
      </c>
      <c r="AU66" s="204">
        <f>IFERROR(GETPIVOTDATA("dato",'[1]evolucion mensual nacionali'!$A$4,"indicador","TOTAL","mes",5,"año",2006),"-")</f>
        <v>14751</v>
      </c>
      <c r="AV66" s="205" t="str">
        <f t="shared" si="47"/>
        <v>-</v>
      </c>
    </row>
    <row r="67" spans="2:48" hidden="1" outlineLevel="1">
      <c r="B67" s="51" t="s">
        <v>46</v>
      </c>
      <c r="C67" s="217">
        <f>IFERROR(GETPIVOTDATA("dato",'[1]evolucion mensual nacionali'!$A$4,"indicador","España","mes",4,"año",2006),"-")</f>
        <v>11733</v>
      </c>
      <c r="D67" s="218" t="str">
        <f t="shared" si="25"/>
        <v>-</v>
      </c>
      <c r="E67" s="217">
        <f>IFERROR(GETPIVOTDATA("dato",'[1]evolucion mensual nacionali'!$A$4,"indicador","HOLANDA","mes",4,"año",2006),"-")</f>
        <v>43</v>
      </c>
      <c r="F67" s="218" t="str">
        <f t="shared" si="26"/>
        <v>-</v>
      </c>
      <c r="G67" s="217">
        <f>IFERROR(GETPIVOTDATA("dato",'[1]evolucion mensual nacionali'!$A$4,"indicador","BÉLGICA","mes",4,"año",2006),"-")</f>
        <v>36</v>
      </c>
      <c r="H67" s="218" t="str">
        <f t="shared" si="27"/>
        <v>-</v>
      </c>
      <c r="I67" s="217">
        <f>IFERROR(GETPIVOTDATA("dato",'[1]evolucion mensual nacionali'!$A$4,"indicador","ALEMANIA","mes",4,"año",2006),"-")</f>
        <v>293</v>
      </c>
      <c r="J67" s="218" t="str">
        <f t="shared" si="28"/>
        <v>-</v>
      </c>
      <c r="K67" s="217">
        <f>IFERROR(GETPIVOTDATA("dato",'[1]evolucion mensual nacionali'!$A$4,"indicador","FRANCIA","mes",4,"año",2006),"-")</f>
        <v>188</v>
      </c>
      <c r="L67" s="218" t="str">
        <f t="shared" si="29"/>
        <v>-</v>
      </c>
      <c r="M67" s="217">
        <f>IFERROR(GETPIVOTDATA("dato",'[1]evolucion mensual nacionali'!$A$4,"indicador","REINO UNIDO","mes",4,"año",2006),"-")</f>
        <v>263</v>
      </c>
      <c r="N67" s="218" t="str">
        <f t="shared" si="30"/>
        <v>-</v>
      </c>
      <c r="O67" s="217">
        <f>IFERROR(GETPIVOTDATA("dato",'[1]evolucion mensual nacionali'!$A$4,"indicador","IRLANDA","mes",4,"año",2006),"-")</f>
        <v>28</v>
      </c>
      <c r="P67" s="218" t="str">
        <f t="shared" si="31"/>
        <v>-</v>
      </c>
      <c r="Q67" s="217">
        <f>IFERROR(GETPIVOTDATA("dato",'[1]evolucion mensual nacionali'!$A$4,"indicador","ITALIA","mes",4,"año",2006),"-")</f>
        <v>151</v>
      </c>
      <c r="R67" s="218" t="str">
        <f t="shared" si="32"/>
        <v>-</v>
      </c>
      <c r="S67" s="217">
        <f t="shared" si="54"/>
        <v>261</v>
      </c>
      <c r="T67" s="218" t="str">
        <f t="shared" si="33"/>
        <v>-</v>
      </c>
      <c r="U67" s="217">
        <f>IFERROR(GETPIVOTDATA("dato",'[1]evolucion mensual nacionali'!$A$4,"indicador","SUECIA","mes",4,"año",2006),"-")</f>
        <v>191</v>
      </c>
      <c r="V67" s="218" t="str">
        <f t="shared" si="34"/>
        <v>-</v>
      </c>
      <c r="W67" s="217">
        <f>IFERROR(GETPIVOTDATA("dato",'[1]evolucion mensual nacionali'!$A$4,"indicador","NORUEGA","mes",4,"año",2006),"-")</f>
        <v>11</v>
      </c>
      <c r="X67" s="218" t="str">
        <f t="shared" si="35"/>
        <v>-</v>
      </c>
      <c r="Y67" s="217">
        <f>IFERROR(GETPIVOTDATA("dato",'[1]evolucion mensual nacionali'!$A$4,"indicador","DINAMARCA","mes",4,"año",2006),"-")</f>
        <v>15</v>
      </c>
      <c r="Z67" s="218" t="str">
        <f t="shared" si="36"/>
        <v>-</v>
      </c>
      <c r="AA67" s="217">
        <f>IFERROR(GETPIVOTDATA("dato",'[1]evolucion mensual nacionali'!$A$4,"indicador","FINLANDIA","mes",4,"año",2006),"-")</f>
        <v>44</v>
      </c>
      <c r="AB67" s="218" t="str">
        <f t="shared" si="37"/>
        <v>-</v>
      </c>
      <c r="AC67" s="217">
        <f>IFERROR(GETPIVOTDATA("dato",'[1]evolucion mensual nacionali'!$A$4,"indicador","SUIZA","mes",4,"año",2006),"-")</f>
        <v>50</v>
      </c>
      <c r="AD67" s="218" t="str">
        <f t="shared" si="38"/>
        <v>-</v>
      </c>
      <c r="AE67" s="217">
        <f>IFERROR(GETPIVOTDATA("dato",'[1]evolucion mensual nacionali'!$A$4,"indicador","AUSTRIA","mes",4,"año",2006),"-")</f>
        <v>24</v>
      </c>
      <c r="AF67" s="218" t="str">
        <f t="shared" si="39"/>
        <v>-</v>
      </c>
      <c r="AG67" s="217">
        <f>IFERROR(GETPIVOTDATA("dato",'[1]evolucion mensual nacionali'!$A$4,"indicador","RUSIA","mes",4,"año",2006),"-")</f>
        <v>52</v>
      </c>
      <c r="AH67" s="218" t="str">
        <f t="shared" si="40"/>
        <v>-</v>
      </c>
      <c r="AI67" s="217">
        <f>IFERROR(GETPIVOTDATA("dato",'[1]evolucion mensual nacionali'!$A$4,"indicador","PAÍSES DEL ESTE","mes",4,"año",2006),"-")</f>
        <v>54</v>
      </c>
      <c r="AJ67" s="218" t="str">
        <f t="shared" si="41"/>
        <v>-</v>
      </c>
      <c r="AK67" s="217">
        <f>IFERROR(GETPIVOTDATA("dato",'[1]evolucion mensual nacionali'!$A$4,"indicador","RESTO DE EUROPA","mes",4,"año",2006),"-")</f>
        <v>169</v>
      </c>
      <c r="AL67" s="218" t="str">
        <f t="shared" si="42"/>
        <v>-</v>
      </c>
      <c r="AM67" s="217">
        <f>IFERROR(GETPIVOTDATA("dato",'[1]evolucion mensual nacionali'!$A$4,"indicador","USA","mes",4,"año",2006),"-")</f>
        <v>64</v>
      </c>
      <c r="AN67" s="218" t="str">
        <f t="shared" si="43"/>
        <v>-</v>
      </c>
      <c r="AO67" s="217">
        <f>IFERROR(GETPIVOTDATA("dato",'[1]evolucion mensual nacionali'!$A$4,"indicador","RESTO DE AMÉRICA","mes",4,"año",2006),"-")</f>
        <v>288</v>
      </c>
      <c r="AP67" s="218" t="str">
        <f t="shared" si="44"/>
        <v>-</v>
      </c>
      <c r="AQ67" s="217">
        <f>IFERROR(GETPIVOTDATA("dato",'[1]evolucion mensual nacionali'!$A$4,"indicador","RESTO DEL MUNDO","mes",4,"año",2006),"-")</f>
        <v>152</v>
      </c>
      <c r="AR67" s="218" t="str">
        <f t="shared" si="45"/>
        <v>-</v>
      </c>
      <c r="AS67" s="217">
        <f t="shared" si="55"/>
        <v>2116</v>
      </c>
      <c r="AT67" s="218" t="str">
        <f t="shared" si="46"/>
        <v>-</v>
      </c>
      <c r="AU67" s="204">
        <f>IFERROR(GETPIVOTDATA("dato",'[1]evolucion mensual nacionali'!$A$4,"indicador","TOTAL","mes",4,"año",2006),"-")</f>
        <v>13849</v>
      </c>
      <c r="AV67" s="205" t="str">
        <f t="shared" si="47"/>
        <v>-</v>
      </c>
    </row>
    <row r="68" spans="2:48" hidden="1" outlineLevel="1">
      <c r="B68" s="51" t="s">
        <v>47</v>
      </c>
      <c r="C68" s="217">
        <f>IFERROR(GETPIVOTDATA("dato",'[1]evolucion mensual nacionali'!$A$4,"indicador","España","mes",3,"año",2006),"-")</f>
        <v>14920</v>
      </c>
      <c r="D68" s="218" t="str">
        <f t="shared" si="25"/>
        <v>-</v>
      </c>
      <c r="E68" s="217">
        <f>IFERROR(GETPIVOTDATA("dato",'[1]evolucion mensual nacionali'!$A$4,"indicador","HOLANDA","mes",3,"año",2006),"-")</f>
        <v>80</v>
      </c>
      <c r="F68" s="218" t="str">
        <f t="shared" si="26"/>
        <v>-</v>
      </c>
      <c r="G68" s="217">
        <f>IFERROR(GETPIVOTDATA("dato",'[1]evolucion mensual nacionali'!$A$4,"indicador","BÉLGICA","mes",3,"año",2006),"-")</f>
        <v>52</v>
      </c>
      <c r="H68" s="218" t="str">
        <f t="shared" si="27"/>
        <v>-</v>
      </c>
      <c r="I68" s="217">
        <f>IFERROR(GETPIVOTDATA("dato",'[1]evolucion mensual nacionali'!$A$4,"indicador","ALEMANIA","mes",3,"año",2006),"-")</f>
        <v>459</v>
      </c>
      <c r="J68" s="218" t="str">
        <f t="shared" si="28"/>
        <v>-</v>
      </c>
      <c r="K68" s="217">
        <f>IFERROR(GETPIVOTDATA("dato",'[1]evolucion mensual nacionali'!$A$4,"indicador","FRANCIA","mes",3,"año",2006),"-")</f>
        <v>172</v>
      </c>
      <c r="L68" s="218" t="str">
        <f t="shared" si="29"/>
        <v>-</v>
      </c>
      <c r="M68" s="217">
        <f>IFERROR(GETPIVOTDATA("dato",'[1]evolucion mensual nacionali'!$A$4,"indicador","REINO UNIDO","mes",3,"año",2006),"-")</f>
        <v>325</v>
      </c>
      <c r="N68" s="218" t="str">
        <f t="shared" si="30"/>
        <v>-</v>
      </c>
      <c r="O68" s="217">
        <f>IFERROR(GETPIVOTDATA("dato",'[1]evolucion mensual nacionali'!$A$4,"indicador","IRLANDA","mes",3,"año",2006),"-")</f>
        <v>32</v>
      </c>
      <c r="P68" s="218" t="str">
        <f t="shared" si="31"/>
        <v>-</v>
      </c>
      <c r="Q68" s="217">
        <f>IFERROR(GETPIVOTDATA("dato",'[1]evolucion mensual nacionali'!$A$4,"indicador","ITALIA","mes",3,"año",2006),"-")</f>
        <v>216</v>
      </c>
      <c r="R68" s="218" t="str">
        <f t="shared" si="32"/>
        <v>-</v>
      </c>
      <c r="S68" s="217">
        <f t="shared" si="54"/>
        <v>380</v>
      </c>
      <c r="T68" s="218" t="str">
        <f t="shared" si="33"/>
        <v>-</v>
      </c>
      <c r="U68" s="217">
        <f>IFERROR(GETPIVOTDATA("dato",'[1]evolucion mensual nacionali'!$A$4,"indicador","SUECIA","mes",3,"año",2006),"-")</f>
        <v>236</v>
      </c>
      <c r="V68" s="218" t="str">
        <f t="shared" si="34"/>
        <v>-</v>
      </c>
      <c r="W68" s="217">
        <f>IFERROR(GETPIVOTDATA("dato",'[1]evolucion mensual nacionali'!$A$4,"indicador","NORUEGA","mes",3,"año",2006),"-")</f>
        <v>22</v>
      </c>
      <c r="X68" s="218" t="str">
        <f t="shared" si="35"/>
        <v>-</v>
      </c>
      <c r="Y68" s="217">
        <f>IFERROR(GETPIVOTDATA("dato",'[1]evolucion mensual nacionali'!$A$4,"indicador","DINAMARCA","mes",3,"año",2006),"-")</f>
        <v>58</v>
      </c>
      <c r="Z68" s="218" t="str">
        <f t="shared" si="36"/>
        <v>-</v>
      </c>
      <c r="AA68" s="217">
        <f>IFERROR(GETPIVOTDATA("dato",'[1]evolucion mensual nacionali'!$A$4,"indicador","FINLANDIA","mes",3,"año",2006),"-")</f>
        <v>64</v>
      </c>
      <c r="AB68" s="218" t="str">
        <f t="shared" si="37"/>
        <v>-</v>
      </c>
      <c r="AC68" s="217">
        <f>IFERROR(GETPIVOTDATA("dato",'[1]evolucion mensual nacionali'!$A$4,"indicador","SUIZA","mes",3,"año",2006),"-")</f>
        <v>55</v>
      </c>
      <c r="AD68" s="218" t="str">
        <f t="shared" si="38"/>
        <v>-</v>
      </c>
      <c r="AE68" s="217">
        <f>IFERROR(GETPIVOTDATA("dato",'[1]evolucion mensual nacionali'!$A$4,"indicador","AUSTRIA","mes",3,"año",2006),"-")</f>
        <v>22</v>
      </c>
      <c r="AF68" s="218" t="str">
        <f t="shared" si="39"/>
        <v>-</v>
      </c>
      <c r="AG68" s="217">
        <f>IFERROR(GETPIVOTDATA("dato",'[1]evolucion mensual nacionali'!$A$4,"indicador","RUSIA","mes",3,"año",2006),"-")</f>
        <v>32</v>
      </c>
      <c r="AH68" s="218" t="str">
        <f t="shared" si="40"/>
        <v>-</v>
      </c>
      <c r="AI68" s="217">
        <f>IFERROR(GETPIVOTDATA("dato",'[1]evolucion mensual nacionali'!$A$4,"indicador","PAÍSES DEL ESTE","mes",3,"año",2006),"-")</f>
        <v>50</v>
      </c>
      <c r="AJ68" s="218" t="str">
        <f t="shared" si="41"/>
        <v>-</v>
      </c>
      <c r="AK68" s="217">
        <f>IFERROR(GETPIVOTDATA("dato",'[1]evolucion mensual nacionali'!$A$4,"indicador","RESTO DE EUROPA","mes",3,"año",2006),"-")</f>
        <v>109</v>
      </c>
      <c r="AL68" s="218" t="str">
        <f t="shared" si="42"/>
        <v>-</v>
      </c>
      <c r="AM68" s="217">
        <f>IFERROR(GETPIVOTDATA("dato",'[1]evolucion mensual nacionali'!$A$4,"indicador","USA","mes",3,"año",2006),"-")</f>
        <v>86</v>
      </c>
      <c r="AN68" s="218" t="str">
        <f t="shared" si="43"/>
        <v>-</v>
      </c>
      <c r="AO68" s="217">
        <f>IFERROR(GETPIVOTDATA("dato",'[1]evolucion mensual nacionali'!$A$4,"indicador","RESTO DE AMÉRICA","mes",3,"año",2006),"-")</f>
        <v>270</v>
      </c>
      <c r="AP68" s="218" t="str">
        <f t="shared" si="44"/>
        <v>-</v>
      </c>
      <c r="AQ68" s="217">
        <f>IFERROR(GETPIVOTDATA("dato",'[1]evolucion mensual nacionali'!$A$4,"indicador","RESTO DEL MUNDO","mes",3,"año",2006),"-")</f>
        <v>169</v>
      </c>
      <c r="AR68" s="218" t="str">
        <f t="shared" si="45"/>
        <v>-</v>
      </c>
      <c r="AS68" s="217">
        <f t="shared" si="55"/>
        <v>2509</v>
      </c>
      <c r="AT68" s="218" t="str">
        <f t="shared" si="46"/>
        <v>-</v>
      </c>
      <c r="AU68" s="204">
        <f>IFERROR(GETPIVOTDATA("dato",'[1]evolucion mensual nacionali'!$A$4,"indicador","TOTAL","mes",3,"año",2006),"-")</f>
        <v>17429</v>
      </c>
      <c r="AV68" s="205" t="str">
        <f t="shared" si="47"/>
        <v>-</v>
      </c>
    </row>
    <row r="69" spans="2:48" hidden="1" outlineLevel="1">
      <c r="B69" s="51" t="s">
        <v>48</v>
      </c>
      <c r="C69" s="217">
        <f>IFERROR(GETPIVOTDATA("dato",'[1]evolucion mensual nacionali'!$A$4,"indicador","España","mes",2,"año",2006),"-")</f>
        <v>13368</v>
      </c>
      <c r="D69" s="218" t="str">
        <f t="shared" si="25"/>
        <v>-</v>
      </c>
      <c r="E69" s="217">
        <f>IFERROR(GETPIVOTDATA("dato",'[1]evolucion mensual nacionali'!$A$4,"indicador","HOLANDA","mes",2,"año",2006),"-")</f>
        <v>62</v>
      </c>
      <c r="F69" s="218" t="str">
        <f t="shared" si="26"/>
        <v>-</v>
      </c>
      <c r="G69" s="217">
        <f>IFERROR(GETPIVOTDATA("dato",'[1]evolucion mensual nacionali'!$A$4,"indicador","BÉLGICA","mes",2,"año",2006),"-")</f>
        <v>69</v>
      </c>
      <c r="H69" s="218" t="str">
        <f t="shared" si="27"/>
        <v>-</v>
      </c>
      <c r="I69" s="217">
        <f>IFERROR(GETPIVOTDATA("dato",'[1]evolucion mensual nacionali'!$A$4,"indicador","ALEMANIA","mes",2,"año",2006),"-")</f>
        <v>326</v>
      </c>
      <c r="J69" s="218" t="str">
        <f t="shared" si="28"/>
        <v>-</v>
      </c>
      <c r="K69" s="217">
        <f>IFERROR(GETPIVOTDATA("dato",'[1]evolucion mensual nacionali'!$A$4,"indicador","FRANCIA","mes",2,"año",2006),"-")</f>
        <v>227</v>
      </c>
      <c r="L69" s="218" t="str">
        <f t="shared" si="29"/>
        <v>-</v>
      </c>
      <c r="M69" s="217">
        <f>IFERROR(GETPIVOTDATA("dato",'[1]evolucion mensual nacionali'!$A$4,"indicador","REINO UNIDO","mes",2,"año",2006),"-")</f>
        <v>327</v>
      </c>
      <c r="N69" s="218" t="str">
        <f t="shared" si="30"/>
        <v>-</v>
      </c>
      <c r="O69" s="217">
        <f>IFERROR(GETPIVOTDATA("dato",'[1]evolucion mensual nacionali'!$A$4,"indicador","IRLANDA","mes",2,"año",2006),"-")</f>
        <v>21</v>
      </c>
      <c r="P69" s="218" t="str">
        <f t="shared" si="31"/>
        <v>-</v>
      </c>
      <c r="Q69" s="217">
        <f>IFERROR(GETPIVOTDATA("dato",'[1]evolucion mensual nacionali'!$A$4,"indicador","ITALIA","mes",2,"año",2006),"-")</f>
        <v>228</v>
      </c>
      <c r="R69" s="218" t="str">
        <f t="shared" si="32"/>
        <v>-</v>
      </c>
      <c r="S69" s="217">
        <f t="shared" si="54"/>
        <v>379</v>
      </c>
      <c r="T69" s="218" t="str">
        <f t="shared" si="33"/>
        <v>-</v>
      </c>
      <c r="U69" s="217">
        <f>IFERROR(GETPIVOTDATA("dato",'[1]evolucion mensual nacionali'!$A$4,"indicador","SUECIA","mes",2,"año",2006),"-")</f>
        <v>203</v>
      </c>
      <c r="V69" s="218" t="str">
        <f t="shared" si="34"/>
        <v>-</v>
      </c>
      <c r="W69" s="217">
        <f>IFERROR(GETPIVOTDATA("dato",'[1]evolucion mensual nacionali'!$A$4,"indicador","NORUEGA","mes",2,"año",2006),"-")</f>
        <v>53</v>
      </c>
      <c r="X69" s="218" t="str">
        <f t="shared" si="35"/>
        <v>-</v>
      </c>
      <c r="Y69" s="217">
        <f>IFERROR(GETPIVOTDATA("dato",'[1]evolucion mensual nacionali'!$A$4,"indicador","DINAMARCA","mes",2,"año",2006),"-")</f>
        <v>71</v>
      </c>
      <c r="Z69" s="218" t="str">
        <f t="shared" si="36"/>
        <v>-</v>
      </c>
      <c r="AA69" s="217">
        <f>IFERROR(GETPIVOTDATA("dato",'[1]evolucion mensual nacionali'!$A$4,"indicador","FINLANDIA","mes",2,"año",2006),"-")</f>
        <v>52</v>
      </c>
      <c r="AB69" s="218" t="str">
        <f t="shared" si="37"/>
        <v>-</v>
      </c>
      <c r="AC69" s="217">
        <f>IFERROR(GETPIVOTDATA("dato",'[1]evolucion mensual nacionali'!$A$4,"indicador","SUIZA","mes",2,"año",2006),"-")</f>
        <v>28</v>
      </c>
      <c r="AD69" s="218" t="str">
        <f t="shared" si="38"/>
        <v>-</v>
      </c>
      <c r="AE69" s="217">
        <f>IFERROR(GETPIVOTDATA("dato",'[1]evolucion mensual nacionali'!$A$4,"indicador","AUSTRIA","mes",2,"año",2006),"-")</f>
        <v>27</v>
      </c>
      <c r="AF69" s="218" t="str">
        <f t="shared" si="39"/>
        <v>-</v>
      </c>
      <c r="AG69" s="217">
        <f>IFERROR(GETPIVOTDATA("dato",'[1]evolucion mensual nacionali'!$A$4,"indicador","RUSIA","mes",2,"año",2006),"-")</f>
        <v>33</v>
      </c>
      <c r="AH69" s="218" t="str">
        <f t="shared" si="40"/>
        <v>-</v>
      </c>
      <c r="AI69" s="217">
        <f>IFERROR(GETPIVOTDATA("dato",'[1]evolucion mensual nacionali'!$A$4,"indicador","PAÍSES DEL ESTE","mes",2,"año",2006),"-")</f>
        <v>53</v>
      </c>
      <c r="AJ69" s="218" t="str">
        <f t="shared" si="41"/>
        <v>-</v>
      </c>
      <c r="AK69" s="217">
        <f>IFERROR(GETPIVOTDATA("dato",'[1]evolucion mensual nacionali'!$A$4,"indicador","RESTO DE EUROPA","mes",2,"año",2006),"-")</f>
        <v>92</v>
      </c>
      <c r="AL69" s="218" t="str">
        <f t="shared" si="42"/>
        <v>-</v>
      </c>
      <c r="AM69" s="217">
        <f>IFERROR(GETPIVOTDATA("dato",'[1]evolucion mensual nacionali'!$A$4,"indicador","USA","mes",2,"año",2006),"-")</f>
        <v>62</v>
      </c>
      <c r="AN69" s="218" t="str">
        <f t="shared" si="43"/>
        <v>-</v>
      </c>
      <c r="AO69" s="217">
        <f>IFERROR(GETPIVOTDATA("dato",'[1]evolucion mensual nacionali'!$A$4,"indicador","RESTO DE AMÉRICA","mes",2,"año",2006),"-")</f>
        <v>251</v>
      </c>
      <c r="AP69" s="218" t="str">
        <f t="shared" si="44"/>
        <v>-</v>
      </c>
      <c r="AQ69" s="217">
        <f>IFERROR(GETPIVOTDATA("dato",'[1]evolucion mensual nacionali'!$A$4,"indicador","RESTO DEL MUNDO","mes",2,"año",2006),"-")</f>
        <v>139</v>
      </c>
      <c r="AR69" s="218" t="str">
        <f t="shared" si="45"/>
        <v>-</v>
      </c>
      <c r="AS69" s="217">
        <f t="shared" si="55"/>
        <v>2324</v>
      </c>
      <c r="AT69" s="218" t="str">
        <f t="shared" si="46"/>
        <v>-</v>
      </c>
      <c r="AU69" s="204">
        <f>IFERROR(GETPIVOTDATA("dato",'[1]evolucion mensual nacionali'!$A$4,"indicador","TOTAL","mes",2,"año",2006),"-")</f>
        <v>15692</v>
      </c>
      <c r="AV69" s="205" t="str">
        <f t="shared" si="47"/>
        <v>-</v>
      </c>
    </row>
    <row r="70" spans="2:48" hidden="1" outlineLevel="1">
      <c r="B70" s="51" t="s">
        <v>49</v>
      </c>
      <c r="C70" s="217">
        <f>IFERROR(GETPIVOTDATA("dato",'[1]evolucion mensual nacionali'!$A$4,"indicador","España","mes",1,"año",2006),"-")</f>
        <v>12195</v>
      </c>
      <c r="D70" s="218" t="str">
        <f t="shared" si="25"/>
        <v>-</v>
      </c>
      <c r="E70" s="217">
        <f>IFERROR(GETPIVOTDATA("dato",'[1]evolucion mensual nacionali'!$A$4,"indicador","HOLANDA","mes",1,"año",2006),"-")</f>
        <v>71</v>
      </c>
      <c r="F70" s="218" t="str">
        <f t="shared" si="26"/>
        <v>-</v>
      </c>
      <c r="G70" s="217">
        <f>IFERROR(GETPIVOTDATA("dato",'[1]evolucion mensual nacionali'!$A$4,"indicador","BÉLGICA","mes",1,"año",2006),"-")</f>
        <v>43</v>
      </c>
      <c r="H70" s="218" t="str">
        <f t="shared" si="27"/>
        <v>-</v>
      </c>
      <c r="I70" s="217">
        <f>IFERROR(GETPIVOTDATA("dato",'[1]evolucion mensual nacionali'!$A$4,"indicador","ALEMANIA","mes",1,"año",2006),"-")</f>
        <v>440</v>
      </c>
      <c r="J70" s="218" t="str">
        <f t="shared" si="28"/>
        <v>-</v>
      </c>
      <c r="K70" s="217">
        <f>IFERROR(GETPIVOTDATA("dato",'[1]evolucion mensual nacionali'!$A$4,"indicador","FRANCIA","mes",1,"año",2006),"-")</f>
        <v>128</v>
      </c>
      <c r="L70" s="218" t="str">
        <f t="shared" si="29"/>
        <v>-</v>
      </c>
      <c r="M70" s="217">
        <f>IFERROR(GETPIVOTDATA("dato",'[1]evolucion mensual nacionali'!$A$4,"indicador","REINO UNIDO","mes",1,"año",2006),"-")</f>
        <v>279</v>
      </c>
      <c r="N70" s="218" t="str">
        <f t="shared" si="30"/>
        <v>-</v>
      </c>
      <c r="O70" s="217">
        <f>IFERROR(GETPIVOTDATA("dato",'[1]evolucion mensual nacionali'!$A$4,"indicador","IRLANDA","mes",1,"año",2006),"-")</f>
        <v>30</v>
      </c>
      <c r="P70" s="218" t="str">
        <f t="shared" si="31"/>
        <v>-</v>
      </c>
      <c r="Q70" s="217">
        <f>IFERROR(GETPIVOTDATA("dato",'[1]evolucion mensual nacionali'!$A$4,"indicador","ITALIA","mes",1,"año",2006),"-")</f>
        <v>173</v>
      </c>
      <c r="R70" s="218" t="str">
        <f t="shared" si="32"/>
        <v>-</v>
      </c>
      <c r="S70" s="217">
        <f t="shared" si="54"/>
        <v>235</v>
      </c>
      <c r="T70" s="218" t="str">
        <f t="shared" si="33"/>
        <v>-</v>
      </c>
      <c r="U70" s="217">
        <f>IFERROR(GETPIVOTDATA("dato",'[1]evolucion mensual nacionali'!$A$4,"indicador","SUECIA","mes",1,"año",2006),"-")</f>
        <v>122</v>
      </c>
      <c r="V70" s="218" t="str">
        <f t="shared" si="34"/>
        <v>-</v>
      </c>
      <c r="W70" s="217">
        <f>IFERROR(GETPIVOTDATA("dato",'[1]evolucion mensual nacionali'!$A$4,"indicador","NORUEGA","mes",1,"año",2006),"-")</f>
        <v>55</v>
      </c>
      <c r="X70" s="218" t="str">
        <f t="shared" si="35"/>
        <v>-</v>
      </c>
      <c r="Y70" s="217">
        <f>IFERROR(GETPIVOTDATA("dato",'[1]evolucion mensual nacionali'!$A$4,"indicador","DINAMARCA","mes",1,"año",2006),"-")</f>
        <v>34</v>
      </c>
      <c r="Z70" s="218" t="str">
        <f t="shared" si="36"/>
        <v>-</v>
      </c>
      <c r="AA70" s="217">
        <f>IFERROR(GETPIVOTDATA("dato",'[1]evolucion mensual nacionali'!$A$4,"indicador","FINLANDIA","mes",1,"año",2006),"-")</f>
        <v>24</v>
      </c>
      <c r="AB70" s="218" t="str">
        <f t="shared" si="37"/>
        <v>-</v>
      </c>
      <c r="AC70" s="217">
        <f>IFERROR(GETPIVOTDATA("dato",'[1]evolucion mensual nacionali'!$A$4,"indicador","SUIZA","mes",1,"año",2006),"-")</f>
        <v>35</v>
      </c>
      <c r="AD70" s="218" t="str">
        <f t="shared" si="38"/>
        <v>-</v>
      </c>
      <c r="AE70" s="217">
        <f>IFERROR(GETPIVOTDATA("dato",'[1]evolucion mensual nacionali'!$A$4,"indicador","AUSTRIA","mes",1,"año",2006),"-")</f>
        <v>11</v>
      </c>
      <c r="AF70" s="218" t="str">
        <f t="shared" si="39"/>
        <v>-</v>
      </c>
      <c r="AG70" s="217">
        <f>IFERROR(GETPIVOTDATA("dato",'[1]evolucion mensual nacionali'!$A$4,"indicador","RUSIA","mes",1,"año",2006),"-")</f>
        <v>18</v>
      </c>
      <c r="AH70" s="218" t="str">
        <f t="shared" si="40"/>
        <v>-</v>
      </c>
      <c r="AI70" s="217">
        <f>IFERROR(GETPIVOTDATA("dato",'[1]evolucion mensual nacionali'!$A$4,"indicador","PAÍSES DEL ESTE","mes",1,"año",2006),"-")</f>
        <v>49</v>
      </c>
      <c r="AJ70" s="218" t="str">
        <f t="shared" si="41"/>
        <v>-</v>
      </c>
      <c r="AK70" s="217">
        <f>IFERROR(GETPIVOTDATA("dato",'[1]evolucion mensual nacionali'!$A$4,"indicador","RESTO DE EUROPA","mes",1,"año",2006),"-")</f>
        <v>115</v>
      </c>
      <c r="AL70" s="218" t="str">
        <f t="shared" si="42"/>
        <v>-</v>
      </c>
      <c r="AM70" s="217">
        <f>IFERROR(GETPIVOTDATA("dato",'[1]evolucion mensual nacionali'!$A$4,"indicador","USA","mes",1,"año",2006),"-")</f>
        <v>45</v>
      </c>
      <c r="AN70" s="218" t="str">
        <f t="shared" si="43"/>
        <v>-</v>
      </c>
      <c r="AO70" s="217">
        <f>IFERROR(GETPIVOTDATA("dato",'[1]evolucion mensual nacionali'!$A$4,"indicador","RESTO DE AMÉRICA","mes",1,"año",2006),"-")</f>
        <v>267</v>
      </c>
      <c r="AP70" s="218" t="str">
        <f t="shared" si="44"/>
        <v>-</v>
      </c>
      <c r="AQ70" s="217">
        <f>IFERROR(GETPIVOTDATA("dato",'[1]evolucion mensual nacionali'!$A$4,"indicador","RESTO DEL MUNDO","mes",1,"año",2006),"-")</f>
        <v>132</v>
      </c>
      <c r="AR70" s="218" t="str">
        <f t="shared" si="45"/>
        <v>-</v>
      </c>
      <c r="AS70" s="217">
        <f t="shared" si="55"/>
        <v>2071</v>
      </c>
      <c r="AT70" s="218" t="str">
        <f t="shared" si="46"/>
        <v>-</v>
      </c>
      <c r="AU70" s="204">
        <f>IFERROR(GETPIVOTDATA("dato",'[1]evolucion mensual nacionali'!$A$4,"indicador","TOTAL","mes",1,"año",2006),"-")</f>
        <v>14266</v>
      </c>
      <c r="AV70" s="205" t="str">
        <f t="shared" si="47"/>
        <v>-</v>
      </c>
    </row>
    <row r="71" spans="2:48" collapsed="1">
      <c r="B71" s="214">
        <v>2006</v>
      </c>
      <c r="C71" s="215">
        <f>GETPIVOTDATA("dato",'[1]evolucion mensual nacionali'!$A$4,"indicador","España","año",2006)</f>
        <v>156776</v>
      </c>
      <c r="D71" s="216" t="str">
        <f t="shared" si="25"/>
        <v>-</v>
      </c>
      <c r="E71" s="215">
        <f>GETPIVOTDATA("dato",'[1]evolucion mensual nacionali'!$A$4,"indicador","HOLANDA","año",2006)</f>
        <v>798</v>
      </c>
      <c r="F71" s="216" t="str">
        <f t="shared" si="26"/>
        <v>-</v>
      </c>
      <c r="G71" s="215">
        <f>GETPIVOTDATA("dato",'[1]evolucion mensual nacionali'!$A$4,"indicador","BÉLGICA","año",2006)</f>
        <v>523</v>
      </c>
      <c r="H71" s="216" t="str">
        <f t="shared" si="27"/>
        <v>-</v>
      </c>
      <c r="I71" s="215">
        <f>GETPIVOTDATA("dato",'[1]evolucion mensual nacionali'!$A$4,"indicador","ALEMANIA","año",2006)</f>
        <v>3752</v>
      </c>
      <c r="J71" s="216" t="str">
        <f t="shared" si="28"/>
        <v>-</v>
      </c>
      <c r="K71" s="215">
        <f>GETPIVOTDATA("dato",'[1]evolucion mensual nacionali'!$A$4,"indicador","FRANCIA","año",2006)</f>
        <v>2125</v>
      </c>
      <c r="L71" s="216" t="str">
        <f t="shared" si="29"/>
        <v>-</v>
      </c>
      <c r="M71" s="215">
        <f>GETPIVOTDATA("dato",'[1]evolucion mensual nacionali'!$A$4,"indicador","REINO UNIDO","año",2006)</f>
        <v>3064</v>
      </c>
      <c r="N71" s="216" t="str">
        <f t="shared" si="30"/>
        <v>-</v>
      </c>
      <c r="O71" s="215">
        <f>GETPIVOTDATA("dato",'[1]evolucion mensual nacionali'!$A$4,"indicador","IRLANDA","año",2006)</f>
        <v>349</v>
      </c>
      <c r="P71" s="216" t="str">
        <f t="shared" si="31"/>
        <v>-</v>
      </c>
      <c r="Q71" s="215">
        <f>GETPIVOTDATA("dato",'[1]evolucion mensual nacionali'!$A$4,"indicador","ITALIA","año",2006)</f>
        <v>2566</v>
      </c>
      <c r="R71" s="216" t="str">
        <f t="shared" si="32"/>
        <v>-</v>
      </c>
      <c r="S71" s="215">
        <f t="shared" si="54"/>
        <v>2116</v>
      </c>
      <c r="T71" s="216" t="str">
        <f t="shared" si="33"/>
        <v>-</v>
      </c>
      <c r="U71" s="215">
        <f>GETPIVOTDATA("dato",'[1]evolucion mensual nacionali'!$A$4,"indicador","SUECIA","año",2006)</f>
        <v>1037</v>
      </c>
      <c r="V71" s="216" t="str">
        <f t="shared" si="34"/>
        <v>-</v>
      </c>
      <c r="W71" s="215">
        <f>GETPIVOTDATA("dato",'[1]evolucion mensual nacionali'!$A$4,"indicador","NORUEGA","año",2006)</f>
        <v>342</v>
      </c>
      <c r="X71" s="216" t="str">
        <f t="shared" si="35"/>
        <v>-</v>
      </c>
      <c r="Y71" s="215">
        <f>GETPIVOTDATA("dato",'[1]evolucion mensual nacionali'!$A$4,"indicador","DINAMARCA","año",2006)</f>
        <v>343</v>
      </c>
      <c r="Z71" s="216" t="str">
        <f t="shared" si="36"/>
        <v>-</v>
      </c>
      <c r="AA71" s="215">
        <f>GETPIVOTDATA("dato",'[1]evolucion mensual nacionali'!$A$4,"indicador","FINLANDIA","año",2006)</f>
        <v>394</v>
      </c>
      <c r="AB71" s="216" t="str">
        <f t="shared" si="37"/>
        <v>-</v>
      </c>
      <c r="AC71" s="215">
        <f>GETPIVOTDATA("dato",'[1]evolucion mensual nacionali'!$A$4,"indicador","SUIZA","año",2006)</f>
        <v>502</v>
      </c>
      <c r="AD71" s="216" t="str">
        <f t="shared" si="38"/>
        <v>-</v>
      </c>
      <c r="AE71" s="215">
        <f>GETPIVOTDATA("dato",'[1]evolucion mensual nacionali'!$A$4,"indicador","AUSTRIA","año",2006)</f>
        <v>262</v>
      </c>
      <c r="AF71" s="216" t="str">
        <f t="shared" si="39"/>
        <v>-</v>
      </c>
      <c r="AG71" s="215">
        <f>GETPIVOTDATA("dato",'[1]evolucion mensual nacionali'!$A$4,"indicador","RUSIA","año",2006)</f>
        <v>331</v>
      </c>
      <c r="AH71" s="216" t="str">
        <f t="shared" si="40"/>
        <v>-</v>
      </c>
      <c r="AI71" s="215">
        <f>GETPIVOTDATA("dato",'[1]evolucion mensual nacionali'!$A$4,"indicador","PAÍSES DEL ESTE","año",2006)</f>
        <v>600</v>
      </c>
      <c r="AJ71" s="216" t="str">
        <f t="shared" si="41"/>
        <v>-</v>
      </c>
      <c r="AK71" s="215">
        <f>GETPIVOTDATA("dato",'[1]evolucion mensual nacionali'!$A$4,"indicador","RESTO DE EUROPA","año",2006)</f>
        <v>1471</v>
      </c>
      <c r="AL71" s="216" t="str">
        <f t="shared" si="42"/>
        <v>-</v>
      </c>
      <c r="AM71" s="215">
        <f>GETPIVOTDATA("dato",'[1]evolucion mensual nacionali'!$A$4,"indicador","USA","año",2006)</f>
        <v>839</v>
      </c>
      <c r="AN71" s="216" t="str">
        <f t="shared" si="43"/>
        <v>-</v>
      </c>
      <c r="AO71" s="215">
        <f>GETPIVOTDATA("dato",'[1]evolucion mensual nacionali'!$A$4,"indicador","RESTO DE AMÉRICA","año",2006)</f>
        <v>4568</v>
      </c>
      <c r="AP71" s="216" t="str">
        <f t="shared" si="44"/>
        <v>-</v>
      </c>
      <c r="AQ71" s="215">
        <f>GETPIVOTDATA("dato",'[1]evolucion mensual nacionali'!$A$4,"indicador","RESTO DEL MUNDO","año",2006)</f>
        <v>2131</v>
      </c>
      <c r="AR71" s="216" t="str">
        <f t="shared" si="45"/>
        <v>-</v>
      </c>
      <c r="AS71" s="215">
        <f t="shared" si="55"/>
        <v>25997</v>
      </c>
      <c r="AT71" s="216" t="str">
        <f t="shared" si="46"/>
        <v>-</v>
      </c>
      <c r="AU71" s="212">
        <f>GETPIVOTDATA("dato",'[1]evolucion mensual nacionali'!$A$4,"indicador","TOTAL","año",2006)</f>
        <v>182773</v>
      </c>
      <c r="AV71" s="213" t="str">
        <f t="shared" si="47"/>
        <v>-</v>
      </c>
    </row>
  </sheetData>
  <mergeCells count="1">
    <mergeCell ref="B5:AV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23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4:L55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0.7109375" style="2" customWidth="1"/>
    <col min="7" max="7" width="11.570312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10" ht="33.75" customHeight="1">
      <c r="C4" s="219" t="s">
        <v>179</v>
      </c>
      <c r="D4" s="220"/>
      <c r="E4" s="220"/>
      <c r="F4" s="220"/>
      <c r="G4" s="220"/>
    </row>
    <row r="5" spans="3:10" ht="33.75">
      <c r="C5" s="221" t="s">
        <v>155</v>
      </c>
      <c r="D5" s="222" t="str">
        <f>actualizaciones!A3</f>
        <v>acumulado julio 2009</v>
      </c>
      <c r="E5" s="222" t="str">
        <f>actualizaciones!A2</f>
        <v xml:space="preserve">acumulado julio 2010 </v>
      </c>
      <c r="F5" s="223" t="s">
        <v>28</v>
      </c>
      <c r="G5" s="223" t="s">
        <v>180</v>
      </c>
    </row>
    <row r="6" spans="3:10">
      <c r="C6" s="224" t="s">
        <v>156</v>
      </c>
      <c r="D6" s="225">
        <f>GETPIVOTDATA("dato",'[1]tabla dinámica nacionalidades'!$A$5,"indicador","España","año",2009)</f>
        <v>79770</v>
      </c>
      <c r="E6" s="225">
        <f>GETPIVOTDATA("dato",'[1]tabla dinámica nacionalidades'!$A$5,"indicador","España","año",2010)</f>
        <v>76373</v>
      </c>
      <c r="F6" s="226">
        <f t="shared" ref="F6:F28" si="0">(E6-D6)/D6</f>
        <v>-4.2584931678575903E-2</v>
      </c>
      <c r="G6" s="226">
        <f>E6/$E$28</f>
        <v>0.82284304430270638</v>
      </c>
      <c r="I6" s="227"/>
      <c r="J6" s="227"/>
    </row>
    <row r="7" spans="3:10">
      <c r="C7" s="37" t="s">
        <v>158</v>
      </c>
      <c r="D7" s="38">
        <f>GETPIVOTDATA("dato",'[1]tabla dinámica nacionalidades'!$A$5,"indicador","HOLANDA","año",2009)</f>
        <v>396</v>
      </c>
      <c r="E7" s="38">
        <f>GETPIVOTDATA("dato",'[1]tabla dinámica nacionalidades'!$A$5,"indicador","HOLANDA","año",2010)</f>
        <v>506</v>
      </c>
      <c r="F7" s="40">
        <f t="shared" si="0"/>
        <v>0.27777777777777779</v>
      </c>
      <c r="G7" s="40">
        <f t="shared" ref="G7:G28" si="1">E7/$E$28</f>
        <v>5.4516462678848472E-3</v>
      </c>
      <c r="I7" s="227"/>
      <c r="J7" s="227"/>
    </row>
    <row r="8" spans="3:10">
      <c r="C8" s="37" t="s">
        <v>159</v>
      </c>
      <c r="D8" s="38">
        <f>GETPIVOTDATA("dato",'[1]tabla dinámica nacionalidades'!$A$5,"indicador","BÉLGICA","año",2009)</f>
        <v>326</v>
      </c>
      <c r="E8" s="38">
        <f>GETPIVOTDATA("dato",'[1]tabla dinámica nacionalidades'!$A$5,"indicador","BÉLGICA","año",2010)</f>
        <v>340</v>
      </c>
      <c r="F8" s="40">
        <f t="shared" si="0"/>
        <v>4.2944785276073622E-2</v>
      </c>
      <c r="G8" s="40">
        <f t="shared" si="1"/>
        <v>3.6631615238751939E-3</v>
      </c>
      <c r="I8" s="227"/>
      <c r="J8" s="227"/>
    </row>
    <row r="9" spans="3:10">
      <c r="C9" s="37" t="s">
        <v>160</v>
      </c>
      <c r="D9" s="38">
        <f>GETPIVOTDATA("dato",'[1]tabla dinámica nacionalidades'!$A$5,"indicador","ALEMANIA","año",2009)</f>
        <v>1865</v>
      </c>
      <c r="E9" s="38">
        <f>GETPIVOTDATA("dato",'[1]tabla dinámica nacionalidades'!$A$5,"indicador","ALEMANIA","año",2010)</f>
        <v>1950</v>
      </c>
      <c r="F9" s="40">
        <f t="shared" si="0"/>
        <v>4.5576407506702415E-2</v>
      </c>
      <c r="G9" s="40">
        <f t="shared" si="1"/>
        <v>2.1009308739872435E-2</v>
      </c>
      <c r="I9" s="227"/>
      <c r="J9" s="227"/>
    </row>
    <row r="10" spans="3:10">
      <c r="C10" s="228" t="s">
        <v>161</v>
      </c>
      <c r="D10" s="38">
        <f>GETPIVOTDATA("dato",'[1]tabla dinámica nacionalidades'!$A$5,"indicador","FRANCIA","año",2009)</f>
        <v>1537</v>
      </c>
      <c r="E10" s="38">
        <f>GETPIVOTDATA("dato",'[1]tabla dinámica nacionalidades'!$A$5,"indicador","FRANCIA","año",2010)</f>
        <v>1375</v>
      </c>
      <c r="F10" s="40">
        <f t="shared" si="0"/>
        <v>-0.10540013012361743</v>
      </c>
      <c r="G10" s="40">
        <f t="shared" si="1"/>
        <v>1.4814256162730563E-2</v>
      </c>
      <c r="I10" s="227"/>
      <c r="J10" s="227"/>
    </row>
    <row r="11" spans="3:10">
      <c r="C11" s="228" t="s">
        <v>162</v>
      </c>
      <c r="D11" s="38">
        <f>GETPIVOTDATA("dato",'[1]tabla dinámica nacionalidades'!$A$5,"indicador","REINO UNIDO","año",2009)</f>
        <v>1627</v>
      </c>
      <c r="E11" s="38">
        <f>GETPIVOTDATA("dato",'[1]tabla dinámica nacionalidades'!$A$5,"indicador","REINO UNIDO","año",2010)</f>
        <v>1735</v>
      </c>
      <c r="F11" s="40">
        <f t="shared" si="0"/>
        <v>6.6379840196681014E-2</v>
      </c>
      <c r="G11" s="40">
        <f t="shared" si="1"/>
        <v>1.8692897776245474E-2</v>
      </c>
      <c r="I11" s="227"/>
      <c r="J11" s="227"/>
    </row>
    <row r="12" spans="3:10">
      <c r="C12" s="228" t="s">
        <v>163</v>
      </c>
      <c r="D12" s="38">
        <f>GETPIVOTDATA("dato",'[1]tabla dinámica nacionalidades'!$A$5,"indicador","IRLANDA","año",2009)</f>
        <v>237</v>
      </c>
      <c r="E12" s="38">
        <f>GETPIVOTDATA("dato",'[1]tabla dinámica nacionalidades'!$A$5,"indicador","IRLANDA","año",2010)</f>
        <v>238</v>
      </c>
      <c r="F12" s="40">
        <f t="shared" si="0"/>
        <v>4.2194092827004216E-3</v>
      </c>
      <c r="G12" s="40">
        <f t="shared" si="1"/>
        <v>2.5642130667126359E-3</v>
      </c>
      <c r="I12" s="227"/>
      <c r="J12" s="227"/>
    </row>
    <row r="13" spans="3:10">
      <c r="C13" s="228" t="s">
        <v>164</v>
      </c>
      <c r="D13" s="38">
        <f>GETPIVOTDATA("dato",'[1]tabla dinámica nacionalidades'!$A$5,"indicador","ITALIA","año",2009)</f>
        <v>1539</v>
      </c>
      <c r="E13" s="38">
        <f>GETPIVOTDATA("dato",'[1]tabla dinámica nacionalidades'!$A$5,"indicador","ITALIA","año",2010)</f>
        <v>1493</v>
      </c>
      <c r="F13" s="40">
        <f t="shared" si="0"/>
        <v>-2.9889538661468484E-2</v>
      </c>
      <c r="G13" s="40">
        <f t="shared" si="1"/>
        <v>1.6085588691604896E-2</v>
      </c>
      <c r="I13" s="227"/>
      <c r="J13" s="227"/>
    </row>
    <row r="14" spans="3:10">
      <c r="C14" s="37" t="s">
        <v>165</v>
      </c>
      <c r="D14" s="38">
        <f>D15+D16+D18</f>
        <v>791</v>
      </c>
      <c r="E14" s="38">
        <f>E15+E16+E18</f>
        <v>708</v>
      </c>
      <c r="F14" s="40">
        <f>(E14-D14)/D14</f>
        <v>-0.10493046776232617</v>
      </c>
      <c r="G14" s="40">
        <f t="shared" si="1"/>
        <v>7.6279951732459925E-3</v>
      </c>
      <c r="I14" s="227"/>
      <c r="J14" s="227"/>
    </row>
    <row r="15" spans="3:10">
      <c r="C15" s="229" t="s">
        <v>166</v>
      </c>
      <c r="D15" s="38">
        <f>GETPIVOTDATA("dato",'[1]tabla dinámica nacionalidades'!$A$5,"indicador","SUECIA","año",2009)</f>
        <v>237</v>
      </c>
      <c r="E15" s="38">
        <f>GETPIVOTDATA("dato",'[1]tabla dinámica nacionalidades'!$A$5,"indicador","SUECIA","año",2010)</f>
        <v>254</v>
      </c>
      <c r="F15" s="40">
        <f t="shared" si="0"/>
        <v>7.1729957805907171E-2</v>
      </c>
      <c r="G15" s="40">
        <f t="shared" si="1"/>
        <v>2.7365971384244094E-3</v>
      </c>
      <c r="I15" s="227"/>
      <c r="J15" s="227"/>
    </row>
    <row r="16" spans="3:10">
      <c r="C16" s="229" t="s">
        <v>167</v>
      </c>
      <c r="D16" s="38">
        <f>GETPIVOTDATA("dato",'[1]tabla dinámica nacionalidades'!$A$5,"indicador","NORUEGA","año",2009)</f>
        <v>236</v>
      </c>
      <c r="E16" s="38">
        <f>GETPIVOTDATA("dato",'[1]tabla dinámica nacionalidades'!$A$5,"indicador","NORUEGA","año",2010)</f>
        <v>171</v>
      </c>
      <c r="F16" s="40">
        <f t="shared" si="0"/>
        <v>-0.27542372881355931</v>
      </c>
      <c r="G16" s="40">
        <f t="shared" si="1"/>
        <v>1.8423547664195828E-3</v>
      </c>
      <c r="I16" s="227"/>
      <c r="J16" s="227"/>
    </row>
    <row r="17" spans="2:12">
      <c r="C17" s="229" t="s">
        <v>168</v>
      </c>
      <c r="D17" s="38">
        <f>GETPIVOTDATA("dato",'[1]tabla dinámica nacionalidades'!$A$5,"indicador","DINAMARCA","año",2009)</f>
        <v>238</v>
      </c>
      <c r="E17" s="38">
        <f>GETPIVOTDATA("dato",'[1]tabla dinámica nacionalidades'!$A$5,"indicador","DINAMARCA","año",2010)</f>
        <v>209</v>
      </c>
      <c r="F17" s="40">
        <f t="shared" si="0"/>
        <v>-0.12184873949579832</v>
      </c>
      <c r="G17" s="40">
        <f t="shared" si="1"/>
        <v>2.2517669367350455E-3</v>
      </c>
      <c r="I17" s="227"/>
      <c r="J17" s="227"/>
    </row>
    <row r="18" spans="2:12">
      <c r="C18" s="229" t="s">
        <v>169</v>
      </c>
      <c r="D18" s="38">
        <f>GETPIVOTDATA("dato",'[1]tabla dinámica nacionalidades'!$A$5,"indicador","FINLANDIA","año",2009)</f>
        <v>318</v>
      </c>
      <c r="E18" s="38">
        <f>GETPIVOTDATA("dato",'[1]tabla dinámica nacionalidades'!$A$5,"indicador","FINLANDIA","año",2010)</f>
        <v>283</v>
      </c>
      <c r="F18" s="40">
        <f t="shared" si="0"/>
        <v>-0.11006289308176101</v>
      </c>
      <c r="G18" s="40">
        <f t="shared" si="1"/>
        <v>3.0490432684019998E-3</v>
      </c>
      <c r="I18" s="227"/>
      <c r="J18" s="227"/>
    </row>
    <row r="19" spans="2:12">
      <c r="C19" s="37" t="s">
        <v>170</v>
      </c>
      <c r="D19" s="38">
        <f>GETPIVOTDATA("dato",'[1]tabla dinámica nacionalidades'!$A$5,"indicador","SUIZA","año",2009)</f>
        <v>323</v>
      </c>
      <c r="E19" s="38">
        <f>GETPIVOTDATA("dato",'[1]tabla dinámica nacionalidades'!$A$5,"indicador","SUIZA","año",2010)</f>
        <v>309</v>
      </c>
      <c r="F19" s="40">
        <f t="shared" si="0"/>
        <v>-4.3343653250773995E-2</v>
      </c>
      <c r="G19" s="40">
        <f t="shared" si="1"/>
        <v>3.3291673849336323E-3</v>
      </c>
      <c r="I19" s="227"/>
      <c r="J19" s="227"/>
    </row>
    <row r="20" spans="2:12">
      <c r="C20" s="37" t="s">
        <v>171</v>
      </c>
      <c r="D20" s="38">
        <f>GETPIVOTDATA("dato",'[1]tabla dinámica nacionalidades'!$A$5,"indicador","AUSTRIA","año",2009)</f>
        <v>198</v>
      </c>
      <c r="E20" s="38">
        <f>GETPIVOTDATA("dato",'[1]tabla dinámica nacionalidades'!$A$5,"indicador","AUSTRIA","año",2010)</f>
        <v>201</v>
      </c>
      <c r="F20" s="40">
        <f t="shared" si="0"/>
        <v>1.5151515151515152E-2</v>
      </c>
      <c r="G20" s="40">
        <f t="shared" si="1"/>
        <v>2.1655749008791586E-3</v>
      </c>
      <c r="I20" s="227"/>
      <c r="J20" s="227"/>
    </row>
    <row r="21" spans="2:12">
      <c r="C21" s="37" t="s">
        <v>172</v>
      </c>
      <c r="D21" s="38">
        <f>GETPIVOTDATA("dato",'[1]tabla dinámica nacionalidades'!$A$5,"indicador","RUSIA","año",2009)</f>
        <v>256</v>
      </c>
      <c r="E21" s="38">
        <f>GETPIVOTDATA("dato",'[1]tabla dinámica nacionalidades'!$A$5,"indicador","RUSIA","año",2010)</f>
        <v>247</v>
      </c>
      <c r="F21" s="40">
        <f t="shared" si="0"/>
        <v>-3.515625E-2</v>
      </c>
      <c r="G21" s="40">
        <f t="shared" si="1"/>
        <v>2.6611791070505087E-3</v>
      </c>
      <c r="I21" s="227"/>
      <c r="J21" s="227"/>
    </row>
    <row r="22" spans="2:12">
      <c r="C22" s="230" t="s">
        <v>173</v>
      </c>
      <c r="D22" s="38">
        <f>GETPIVOTDATA("dato",'[1]tabla dinámica nacionalidades'!$A$5,"indicador","PAÍSES DEL ESTE","año",2009)</f>
        <v>580</v>
      </c>
      <c r="E22" s="38">
        <f>GETPIVOTDATA("dato",'[1]tabla dinámica nacionalidades'!$A$5,"indicador","PAÍSES DEL ESTE","año",2010)</f>
        <v>468</v>
      </c>
      <c r="F22" s="40">
        <f t="shared" si="0"/>
        <v>-0.19310344827586207</v>
      </c>
      <c r="G22" s="40">
        <f t="shared" si="1"/>
        <v>5.0422340975693845E-3</v>
      </c>
      <c r="I22" s="227"/>
      <c r="J22" s="227"/>
    </row>
    <row r="23" spans="2:12">
      <c r="C23" s="230" t="s">
        <v>174</v>
      </c>
      <c r="D23" s="38">
        <f>GETPIVOTDATA("dato",'[1]tabla dinámica nacionalidades'!$A$5,"indicador","RESTO DE EUROPA","año",2009)</f>
        <v>1092</v>
      </c>
      <c r="E23" s="38">
        <f>GETPIVOTDATA("dato",'[1]tabla dinámica nacionalidades'!$A$5,"indicador","RESTO DE EUROPA","año",2010)</f>
        <v>984</v>
      </c>
      <c r="F23" s="40">
        <f t="shared" si="0"/>
        <v>-9.8901098901098897E-2</v>
      </c>
      <c r="G23" s="40">
        <f t="shared" si="1"/>
        <v>1.060162041027409E-2</v>
      </c>
      <c r="I23" s="227"/>
      <c r="J23" s="227"/>
    </row>
    <row r="24" spans="2:12">
      <c r="C24" s="230" t="s">
        <v>175</v>
      </c>
      <c r="D24" s="38">
        <f>GETPIVOTDATA("dato",'[1]tabla dinámica nacionalidades'!$A$5,"indicador","USA","año",2009)</f>
        <v>556</v>
      </c>
      <c r="E24" s="38">
        <f>GETPIVOTDATA("dato",'[1]tabla dinámica nacionalidades'!$A$5,"indicador","USA","año",2010)</f>
        <v>786</v>
      </c>
      <c r="F24" s="40">
        <f t="shared" si="0"/>
        <v>0.41366906474820142</v>
      </c>
      <c r="G24" s="40">
        <f t="shared" si="1"/>
        <v>8.4683675228408896E-3</v>
      </c>
      <c r="I24" s="227"/>
      <c r="J24" s="227"/>
    </row>
    <row r="25" spans="2:12">
      <c r="C25" s="230" t="s">
        <v>176</v>
      </c>
      <c r="D25" s="38">
        <f>GETPIVOTDATA("dato",'[1]tabla dinámica nacionalidades'!$A$5,"indicador","RESTO DE AMÉRICA","año",2009)</f>
        <v>2462</v>
      </c>
      <c r="E25" s="38">
        <f>GETPIVOTDATA("dato",'[1]tabla dinámica nacionalidades'!$A$5,"indicador","RESTO DE AMÉRICA","año",2010)</f>
        <v>2741</v>
      </c>
      <c r="F25" s="40">
        <f t="shared" si="0"/>
        <v>0.11332250203086922</v>
      </c>
      <c r="G25" s="40">
        <f t="shared" si="1"/>
        <v>2.9531546285123254E-2</v>
      </c>
      <c r="I25" s="227"/>
      <c r="J25" s="227"/>
    </row>
    <row r="26" spans="2:12">
      <c r="C26" s="230" t="s">
        <v>177</v>
      </c>
      <c r="D26" s="38">
        <f>GETPIVOTDATA("dato",'[1]tabla dinámica nacionalidades'!$A$5,"indicador","RESTO DEL MUNDO","año",2009)</f>
        <v>1795</v>
      </c>
      <c r="E26" s="38">
        <f>GETPIVOTDATA("dato",'[1]tabla dinámica nacionalidades'!$A$5,"indicador","RESTO DEL MUNDO","año",2010)</f>
        <v>2153</v>
      </c>
      <c r="F26" s="40">
        <f t="shared" si="0"/>
        <v>0.19944289693593314</v>
      </c>
      <c r="G26" s="40">
        <f t="shared" si="1"/>
        <v>2.3196431649715566E-2</v>
      </c>
      <c r="I26" s="227"/>
      <c r="J26" s="227"/>
    </row>
    <row r="27" spans="2:12">
      <c r="C27" s="231" t="s">
        <v>178</v>
      </c>
      <c r="D27" s="232">
        <f>D28-D6</f>
        <v>15818</v>
      </c>
      <c r="E27" s="232">
        <f t="shared" ref="E27" si="2">E28-E6</f>
        <v>16443</v>
      </c>
      <c r="F27" s="233">
        <f t="shared" si="0"/>
        <v>3.9511948413200153E-2</v>
      </c>
      <c r="G27" s="233">
        <f t="shared" si="1"/>
        <v>0.17715695569729356</v>
      </c>
      <c r="I27" s="227"/>
      <c r="J27" s="227"/>
    </row>
    <row r="28" spans="2:12">
      <c r="C28" s="234" t="s">
        <v>105</v>
      </c>
      <c r="D28" s="235">
        <f>GETPIVOTDATA("dato",'[1]tabla dinámica nacionalidades'!$A$5,"indicador","TOTAL","año",2009)</f>
        <v>95588</v>
      </c>
      <c r="E28" s="235">
        <f>GETPIVOTDATA("dato",'[1]tabla dinámica nacionalidades'!$A$5,"indicador","TOTAL","año",2010)</f>
        <v>92816</v>
      </c>
      <c r="F28" s="236">
        <f t="shared" si="0"/>
        <v>-2.8999455998660918E-2</v>
      </c>
      <c r="G28" s="236">
        <f t="shared" si="1"/>
        <v>1</v>
      </c>
      <c r="I28" s="227"/>
      <c r="J28" s="227"/>
    </row>
    <row r="29" spans="2:12" ht="23.25" customHeight="1">
      <c r="B29" s="12"/>
      <c r="C29" s="237" t="s">
        <v>181</v>
      </c>
      <c r="D29" s="238"/>
      <c r="E29" s="238"/>
      <c r="F29" s="238"/>
      <c r="G29" s="239"/>
      <c r="H29" s="12"/>
      <c r="I29" s="12"/>
      <c r="J29" s="12"/>
      <c r="K29" s="12"/>
      <c r="L29" s="12"/>
    </row>
    <row r="32" spans="2:12" ht="13.5" thickBot="1"/>
    <row r="33" spans="3:8" ht="29.25" customHeight="1" thickBot="1">
      <c r="G33" s="60" t="s">
        <v>50</v>
      </c>
    </row>
    <row r="38" spans="3:8">
      <c r="C38" s="240"/>
      <c r="D38" s="240"/>
      <c r="E38" s="240"/>
      <c r="F38" s="240"/>
      <c r="G38" s="240"/>
      <c r="H38" s="240"/>
    </row>
    <row r="39" spans="3:8">
      <c r="C39" s="240"/>
      <c r="D39" s="240"/>
      <c r="E39" s="240"/>
      <c r="F39" s="240"/>
      <c r="G39" s="240"/>
      <c r="H39" s="240"/>
    </row>
    <row r="40" spans="3:8">
      <c r="C40" s="240"/>
      <c r="D40" s="240"/>
      <c r="E40" s="240"/>
      <c r="F40" s="240"/>
      <c r="G40" s="240"/>
      <c r="H40" s="240"/>
    </row>
    <row r="41" spans="3:8">
      <c r="C41" s="241"/>
      <c r="D41" s="242"/>
      <c r="E41" s="240"/>
      <c r="F41" s="241"/>
      <c r="G41" s="242"/>
      <c r="H41" s="240"/>
    </row>
    <row r="42" spans="3:8">
      <c r="C42" s="241"/>
      <c r="D42" s="242"/>
      <c r="E42" s="240"/>
      <c r="F42" s="241"/>
      <c r="G42" s="242"/>
      <c r="H42" s="240"/>
    </row>
    <row r="43" spans="3:8">
      <c r="C43" s="243"/>
      <c r="D43" s="242"/>
      <c r="E43" s="240"/>
      <c r="F43" s="243"/>
      <c r="G43" s="242"/>
      <c r="H43" s="240"/>
    </row>
    <row r="44" spans="3:8">
      <c r="C44" s="243"/>
      <c r="D44" s="242"/>
      <c r="E44" s="240"/>
      <c r="F44" s="241"/>
      <c r="G44" s="242"/>
      <c r="H44" s="240"/>
    </row>
    <row r="45" spans="3:8">
      <c r="C45" s="243"/>
      <c r="D45" s="242"/>
      <c r="E45" s="240"/>
      <c r="F45" s="241"/>
      <c r="G45" s="242"/>
      <c r="H45" s="240"/>
    </row>
    <row r="46" spans="3:8">
      <c r="C46" s="241"/>
      <c r="D46" s="242"/>
      <c r="E46" s="240"/>
      <c r="F46" s="244"/>
      <c r="G46" s="242"/>
      <c r="H46" s="240"/>
    </row>
    <row r="47" spans="3:8">
      <c r="C47" s="241"/>
      <c r="D47" s="242"/>
      <c r="E47" s="240"/>
      <c r="F47" s="244"/>
      <c r="G47" s="242"/>
      <c r="H47" s="240"/>
    </row>
    <row r="48" spans="3:8">
      <c r="C48" s="244"/>
      <c r="D48" s="242"/>
      <c r="E48" s="240"/>
      <c r="F48" s="240"/>
      <c r="G48" s="240"/>
      <c r="H48" s="240"/>
    </row>
    <row r="49" spans="3:8">
      <c r="C49" s="244"/>
      <c r="D49" s="242"/>
      <c r="E49" s="240"/>
      <c r="F49" s="240"/>
      <c r="G49" s="240"/>
      <c r="H49" s="240"/>
    </row>
    <row r="50" spans="3:8">
      <c r="C50" s="244"/>
      <c r="D50" s="242"/>
      <c r="E50" s="240"/>
      <c r="F50" s="240"/>
      <c r="G50" s="240"/>
      <c r="H50" s="240"/>
    </row>
    <row r="51" spans="3:8">
      <c r="C51" s="240"/>
      <c r="D51" s="240"/>
      <c r="E51" s="240"/>
      <c r="F51" s="240"/>
      <c r="G51" s="240"/>
      <c r="H51" s="240"/>
    </row>
    <row r="55" spans="3:8" ht="23.25" customHeight="1"/>
  </sheetData>
  <mergeCells count="2">
    <mergeCell ref="C4:G4"/>
    <mergeCell ref="C29:G29"/>
  </mergeCells>
  <hyperlinks>
    <hyperlink ref="G33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4:L29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2.5703125" style="2" customWidth="1"/>
    <col min="7" max="7" width="4.710937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6" ht="36.75" customHeight="1">
      <c r="C4" s="245" t="s">
        <v>182</v>
      </c>
      <c r="D4" s="246"/>
      <c r="E4" s="247"/>
    </row>
    <row r="5" spans="3:6" ht="43.5" customHeight="1">
      <c r="C5" s="221" t="s">
        <v>155</v>
      </c>
      <c r="D5" s="222" t="str">
        <f>actualizaciones!A3</f>
        <v>acumulado julio 2009</v>
      </c>
      <c r="E5" s="222" t="str">
        <f>actualizaciones!A2</f>
        <v xml:space="preserve">acumulado julio 2010 </v>
      </c>
    </row>
    <row r="6" spans="3:6" ht="15">
      <c r="C6" s="224" t="s">
        <v>156</v>
      </c>
      <c r="D6" s="248">
        <f>'Nacionalidades '!D6/'Nacionalidades '!$D$28</f>
        <v>0.83451897727748248</v>
      </c>
      <c r="E6" s="249">
        <f>'Nacionalidades '!E6/'Nacionalidades '!$E$28</f>
        <v>0.82284304430270638</v>
      </c>
      <c r="F6" s="250"/>
    </row>
    <row r="7" spans="3:6" ht="15">
      <c r="C7" s="37" t="s">
        <v>158</v>
      </c>
      <c r="D7" s="251">
        <f>'Nacionalidades '!D7/'Nacionalidades '!$D$28</f>
        <v>4.1427794283801318E-3</v>
      </c>
      <c r="E7" s="252">
        <f>'Nacionalidades '!E7/'Nacionalidades '!$E$28</f>
        <v>5.4516462678848472E-3</v>
      </c>
      <c r="F7" s="250"/>
    </row>
    <row r="8" spans="3:6" ht="15">
      <c r="C8" s="37" t="s">
        <v>159</v>
      </c>
      <c r="D8" s="251">
        <f>'Nacionalidades '!D8/'Nacionalidades '!$D$28</f>
        <v>3.4104699334644517E-3</v>
      </c>
      <c r="E8" s="252">
        <f>'Nacionalidades '!E8/'Nacionalidades '!$E$28</f>
        <v>3.6631615238751939E-3</v>
      </c>
      <c r="F8" s="250"/>
    </row>
    <row r="9" spans="3:6" ht="15">
      <c r="C9" s="37" t="s">
        <v>160</v>
      </c>
      <c r="D9" s="251">
        <f>'Nacionalidades '!D9/'Nacionalidades '!$D$28</f>
        <v>1.9510817257396326E-2</v>
      </c>
      <c r="E9" s="252">
        <f>'Nacionalidades '!E9/'Nacionalidades '!$E$28</f>
        <v>2.1009308739872435E-2</v>
      </c>
      <c r="F9" s="250"/>
    </row>
    <row r="10" spans="3:6">
      <c r="C10" s="228" t="s">
        <v>161</v>
      </c>
      <c r="D10" s="251">
        <f>'Nacionalidades '!D10/'Nacionalidades '!$D$28</f>
        <v>1.6079424195505711E-2</v>
      </c>
      <c r="E10" s="252">
        <f>'Nacionalidades '!E10/'Nacionalidades '!$E$28</f>
        <v>1.4814256162730563E-2</v>
      </c>
    </row>
    <row r="11" spans="3:6">
      <c r="C11" s="228" t="s">
        <v>162</v>
      </c>
      <c r="D11" s="251">
        <f>'Nacionalidades '!D11/'Nacionalidades '!$D$28</f>
        <v>1.7020964974683014E-2</v>
      </c>
      <c r="E11" s="252">
        <f>'Nacionalidades '!E11/'Nacionalidades '!$E$28</f>
        <v>1.8692897776245474E-2</v>
      </c>
    </row>
    <row r="12" spans="3:6">
      <c r="C12" s="228" t="s">
        <v>163</v>
      </c>
      <c r="D12" s="251">
        <f>'Nacionalidades '!D12/'Nacionalidades '!$D$28</f>
        <v>2.47939071850023E-3</v>
      </c>
      <c r="E12" s="252">
        <f>'Nacionalidades '!E12/'Nacionalidades '!$E$28</f>
        <v>2.5642130667126359E-3</v>
      </c>
    </row>
    <row r="13" spans="3:6" ht="15">
      <c r="C13" s="228" t="s">
        <v>164</v>
      </c>
      <c r="D13" s="251">
        <f>'Nacionalidades '!D13/'Nacionalidades '!$D$28</f>
        <v>1.6100347323931875E-2</v>
      </c>
      <c r="E13" s="252">
        <f>'Nacionalidades '!E13/'Nacionalidades '!$E$28</f>
        <v>1.6085588691604896E-2</v>
      </c>
      <c r="F13" s="250"/>
    </row>
    <row r="14" spans="3:6" ht="15">
      <c r="C14" s="37" t="s">
        <v>165</v>
      </c>
      <c r="D14" s="251">
        <f>'Nacionalidades '!D14/'Nacionalidades '!$D$28</f>
        <v>8.2750972925471813E-3</v>
      </c>
      <c r="E14" s="252">
        <f>'Nacionalidades '!E14/'Nacionalidades '!$E$28</f>
        <v>7.6279951732459925E-3</v>
      </c>
      <c r="F14" s="250"/>
    </row>
    <row r="15" spans="3:6" ht="15">
      <c r="C15" s="229" t="s">
        <v>166</v>
      </c>
      <c r="D15" s="251">
        <f>'Nacionalidades '!D15/'Nacionalidades '!$D$28</f>
        <v>2.47939071850023E-3</v>
      </c>
      <c r="E15" s="252">
        <f>'Nacionalidades '!E15/'Nacionalidades '!$E$28</f>
        <v>2.7365971384244094E-3</v>
      </c>
      <c r="F15" s="250"/>
    </row>
    <row r="16" spans="3:6" ht="15">
      <c r="C16" s="229" t="s">
        <v>167</v>
      </c>
      <c r="D16" s="251">
        <f>'Nacionalidades '!D16/'Nacionalidades '!$D$28</f>
        <v>2.4689291542871489E-3</v>
      </c>
      <c r="E16" s="252">
        <f>'Nacionalidades '!E16/'Nacionalidades '!$E$28</f>
        <v>1.8423547664195828E-3</v>
      </c>
      <c r="F16" s="250"/>
    </row>
    <row r="17" spans="2:12" ht="15">
      <c r="C17" s="229" t="s">
        <v>168</v>
      </c>
      <c r="D17" s="251">
        <f>'Nacionalidades '!D17/'Nacionalidades '!$D$28</f>
        <v>2.4898522827133114E-3</v>
      </c>
      <c r="E17" s="252">
        <f>'Nacionalidades '!E17/'Nacionalidades '!$E$28</f>
        <v>2.2517669367350455E-3</v>
      </c>
      <c r="F17" s="250"/>
    </row>
    <row r="18" spans="2:12" ht="15">
      <c r="C18" s="229" t="s">
        <v>169</v>
      </c>
      <c r="D18" s="251">
        <f>'Nacionalidades '!D18/'Nacionalidades '!$D$28</f>
        <v>3.3267774197598024E-3</v>
      </c>
      <c r="E18" s="252">
        <f>'Nacionalidades '!E18/'Nacionalidades '!$E$28</f>
        <v>3.0490432684019998E-3</v>
      </c>
      <c r="F18" s="250"/>
    </row>
    <row r="19" spans="2:12">
      <c r="C19" s="37" t="s">
        <v>170</v>
      </c>
      <c r="D19" s="251">
        <f>'Nacionalidades '!D19/'Nacionalidades '!$D$28</f>
        <v>3.3790852408252083E-3</v>
      </c>
      <c r="E19" s="252">
        <f>'Nacionalidades '!E19/'Nacionalidades '!$E$28</f>
        <v>3.3291673849336323E-3</v>
      </c>
    </row>
    <row r="20" spans="2:12">
      <c r="C20" s="37" t="s">
        <v>171</v>
      </c>
      <c r="D20" s="251">
        <f>'Nacionalidades '!D20/'Nacionalidades '!$D$28</f>
        <v>2.0713897141900659E-3</v>
      </c>
      <c r="E20" s="252">
        <f>'Nacionalidades '!E20/'Nacionalidades '!$E$28</f>
        <v>2.1655749008791586E-3</v>
      </c>
    </row>
    <row r="21" spans="2:12">
      <c r="C21" s="37" t="s">
        <v>172</v>
      </c>
      <c r="D21" s="251">
        <f>'Nacionalidades '!D21/'Nacionalidades '!$D$28</f>
        <v>2.6781604385487717E-3</v>
      </c>
      <c r="E21" s="252">
        <f>'Nacionalidades '!E21/'Nacionalidades '!$E$28</f>
        <v>2.6611791070505087E-3</v>
      </c>
    </row>
    <row r="22" spans="2:12">
      <c r="C22" s="230" t="s">
        <v>173</v>
      </c>
      <c r="D22" s="251">
        <f>'Nacionalidades '!D22/'Nacionalidades '!$D$28</f>
        <v>6.0677072435870614E-3</v>
      </c>
      <c r="E22" s="252">
        <f>'Nacionalidades '!E22/'Nacionalidades '!$E$28</f>
        <v>5.0422340975693845E-3</v>
      </c>
    </row>
    <row r="23" spans="2:12">
      <c r="C23" s="230" t="s">
        <v>174</v>
      </c>
      <c r="D23" s="251">
        <f>'Nacionalidades '!D23/'Nacionalidades '!$D$28</f>
        <v>1.1424028120684604E-2</v>
      </c>
      <c r="E23" s="252">
        <f>'Nacionalidades '!E23/'Nacionalidades '!$E$28</f>
        <v>1.060162041027409E-2</v>
      </c>
    </row>
    <row r="24" spans="2:12">
      <c r="C24" s="230" t="s">
        <v>175</v>
      </c>
      <c r="D24" s="251">
        <f>'Nacionalidades '!D24/'Nacionalidades '!$D$28</f>
        <v>5.8166297024731138E-3</v>
      </c>
      <c r="E24" s="252">
        <f>'Nacionalidades '!E24/'Nacionalidades '!$E$28</f>
        <v>8.4683675228408896E-3</v>
      </c>
    </row>
    <row r="25" spans="2:12">
      <c r="C25" s="230" t="s">
        <v>176</v>
      </c>
      <c r="D25" s="251">
        <f>'Nacionalidades '!D25/'Nacionalidades '!$D$28</f>
        <v>2.5756371092605767E-2</v>
      </c>
      <c r="E25" s="252">
        <f>'Nacionalidades '!E25/'Nacionalidades '!$E$28</f>
        <v>2.9531546285123254E-2</v>
      </c>
    </row>
    <row r="26" spans="2:12">
      <c r="C26" s="230" t="s">
        <v>177</v>
      </c>
      <c r="D26" s="251">
        <f>'Nacionalidades '!D26/'Nacionalidades '!$D$28</f>
        <v>1.8778507762480644E-2</v>
      </c>
      <c r="E26" s="252">
        <f>'Nacionalidades '!E26/'Nacionalidades '!$E$28</f>
        <v>2.3196431649715566E-2</v>
      </c>
    </row>
    <row r="27" spans="2:12">
      <c r="C27" s="231" t="s">
        <v>178</v>
      </c>
      <c r="D27" s="253">
        <f>'Nacionalidades '!D27/'Nacionalidades '!$D$28</f>
        <v>0.16548102272251747</v>
      </c>
      <c r="E27" s="254">
        <f>'Nacionalidades '!E27/'Nacionalidades '!$E$28</f>
        <v>0.17715695569729356</v>
      </c>
    </row>
    <row r="28" spans="2:12">
      <c r="C28" s="234" t="s">
        <v>105</v>
      </c>
      <c r="D28" s="255">
        <f>'Nacionalidades '!D28/'Nacionalidades '!$D$28</f>
        <v>1</v>
      </c>
      <c r="E28" s="256">
        <f>'Nacionalidades '!E28/'Nacionalidades '!$E$28</f>
        <v>1</v>
      </c>
    </row>
    <row r="29" spans="2:12" ht="22.5" customHeight="1">
      <c r="B29" s="12"/>
      <c r="C29" s="237" t="s">
        <v>183</v>
      </c>
      <c r="D29" s="238"/>
      <c r="E29" s="239"/>
      <c r="F29" s="12"/>
      <c r="G29" s="12"/>
      <c r="H29" s="12"/>
      <c r="I29" s="12"/>
      <c r="J29" s="12"/>
      <c r="K29" s="12"/>
      <c r="L29" s="12"/>
    </row>
  </sheetData>
  <mergeCells count="2">
    <mergeCell ref="C4:E4"/>
    <mergeCell ref="C29:E2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92">
    <tabColor theme="4" tint="-0.499984740745262"/>
    <pageSetUpPr autoPageBreaks="0" fitToPage="1"/>
  </sheetPr>
  <dimension ref="D6:N84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14" t="s">
        <v>11</v>
      </c>
      <c r="E6" s="14"/>
      <c r="F6" s="14"/>
      <c r="G6" s="14"/>
    </row>
    <row r="7" spans="4:7" ht="15" customHeight="1">
      <c r="D7" s="15"/>
      <c r="E7" s="1"/>
      <c r="F7" s="1"/>
      <c r="G7" s="1"/>
    </row>
    <row r="8" spans="4:7" ht="24.95" customHeight="1">
      <c r="D8" s="15"/>
      <c r="E8" s="24" t="s">
        <v>19</v>
      </c>
      <c r="F8" s="25"/>
      <c r="G8" s="25"/>
    </row>
    <row r="9" spans="4:7" ht="15" customHeight="1">
      <c r="D9" s="15"/>
      <c r="E9" s="1"/>
      <c r="F9" s="1"/>
      <c r="G9" s="1"/>
    </row>
    <row r="10" spans="4:7" ht="15" customHeight="1">
      <c r="D10" s="1"/>
      <c r="E10" s="16" t="s">
        <v>10</v>
      </c>
      <c r="F10" s="6"/>
      <c r="G10" s="6"/>
    </row>
    <row r="11" spans="4:7" ht="20.100000000000001" customHeight="1">
      <c r="D11" s="1"/>
      <c r="E11" s="1"/>
      <c r="F11" s="17"/>
      <c r="G11" s="1"/>
    </row>
    <row r="12" spans="4:7" ht="20.100000000000001" customHeight="1">
      <c r="D12" s="1"/>
      <c r="E12" s="1"/>
      <c r="F12" s="18" t="s">
        <v>20</v>
      </c>
      <c r="G12" s="1"/>
    </row>
    <row r="13" spans="4:7" ht="20.100000000000001" customHeight="1">
      <c r="D13" s="1"/>
      <c r="E13" s="1"/>
      <c r="F13" s="18" t="s">
        <v>21</v>
      </c>
      <c r="G13" s="1"/>
    </row>
    <row r="14" spans="4:7" ht="20.100000000000001" customHeight="1">
      <c r="D14" s="1"/>
      <c r="E14" s="1"/>
      <c r="F14" s="17"/>
      <c r="G14" s="1"/>
    </row>
    <row r="15" spans="4:7" ht="20.100000000000001" customHeight="1">
      <c r="D15" s="1"/>
      <c r="E15" s="16" t="s">
        <v>17</v>
      </c>
      <c r="F15" s="6"/>
      <c r="G15" s="6"/>
    </row>
    <row r="16" spans="4:7" ht="20.100000000000001" customHeight="1">
      <c r="D16" s="1"/>
      <c r="E16" s="1"/>
      <c r="F16" s="17"/>
      <c r="G16" s="1"/>
    </row>
    <row r="17" spans="4:7" ht="20.100000000000001" customHeight="1">
      <c r="D17" s="1"/>
      <c r="E17" s="20"/>
      <c r="F17" s="19" t="s">
        <v>22</v>
      </c>
      <c r="G17" s="1"/>
    </row>
    <row r="18" spans="4:7" ht="20.100000000000001" customHeight="1">
      <c r="D18" s="1"/>
      <c r="E18" s="20"/>
      <c r="F18" s="20"/>
      <c r="G18" s="1"/>
    </row>
    <row r="19" spans="4:7" ht="20.100000000000001" customHeight="1">
      <c r="D19" s="15"/>
      <c r="E19" s="24" t="str">
        <f>actualizaciones!A2</f>
        <v xml:space="preserve">acumulado julio 2010 </v>
      </c>
      <c r="F19" s="25"/>
      <c r="G19" s="25"/>
    </row>
    <row r="20" spans="4:7" ht="20.100000000000001" customHeight="1">
      <c r="D20" s="15"/>
      <c r="E20" s="1"/>
      <c r="F20" s="1"/>
      <c r="G20" s="1"/>
    </row>
    <row r="21" spans="4:7" ht="15" customHeight="1">
      <c r="D21" s="1"/>
      <c r="E21" s="16" t="s">
        <v>10</v>
      </c>
      <c r="F21" s="6"/>
      <c r="G21" s="6"/>
    </row>
    <row r="22" spans="4:7" ht="15" customHeight="1">
      <c r="D22" s="1"/>
      <c r="E22" s="1"/>
      <c r="F22" s="17"/>
      <c r="G22" s="1"/>
    </row>
    <row r="23" spans="4:7" ht="24.95" customHeight="1">
      <c r="D23" s="1"/>
      <c r="E23" s="1"/>
      <c r="F23" s="18" t="s">
        <v>23</v>
      </c>
      <c r="G23" s="1"/>
    </row>
    <row r="24" spans="4:7" ht="15" customHeight="1">
      <c r="D24" s="1"/>
      <c r="E24" s="1"/>
      <c r="F24" s="18" t="s">
        <v>24</v>
      </c>
      <c r="G24" s="1"/>
    </row>
    <row r="25" spans="4:7" ht="15" customHeight="1">
      <c r="D25" s="1"/>
      <c r="E25" s="1"/>
      <c r="F25" s="17"/>
      <c r="G25" s="1"/>
    </row>
    <row r="26" spans="4:7" ht="20.100000000000001" customHeight="1">
      <c r="D26" s="21"/>
    </row>
    <row r="27" spans="4:7" ht="20.100000000000001" customHeight="1">
      <c r="D27" s="11" t="s">
        <v>8</v>
      </c>
      <c r="E27" s="11"/>
      <c r="F27" s="11"/>
      <c r="G27" s="11"/>
    </row>
    <row r="28" spans="4:7" ht="20.100000000000001" customHeight="1">
      <c r="D28" s="12"/>
      <c r="E28" s="12"/>
      <c r="F28" s="12"/>
      <c r="G28" s="12"/>
    </row>
    <row r="29" spans="4:7" ht="20.100000000000001" customHeight="1"/>
    <row r="30" spans="4:7" ht="15" customHeight="1"/>
    <row r="31" spans="4:7" ht="15" customHeight="1">
      <c r="E31" s="22"/>
      <c r="F31" s="23"/>
    </row>
    <row r="32" spans="4:7" ht="15" customHeight="1"/>
    <row r="33" spans="4:14" ht="15" customHeight="1">
      <c r="D33" s="21"/>
      <c r="H33" s="12"/>
      <c r="I33" s="12"/>
      <c r="J33" s="12"/>
      <c r="K33" s="12"/>
      <c r="L33" s="12"/>
      <c r="M33" s="12"/>
      <c r="N33" s="12"/>
    </row>
    <row r="34" spans="4:14" ht="15" customHeight="1"/>
    <row r="35" spans="4:14" ht="20.100000000000001" customHeight="1"/>
    <row r="36" spans="4:14" ht="15" customHeight="1"/>
    <row r="37" spans="4:14" ht="15" customHeight="1"/>
    <row r="38" spans="4:14" ht="15" customHeight="1">
      <c r="D38" s="21"/>
    </row>
    <row r="39" spans="4:14" ht="15" customHeight="1"/>
    <row r="40" spans="4:14" ht="15" customHeight="1"/>
    <row r="41" spans="4:14" ht="15" customHeight="1"/>
    <row r="42" spans="4:14" ht="15" customHeight="1"/>
    <row r="43" spans="4:14" ht="15" customHeight="1"/>
    <row r="44" spans="4:14" ht="15" customHeight="1"/>
    <row r="45" spans="4:14" ht="15" customHeight="1"/>
    <row r="46" spans="4:14" ht="15" customHeight="1"/>
    <row r="47" spans="4:14" ht="15" customHeight="1"/>
    <row r="48" spans="4:14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</sheetData>
  <mergeCells count="2">
    <mergeCell ref="D6:G6"/>
    <mergeCell ref="D27:G27"/>
  </mergeCells>
  <hyperlinks>
    <hyperlink ref="F13" location="'var evolu x tipolo'!A1" tooltip="Variación interanual" display="Variación interanual"/>
    <hyperlink ref="F17" location="'grafica evolución alo x tip'!A1" tooltip="Evolución anual" display="Evolución anual"/>
    <hyperlink ref="F12" location="'tab. Turistas alojados tip'!A1" tooltip="Evolución anual" display="Evolución anual"/>
    <hyperlink ref="F23" location="'Alojados tipología'!A1" tooltip="Tipología de establecimiento" display="Tipología de establecimiento"/>
    <hyperlink ref="F24" location="'tab.Evolución mensual tipología'!A1" tooltip="Evolución mensual " display="Evolución mensual 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>
      <selection activeCell="I13" sqref="I13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60" t="s">
        <v>52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I13" sqref="I13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60" t="s">
        <v>52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7:J34"/>
  <sheetViews>
    <sheetView showGridLines="0" showRowColHeaders="0" showOutlineSymbols="0" zoomScaleNormal="100" workbookViewId="0">
      <selection activeCell="I13" sqref="I13"/>
    </sheetView>
  </sheetViews>
  <sheetFormatPr baseColWidth="10" defaultRowHeight="12"/>
  <cols>
    <col min="1" max="1" width="11.42578125" style="259"/>
    <col min="2" max="2" width="17.85546875" style="259" customWidth="1"/>
    <col min="3" max="3" width="8.7109375" style="259" customWidth="1"/>
    <col min="4" max="4" width="11.28515625" style="259" customWidth="1"/>
    <col min="5" max="5" width="13.140625" style="259" customWidth="1"/>
    <col min="6" max="6" width="11.5703125" style="259" bestFit="1" customWidth="1"/>
    <col min="7" max="8" width="9.85546875" style="259" bestFit="1" customWidth="1"/>
    <col min="9" max="255" width="11.42578125" style="259"/>
    <col min="256" max="256" width="15.85546875" style="259" bestFit="1" customWidth="1"/>
    <col min="257" max="257" width="8.7109375" style="259" customWidth="1"/>
    <col min="258" max="258" width="11.28515625" style="259" customWidth="1"/>
    <col min="259" max="263" width="9.7109375" style="259" bestFit="1" customWidth="1"/>
    <col min="264" max="264" width="15.140625" style="259" customWidth="1"/>
    <col min="265" max="511" width="11.42578125" style="259"/>
    <col min="512" max="512" width="15.85546875" style="259" bestFit="1" customWidth="1"/>
    <col min="513" max="513" width="8.7109375" style="259" customWidth="1"/>
    <col min="514" max="514" width="11.28515625" style="259" customWidth="1"/>
    <col min="515" max="519" width="9.7109375" style="259" bestFit="1" customWidth="1"/>
    <col min="520" max="520" width="15.140625" style="259" customWidth="1"/>
    <col min="521" max="767" width="11.42578125" style="259"/>
    <col min="768" max="768" width="15.85546875" style="259" bestFit="1" customWidth="1"/>
    <col min="769" max="769" width="8.7109375" style="259" customWidth="1"/>
    <col min="770" max="770" width="11.28515625" style="259" customWidth="1"/>
    <col min="771" max="775" width="9.7109375" style="259" bestFit="1" customWidth="1"/>
    <col min="776" max="776" width="15.140625" style="259" customWidth="1"/>
    <col min="777" max="1023" width="11.42578125" style="259"/>
    <col min="1024" max="1024" width="15.85546875" style="259" bestFit="1" customWidth="1"/>
    <col min="1025" max="1025" width="8.7109375" style="259" customWidth="1"/>
    <col min="1026" max="1026" width="11.28515625" style="259" customWidth="1"/>
    <col min="1027" max="1031" width="9.7109375" style="259" bestFit="1" customWidth="1"/>
    <col min="1032" max="1032" width="15.140625" style="259" customWidth="1"/>
    <col min="1033" max="1279" width="11.42578125" style="259"/>
    <col min="1280" max="1280" width="15.85546875" style="259" bestFit="1" customWidth="1"/>
    <col min="1281" max="1281" width="8.7109375" style="259" customWidth="1"/>
    <col min="1282" max="1282" width="11.28515625" style="259" customWidth="1"/>
    <col min="1283" max="1287" width="9.7109375" style="259" bestFit="1" customWidth="1"/>
    <col min="1288" max="1288" width="15.140625" style="259" customWidth="1"/>
    <col min="1289" max="1535" width="11.42578125" style="259"/>
    <col min="1536" max="1536" width="15.85546875" style="259" bestFit="1" customWidth="1"/>
    <col min="1537" max="1537" width="8.7109375" style="259" customWidth="1"/>
    <col min="1538" max="1538" width="11.28515625" style="259" customWidth="1"/>
    <col min="1539" max="1543" width="9.7109375" style="259" bestFit="1" customWidth="1"/>
    <col min="1544" max="1544" width="15.140625" style="259" customWidth="1"/>
    <col min="1545" max="1791" width="11.42578125" style="259"/>
    <col min="1792" max="1792" width="15.85546875" style="259" bestFit="1" customWidth="1"/>
    <col min="1793" max="1793" width="8.7109375" style="259" customWidth="1"/>
    <col min="1794" max="1794" width="11.28515625" style="259" customWidth="1"/>
    <col min="1795" max="1799" width="9.7109375" style="259" bestFit="1" customWidth="1"/>
    <col min="1800" max="1800" width="15.140625" style="259" customWidth="1"/>
    <col min="1801" max="2047" width="11.42578125" style="259"/>
    <col min="2048" max="2048" width="15.85546875" style="259" bestFit="1" customWidth="1"/>
    <col min="2049" max="2049" width="8.7109375" style="259" customWidth="1"/>
    <col min="2050" max="2050" width="11.28515625" style="259" customWidth="1"/>
    <col min="2051" max="2055" width="9.7109375" style="259" bestFit="1" customWidth="1"/>
    <col min="2056" max="2056" width="15.140625" style="259" customWidth="1"/>
    <col min="2057" max="2303" width="11.42578125" style="259"/>
    <col min="2304" max="2304" width="15.85546875" style="259" bestFit="1" customWidth="1"/>
    <col min="2305" max="2305" width="8.7109375" style="259" customWidth="1"/>
    <col min="2306" max="2306" width="11.28515625" style="259" customWidth="1"/>
    <col min="2307" max="2311" width="9.7109375" style="259" bestFit="1" customWidth="1"/>
    <col min="2312" max="2312" width="15.140625" style="259" customWidth="1"/>
    <col min="2313" max="2559" width="11.42578125" style="259"/>
    <col min="2560" max="2560" width="15.85546875" style="259" bestFit="1" customWidth="1"/>
    <col min="2561" max="2561" width="8.7109375" style="259" customWidth="1"/>
    <col min="2562" max="2562" width="11.28515625" style="259" customWidth="1"/>
    <col min="2563" max="2567" width="9.7109375" style="259" bestFit="1" customWidth="1"/>
    <col min="2568" max="2568" width="15.140625" style="259" customWidth="1"/>
    <col min="2569" max="2815" width="11.42578125" style="259"/>
    <col min="2816" max="2816" width="15.85546875" style="259" bestFit="1" customWidth="1"/>
    <col min="2817" max="2817" width="8.7109375" style="259" customWidth="1"/>
    <col min="2818" max="2818" width="11.28515625" style="259" customWidth="1"/>
    <col min="2819" max="2823" width="9.7109375" style="259" bestFit="1" customWidth="1"/>
    <col min="2824" max="2824" width="15.140625" style="259" customWidth="1"/>
    <col min="2825" max="3071" width="11.42578125" style="259"/>
    <col min="3072" max="3072" width="15.85546875" style="259" bestFit="1" customWidth="1"/>
    <col min="3073" max="3073" width="8.7109375" style="259" customWidth="1"/>
    <col min="3074" max="3074" width="11.28515625" style="259" customWidth="1"/>
    <col min="3075" max="3079" width="9.7109375" style="259" bestFit="1" customWidth="1"/>
    <col min="3080" max="3080" width="15.140625" style="259" customWidth="1"/>
    <col min="3081" max="3327" width="11.42578125" style="259"/>
    <col min="3328" max="3328" width="15.85546875" style="259" bestFit="1" customWidth="1"/>
    <col min="3329" max="3329" width="8.7109375" style="259" customWidth="1"/>
    <col min="3330" max="3330" width="11.28515625" style="259" customWidth="1"/>
    <col min="3331" max="3335" width="9.7109375" style="259" bestFit="1" customWidth="1"/>
    <col min="3336" max="3336" width="15.140625" style="259" customWidth="1"/>
    <col min="3337" max="3583" width="11.42578125" style="259"/>
    <col min="3584" max="3584" width="15.85546875" style="259" bestFit="1" customWidth="1"/>
    <col min="3585" max="3585" width="8.7109375" style="259" customWidth="1"/>
    <col min="3586" max="3586" width="11.28515625" style="259" customWidth="1"/>
    <col min="3587" max="3591" width="9.7109375" style="259" bestFit="1" customWidth="1"/>
    <col min="3592" max="3592" width="15.140625" style="259" customWidth="1"/>
    <col min="3593" max="3839" width="11.42578125" style="259"/>
    <col min="3840" max="3840" width="15.85546875" style="259" bestFit="1" customWidth="1"/>
    <col min="3841" max="3841" width="8.7109375" style="259" customWidth="1"/>
    <col min="3842" max="3842" width="11.28515625" style="259" customWidth="1"/>
    <col min="3843" max="3847" width="9.7109375" style="259" bestFit="1" customWidth="1"/>
    <col min="3848" max="3848" width="15.140625" style="259" customWidth="1"/>
    <col min="3849" max="4095" width="11.42578125" style="259"/>
    <col min="4096" max="4096" width="15.85546875" style="259" bestFit="1" customWidth="1"/>
    <col min="4097" max="4097" width="8.7109375" style="259" customWidth="1"/>
    <col min="4098" max="4098" width="11.28515625" style="259" customWidth="1"/>
    <col min="4099" max="4103" width="9.7109375" style="259" bestFit="1" customWidth="1"/>
    <col min="4104" max="4104" width="15.140625" style="259" customWidth="1"/>
    <col min="4105" max="4351" width="11.42578125" style="259"/>
    <col min="4352" max="4352" width="15.85546875" style="259" bestFit="1" customWidth="1"/>
    <col min="4353" max="4353" width="8.7109375" style="259" customWidth="1"/>
    <col min="4354" max="4354" width="11.28515625" style="259" customWidth="1"/>
    <col min="4355" max="4359" width="9.7109375" style="259" bestFit="1" customWidth="1"/>
    <col min="4360" max="4360" width="15.140625" style="259" customWidth="1"/>
    <col min="4361" max="4607" width="11.42578125" style="259"/>
    <col min="4608" max="4608" width="15.85546875" style="259" bestFit="1" customWidth="1"/>
    <col min="4609" max="4609" width="8.7109375" style="259" customWidth="1"/>
    <col min="4610" max="4610" width="11.28515625" style="259" customWidth="1"/>
    <col min="4611" max="4615" width="9.7109375" style="259" bestFit="1" customWidth="1"/>
    <col min="4616" max="4616" width="15.140625" style="259" customWidth="1"/>
    <col min="4617" max="4863" width="11.42578125" style="259"/>
    <col min="4864" max="4864" width="15.85546875" style="259" bestFit="1" customWidth="1"/>
    <col min="4865" max="4865" width="8.7109375" style="259" customWidth="1"/>
    <col min="4866" max="4866" width="11.28515625" style="259" customWidth="1"/>
    <col min="4867" max="4871" width="9.7109375" style="259" bestFit="1" customWidth="1"/>
    <col min="4872" max="4872" width="15.140625" style="259" customWidth="1"/>
    <col min="4873" max="5119" width="11.42578125" style="259"/>
    <col min="5120" max="5120" width="15.85546875" style="259" bestFit="1" customWidth="1"/>
    <col min="5121" max="5121" width="8.7109375" style="259" customWidth="1"/>
    <col min="5122" max="5122" width="11.28515625" style="259" customWidth="1"/>
    <col min="5123" max="5127" width="9.7109375" style="259" bestFit="1" customWidth="1"/>
    <col min="5128" max="5128" width="15.140625" style="259" customWidth="1"/>
    <col min="5129" max="5375" width="11.42578125" style="259"/>
    <col min="5376" max="5376" width="15.85546875" style="259" bestFit="1" customWidth="1"/>
    <col min="5377" max="5377" width="8.7109375" style="259" customWidth="1"/>
    <col min="5378" max="5378" width="11.28515625" style="259" customWidth="1"/>
    <col min="5379" max="5383" width="9.7109375" style="259" bestFit="1" customWidth="1"/>
    <col min="5384" max="5384" width="15.140625" style="259" customWidth="1"/>
    <col min="5385" max="5631" width="11.42578125" style="259"/>
    <col min="5632" max="5632" width="15.85546875" style="259" bestFit="1" customWidth="1"/>
    <col min="5633" max="5633" width="8.7109375" style="259" customWidth="1"/>
    <col min="5634" max="5634" width="11.28515625" style="259" customWidth="1"/>
    <col min="5635" max="5639" width="9.7109375" style="259" bestFit="1" customWidth="1"/>
    <col min="5640" max="5640" width="15.140625" style="259" customWidth="1"/>
    <col min="5641" max="5887" width="11.42578125" style="259"/>
    <col min="5888" max="5888" width="15.85546875" style="259" bestFit="1" customWidth="1"/>
    <col min="5889" max="5889" width="8.7109375" style="259" customWidth="1"/>
    <col min="5890" max="5890" width="11.28515625" style="259" customWidth="1"/>
    <col min="5891" max="5895" width="9.7109375" style="259" bestFit="1" customWidth="1"/>
    <col min="5896" max="5896" width="15.140625" style="259" customWidth="1"/>
    <col min="5897" max="6143" width="11.42578125" style="259"/>
    <col min="6144" max="6144" width="15.85546875" style="259" bestFit="1" customWidth="1"/>
    <col min="6145" max="6145" width="8.7109375" style="259" customWidth="1"/>
    <col min="6146" max="6146" width="11.28515625" style="259" customWidth="1"/>
    <col min="6147" max="6151" width="9.7109375" style="259" bestFit="1" customWidth="1"/>
    <col min="6152" max="6152" width="15.140625" style="259" customWidth="1"/>
    <col min="6153" max="6399" width="11.42578125" style="259"/>
    <col min="6400" max="6400" width="15.85546875" style="259" bestFit="1" customWidth="1"/>
    <col min="6401" max="6401" width="8.7109375" style="259" customWidth="1"/>
    <col min="6402" max="6402" width="11.28515625" style="259" customWidth="1"/>
    <col min="6403" max="6407" width="9.7109375" style="259" bestFit="1" customWidth="1"/>
    <col min="6408" max="6408" width="15.140625" style="259" customWidth="1"/>
    <col min="6409" max="6655" width="11.42578125" style="259"/>
    <col min="6656" max="6656" width="15.85546875" style="259" bestFit="1" customWidth="1"/>
    <col min="6657" max="6657" width="8.7109375" style="259" customWidth="1"/>
    <col min="6658" max="6658" width="11.28515625" style="259" customWidth="1"/>
    <col min="6659" max="6663" width="9.7109375" style="259" bestFit="1" customWidth="1"/>
    <col min="6664" max="6664" width="15.140625" style="259" customWidth="1"/>
    <col min="6665" max="6911" width="11.42578125" style="259"/>
    <col min="6912" max="6912" width="15.85546875" style="259" bestFit="1" customWidth="1"/>
    <col min="6913" max="6913" width="8.7109375" style="259" customWidth="1"/>
    <col min="6914" max="6914" width="11.28515625" style="259" customWidth="1"/>
    <col min="6915" max="6919" width="9.7109375" style="259" bestFit="1" customWidth="1"/>
    <col min="6920" max="6920" width="15.140625" style="259" customWidth="1"/>
    <col min="6921" max="7167" width="11.42578125" style="259"/>
    <col min="7168" max="7168" width="15.85546875" style="259" bestFit="1" customWidth="1"/>
    <col min="7169" max="7169" width="8.7109375" style="259" customWidth="1"/>
    <col min="7170" max="7170" width="11.28515625" style="259" customWidth="1"/>
    <col min="7171" max="7175" width="9.7109375" style="259" bestFit="1" customWidth="1"/>
    <col min="7176" max="7176" width="15.140625" style="259" customWidth="1"/>
    <col min="7177" max="7423" width="11.42578125" style="259"/>
    <col min="7424" max="7424" width="15.85546875" style="259" bestFit="1" customWidth="1"/>
    <col min="7425" max="7425" width="8.7109375" style="259" customWidth="1"/>
    <col min="7426" max="7426" width="11.28515625" style="259" customWidth="1"/>
    <col min="7427" max="7431" width="9.7109375" style="259" bestFit="1" customWidth="1"/>
    <col min="7432" max="7432" width="15.140625" style="259" customWidth="1"/>
    <col min="7433" max="7679" width="11.42578125" style="259"/>
    <col min="7680" max="7680" width="15.85546875" style="259" bestFit="1" customWidth="1"/>
    <col min="7681" max="7681" width="8.7109375" style="259" customWidth="1"/>
    <col min="7682" max="7682" width="11.28515625" style="259" customWidth="1"/>
    <col min="7683" max="7687" width="9.7109375" style="259" bestFit="1" customWidth="1"/>
    <col min="7688" max="7688" width="15.140625" style="259" customWidth="1"/>
    <col min="7689" max="7935" width="11.42578125" style="259"/>
    <col min="7936" max="7936" width="15.85546875" style="259" bestFit="1" customWidth="1"/>
    <col min="7937" max="7937" width="8.7109375" style="259" customWidth="1"/>
    <col min="7938" max="7938" width="11.28515625" style="259" customWidth="1"/>
    <col min="7939" max="7943" width="9.7109375" style="259" bestFit="1" customWidth="1"/>
    <col min="7944" max="7944" width="15.140625" style="259" customWidth="1"/>
    <col min="7945" max="8191" width="11.42578125" style="259"/>
    <col min="8192" max="8192" width="15.85546875" style="259" bestFit="1" customWidth="1"/>
    <col min="8193" max="8193" width="8.7109375" style="259" customWidth="1"/>
    <col min="8194" max="8194" width="11.28515625" style="259" customWidth="1"/>
    <col min="8195" max="8199" width="9.7109375" style="259" bestFit="1" customWidth="1"/>
    <col min="8200" max="8200" width="15.140625" style="259" customWidth="1"/>
    <col min="8201" max="8447" width="11.42578125" style="259"/>
    <col min="8448" max="8448" width="15.85546875" style="259" bestFit="1" customWidth="1"/>
    <col min="8449" max="8449" width="8.7109375" style="259" customWidth="1"/>
    <col min="8450" max="8450" width="11.28515625" style="259" customWidth="1"/>
    <col min="8451" max="8455" width="9.7109375" style="259" bestFit="1" customWidth="1"/>
    <col min="8456" max="8456" width="15.140625" style="259" customWidth="1"/>
    <col min="8457" max="8703" width="11.42578125" style="259"/>
    <col min="8704" max="8704" width="15.85546875" style="259" bestFit="1" customWidth="1"/>
    <col min="8705" max="8705" width="8.7109375" style="259" customWidth="1"/>
    <col min="8706" max="8706" width="11.28515625" style="259" customWidth="1"/>
    <col min="8707" max="8711" width="9.7109375" style="259" bestFit="1" customWidth="1"/>
    <col min="8712" max="8712" width="15.140625" style="259" customWidth="1"/>
    <col min="8713" max="8959" width="11.42578125" style="259"/>
    <col min="8960" max="8960" width="15.85546875" style="259" bestFit="1" customWidth="1"/>
    <col min="8961" max="8961" width="8.7109375" style="259" customWidth="1"/>
    <col min="8962" max="8962" width="11.28515625" style="259" customWidth="1"/>
    <col min="8963" max="8967" width="9.7109375" style="259" bestFit="1" customWidth="1"/>
    <col min="8968" max="8968" width="15.140625" style="259" customWidth="1"/>
    <col min="8969" max="9215" width="11.42578125" style="259"/>
    <col min="9216" max="9216" width="15.85546875" style="259" bestFit="1" customWidth="1"/>
    <col min="9217" max="9217" width="8.7109375" style="259" customWidth="1"/>
    <col min="9218" max="9218" width="11.28515625" style="259" customWidth="1"/>
    <col min="9219" max="9223" width="9.7109375" style="259" bestFit="1" customWidth="1"/>
    <col min="9224" max="9224" width="15.140625" style="259" customWidth="1"/>
    <col min="9225" max="9471" width="11.42578125" style="259"/>
    <col min="9472" max="9472" width="15.85546875" style="259" bestFit="1" customWidth="1"/>
    <col min="9473" max="9473" width="8.7109375" style="259" customWidth="1"/>
    <col min="9474" max="9474" width="11.28515625" style="259" customWidth="1"/>
    <col min="9475" max="9479" width="9.7109375" style="259" bestFit="1" customWidth="1"/>
    <col min="9480" max="9480" width="15.140625" style="259" customWidth="1"/>
    <col min="9481" max="9727" width="11.42578125" style="259"/>
    <col min="9728" max="9728" width="15.85546875" style="259" bestFit="1" customWidth="1"/>
    <col min="9729" max="9729" width="8.7109375" style="259" customWidth="1"/>
    <col min="9730" max="9730" width="11.28515625" style="259" customWidth="1"/>
    <col min="9731" max="9735" width="9.7109375" style="259" bestFit="1" customWidth="1"/>
    <col min="9736" max="9736" width="15.140625" style="259" customWidth="1"/>
    <col min="9737" max="9983" width="11.42578125" style="259"/>
    <col min="9984" max="9984" width="15.85546875" style="259" bestFit="1" customWidth="1"/>
    <col min="9985" max="9985" width="8.7109375" style="259" customWidth="1"/>
    <col min="9986" max="9986" width="11.28515625" style="259" customWidth="1"/>
    <col min="9987" max="9991" width="9.7109375" style="259" bestFit="1" customWidth="1"/>
    <col min="9992" max="9992" width="15.140625" style="259" customWidth="1"/>
    <col min="9993" max="10239" width="11.42578125" style="259"/>
    <col min="10240" max="10240" width="15.85546875" style="259" bestFit="1" customWidth="1"/>
    <col min="10241" max="10241" width="8.7109375" style="259" customWidth="1"/>
    <col min="10242" max="10242" width="11.28515625" style="259" customWidth="1"/>
    <col min="10243" max="10247" width="9.7109375" style="259" bestFit="1" customWidth="1"/>
    <col min="10248" max="10248" width="15.140625" style="259" customWidth="1"/>
    <col min="10249" max="10495" width="11.42578125" style="259"/>
    <col min="10496" max="10496" width="15.85546875" style="259" bestFit="1" customWidth="1"/>
    <col min="10497" max="10497" width="8.7109375" style="259" customWidth="1"/>
    <col min="10498" max="10498" width="11.28515625" style="259" customWidth="1"/>
    <col min="10499" max="10503" width="9.7109375" style="259" bestFit="1" customWidth="1"/>
    <col min="10504" max="10504" width="15.140625" style="259" customWidth="1"/>
    <col min="10505" max="10751" width="11.42578125" style="259"/>
    <col min="10752" max="10752" width="15.85546875" style="259" bestFit="1" customWidth="1"/>
    <col min="10753" max="10753" width="8.7109375" style="259" customWidth="1"/>
    <col min="10754" max="10754" width="11.28515625" style="259" customWidth="1"/>
    <col min="10755" max="10759" width="9.7109375" style="259" bestFit="1" customWidth="1"/>
    <col min="10760" max="10760" width="15.140625" style="259" customWidth="1"/>
    <col min="10761" max="11007" width="11.42578125" style="259"/>
    <col min="11008" max="11008" width="15.85546875" style="259" bestFit="1" customWidth="1"/>
    <col min="11009" max="11009" width="8.7109375" style="259" customWidth="1"/>
    <col min="11010" max="11010" width="11.28515625" style="259" customWidth="1"/>
    <col min="11011" max="11015" width="9.7109375" style="259" bestFit="1" customWidth="1"/>
    <col min="11016" max="11016" width="15.140625" style="259" customWidth="1"/>
    <col min="11017" max="11263" width="11.42578125" style="259"/>
    <col min="11264" max="11264" width="15.85546875" style="259" bestFit="1" customWidth="1"/>
    <col min="11265" max="11265" width="8.7109375" style="259" customWidth="1"/>
    <col min="11266" max="11266" width="11.28515625" style="259" customWidth="1"/>
    <col min="11267" max="11271" width="9.7109375" style="259" bestFit="1" customWidth="1"/>
    <col min="11272" max="11272" width="15.140625" style="259" customWidth="1"/>
    <col min="11273" max="11519" width="11.42578125" style="259"/>
    <col min="11520" max="11520" width="15.85546875" style="259" bestFit="1" customWidth="1"/>
    <col min="11521" max="11521" width="8.7109375" style="259" customWidth="1"/>
    <col min="11522" max="11522" width="11.28515625" style="259" customWidth="1"/>
    <col min="11523" max="11527" width="9.7109375" style="259" bestFit="1" customWidth="1"/>
    <col min="11528" max="11528" width="15.140625" style="259" customWidth="1"/>
    <col min="11529" max="11775" width="11.42578125" style="259"/>
    <col min="11776" max="11776" width="15.85546875" style="259" bestFit="1" customWidth="1"/>
    <col min="11777" max="11777" width="8.7109375" style="259" customWidth="1"/>
    <col min="11778" max="11778" width="11.28515625" style="259" customWidth="1"/>
    <col min="11779" max="11783" width="9.7109375" style="259" bestFit="1" customWidth="1"/>
    <col min="11784" max="11784" width="15.140625" style="259" customWidth="1"/>
    <col min="11785" max="12031" width="11.42578125" style="259"/>
    <col min="12032" max="12032" width="15.85546875" style="259" bestFit="1" customWidth="1"/>
    <col min="12033" max="12033" width="8.7109375" style="259" customWidth="1"/>
    <col min="12034" max="12034" width="11.28515625" style="259" customWidth="1"/>
    <col min="12035" max="12039" width="9.7109375" style="259" bestFit="1" customWidth="1"/>
    <col min="12040" max="12040" width="15.140625" style="259" customWidth="1"/>
    <col min="12041" max="12287" width="11.42578125" style="259"/>
    <col min="12288" max="12288" width="15.85546875" style="259" bestFit="1" customWidth="1"/>
    <col min="12289" max="12289" width="8.7109375" style="259" customWidth="1"/>
    <col min="12290" max="12290" width="11.28515625" style="259" customWidth="1"/>
    <col min="12291" max="12295" width="9.7109375" style="259" bestFit="1" customWidth="1"/>
    <col min="12296" max="12296" width="15.140625" style="259" customWidth="1"/>
    <col min="12297" max="12543" width="11.42578125" style="259"/>
    <col min="12544" max="12544" width="15.85546875" style="259" bestFit="1" customWidth="1"/>
    <col min="12545" max="12545" width="8.7109375" style="259" customWidth="1"/>
    <col min="12546" max="12546" width="11.28515625" style="259" customWidth="1"/>
    <col min="12547" max="12551" width="9.7109375" style="259" bestFit="1" customWidth="1"/>
    <col min="12552" max="12552" width="15.140625" style="259" customWidth="1"/>
    <col min="12553" max="12799" width="11.42578125" style="259"/>
    <col min="12800" max="12800" width="15.85546875" style="259" bestFit="1" customWidth="1"/>
    <col min="12801" max="12801" width="8.7109375" style="259" customWidth="1"/>
    <col min="12802" max="12802" width="11.28515625" style="259" customWidth="1"/>
    <col min="12803" max="12807" width="9.7109375" style="259" bestFit="1" customWidth="1"/>
    <col min="12808" max="12808" width="15.140625" style="259" customWidth="1"/>
    <col min="12809" max="13055" width="11.42578125" style="259"/>
    <col min="13056" max="13056" width="15.85546875" style="259" bestFit="1" customWidth="1"/>
    <col min="13057" max="13057" width="8.7109375" style="259" customWidth="1"/>
    <col min="13058" max="13058" width="11.28515625" style="259" customWidth="1"/>
    <col min="13059" max="13063" width="9.7109375" style="259" bestFit="1" customWidth="1"/>
    <col min="13064" max="13064" width="15.140625" style="259" customWidth="1"/>
    <col min="13065" max="13311" width="11.42578125" style="259"/>
    <col min="13312" max="13312" width="15.85546875" style="259" bestFit="1" customWidth="1"/>
    <col min="13313" max="13313" width="8.7109375" style="259" customWidth="1"/>
    <col min="13314" max="13314" width="11.28515625" style="259" customWidth="1"/>
    <col min="13315" max="13319" width="9.7109375" style="259" bestFit="1" customWidth="1"/>
    <col min="13320" max="13320" width="15.140625" style="259" customWidth="1"/>
    <col min="13321" max="13567" width="11.42578125" style="259"/>
    <col min="13568" max="13568" width="15.85546875" style="259" bestFit="1" customWidth="1"/>
    <col min="13569" max="13569" width="8.7109375" style="259" customWidth="1"/>
    <col min="13570" max="13570" width="11.28515625" style="259" customWidth="1"/>
    <col min="13571" max="13575" width="9.7109375" style="259" bestFit="1" customWidth="1"/>
    <col min="13576" max="13576" width="15.140625" style="259" customWidth="1"/>
    <col min="13577" max="13823" width="11.42578125" style="259"/>
    <col min="13824" max="13824" width="15.85546875" style="259" bestFit="1" customWidth="1"/>
    <col min="13825" max="13825" width="8.7109375" style="259" customWidth="1"/>
    <col min="13826" max="13826" width="11.28515625" style="259" customWidth="1"/>
    <col min="13827" max="13831" width="9.7109375" style="259" bestFit="1" customWidth="1"/>
    <col min="13832" max="13832" width="15.140625" style="259" customWidth="1"/>
    <col min="13833" max="14079" width="11.42578125" style="259"/>
    <col min="14080" max="14080" width="15.85546875" style="259" bestFit="1" customWidth="1"/>
    <col min="14081" max="14081" width="8.7109375" style="259" customWidth="1"/>
    <col min="14082" max="14082" width="11.28515625" style="259" customWidth="1"/>
    <col min="14083" max="14087" width="9.7109375" style="259" bestFit="1" customWidth="1"/>
    <col min="14088" max="14088" width="15.140625" style="259" customWidth="1"/>
    <col min="14089" max="14335" width="11.42578125" style="259"/>
    <col min="14336" max="14336" width="15.85546875" style="259" bestFit="1" customWidth="1"/>
    <col min="14337" max="14337" width="8.7109375" style="259" customWidth="1"/>
    <col min="14338" max="14338" width="11.28515625" style="259" customWidth="1"/>
    <col min="14339" max="14343" width="9.7109375" style="259" bestFit="1" customWidth="1"/>
    <col min="14344" max="14344" width="15.140625" style="259" customWidth="1"/>
    <col min="14345" max="14591" width="11.42578125" style="259"/>
    <col min="14592" max="14592" width="15.85546875" style="259" bestFit="1" customWidth="1"/>
    <col min="14593" max="14593" width="8.7109375" style="259" customWidth="1"/>
    <col min="14594" max="14594" width="11.28515625" style="259" customWidth="1"/>
    <col min="14595" max="14599" width="9.7109375" style="259" bestFit="1" customWidth="1"/>
    <col min="14600" max="14600" width="15.140625" style="259" customWidth="1"/>
    <col min="14601" max="14847" width="11.42578125" style="259"/>
    <col min="14848" max="14848" width="15.85546875" style="259" bestFit="1" customWidth="1"/>
    <col min="14849" max="14849" width="8.7109375" style="259" customWidth="1"/>
    <col min="14850" max="14850" width="11.28515625" style="259" customWidth="1"/>
    <col min="14851" max="14855" width="9.7109375" style="259" bestFit="1" customWidth="1"/>
    <col min="14856" max="14856" width="15.140625" style="259" customWidth="1"/>
    <col min="14857" max="15103" width="11.42578125" style="259"/>
    <col min="15104" max="15104" width="15.85546875" style="259" bestFit="1" customWidth="1"/>
    <col min="15105" max="15105" width="8.7109375" style="259" customWidth="1"/>
    <col min="15106" max="15106" width="11.28515625" style="259" customWidth="1"/>
    <col min="15107" max="15111" width="9.7109375" style="259" bestFit="1" customWidth="1"/>
    <col min="15112" max="15112" width="15.140625" style="259" customWidth="1"/>
    <col min="15113" max="15359" width="11.42578125" style="259"/>
    <col min="15360" max="15360" width="15.85546875" style="259" bestFit="1" customWidth="1"/>
    <col min="15361" max="15361" width="8.7109375" style="259" customWidth="1"/>
    <col min="15362" max="15362" width="11.28515625" style="259" customWidth="1"/>
    <col min="15363" max="15367" width="9.7109375" style="259" bestFit="1" customWidth="1"/>
    <col min="15368" max="15368" width="15.140625" style="259" customWidth="1"/>
    <col min="15369" max="15615" width="11.42578125" style="259"/>
    <col min="15616" max="15616" width="15.85546875" style="259" bestFit="1" customWidth="1"/>
    <col min="15617" max="15617" width="8.7109375" style="259" customWidth="1"/>
    <col min="15618" max="15618" width="11.28515625" style="259" customWidth="1"/>
    <col min="15619" max="15623" width="9.7109375" style="259" bestFit="1" customWidth="1"/>
    <col min="15624" max="15624" width="15.140625" style="259" customWidth="1"/>
    <col min="15625" max="15871" width="11.42578125" style="259"/>
    <col min="15872" max="15872" width="15.85546875" style="259" bestFit="1" customWidth="1"/>
    <col min="15873" max="15873" width="8.7109375" style="259" customWidth="1"/>
    <col min="15874" max="15874" width="11.28515625" style="259" customWidth="1"/>
    <col min="15875" max="15879" width="9.7109375" style="259" bestFit="1" customWidth="1"/>
    <col min="15880" max="15880" width="15.140625" style="259" customWidth="1"/>
    <col min="15881" max="16127" width="11.42578125" style="259"/>
    <col min="16128" max="16128" width="15.85546875" style="259" bestFit="1" customWidth="1"/>
    <col min="16129" max="16129" width="8.7109375" style="259" customWidth="1"/>
    <col min="16130" max="16130" width="11.28515625" style="259" customWidth="1"/>
    <col min="16131" max="16135" width="9.7109375" style="259" bestFit="1" customWidth="1"/>
    <col min="16136" max="16136" width="15.140625" style="259" customWidth="1"/>
    <col min="16137" max="16384" width="11.42578125" style="259"/>
  </cols>
  <sheetData>
    <row r="7" spans="2:8" ht="30" customHeight="1">
      <c r="B7" s="257" t="s">
        <v>184</v>
      </c>
      <c r="C7" s="258"/>
      <c r="D7" s="258"/>
      <c r="E7" s="258"/>
      <c r="F7" s="258"/>
      <c r="G7" s="258"/>
      <c r="H7" s="258"/>
    </row>
    <row r="8" spans="2:8" ht="12.75">
      <c r="B8" s="260" t="str">
        <f>actualizaciones!A2</f>
        <v xml:space="preserve">acumulado julio 2010 </v>
      </c>
      <c r="C8" s="261"/>
      <c r="D8" s="261"/>
      <c r="E8" s="261"/>
      <c r="F8" s="261"/>
      <c r="G8" s="261"/>
      <c r="H8" s="261"/>
    </row>
    <row r="9" spans="2:8" ht="13.5" customHeight="1">
      <c r="B9" s="262" t="s">
        <v>155</v>
      </c>
      <c r="C9" s="263" t="s">
        <v>92</v>
      </c>
      <c r="D9" s="263" t="s">
        <v>185</v>
      </c>
      <c r="E9" s="263"/>
      <c r="F9" s="263"/>
      <c r="G9" s="263"/>
      <c r="H9" s="263"/>
    </row>
    <row r="10" spans="2:8" ht="22.5" customHeight="1">
      <c r="B10" s="262"/>
      <c r="C10" s="264"/>
      <c r="D10" s="265" t="s">
        <v>186</v>
      </c>
      <c r="E10" s="265" t="s">
        <v>187</v>
      </c>
      <c r="F10" s="265" t="s">
        <v>188</v>
      </c>
      <c r="G10" s="265" t="s">
        <v>189</v>
      </c>
      <c r="H10" s="265" t="s">
        <v>190</v>
      </c>
    </row>
    <row r="11" spans="2:8" ht="12.75">
      <c r="B11" s="266" t="s">
        <v>156</v>
      </c>
      <c r="C11" s="267">
        <f>GETPIVOTDATA("dato",'[1]tabla dinámica nacionalidad-cat'!$A$4,"indicador","España","categoría","TOTAL","año",2010)</f>
        <v>76373</v>
      </c>
      <c r="D11" s="267">
        <f>GETPIVOTDATA("dato",'[1]tabla dinámica nacionalidad-cat'!$A$4,"indicador","España","categoría","HOTELEROS","año",2010)</f>
        <v>76373</v>
      </c>
      <c r="E11" s="267">
        <f>GETPIVOTDATA("dato",'[1]tabla dinámica nacionalidad-cat'!$A$4,"indicador","España","categoría","4* Y 5*","año",2010)</f>
        <v>27931</v>
      </c>
      <c r="F11" s="267">
        <f>GETPIVOTDATA("dato",'[1]tabla dinámica nacionalidad-cat'!$A$4,"indicador","España","categoría","3 *","año",2010)</f>
        <v>21886</v>
      </c>
      <c r="G11" s="267">
        <f>GETPIVOTDATA("dato",'[1]tabla dinámica nacionalidad-cat'!$A$4,"indicador","España","categoría","2*","año",2010)</f>
        <v>23391</v>
      </c>
      <c r="H11" s="267">
        <f>GETPIVOTDATA("dato",'[1]tabla dinámica nacionalidad-cat'!$A$4,"indicador","España","categoría","2*","año",2010)</f>
        <v>23391</v>
      </c>
    </row>
    <row r="12" spans="2:8" ht="12.75">
      <c r="B12" s="268" t="s">
        <v>158</v>
      </c>
      <c r="C12" s="269">
        <f>GETPIVOTDATA("dato",'[1]tabla dinámica nacionalidad-cat'!$A$4,"indicador","HOLANDA","categoría","TOTAL","año",2010)</f>
        <v>506</v>
      </c>
      <c r="D12" s="269">
        <f>GETPIVOTDATA("dato",'[1]tabla dinámica nacionalidad-cat'!$A$4,"indicador","HOLANDA","categoría","HOTELEROS","año",2010)</f>
        <v>506</v>
      </c>
      <c r="E12" s="269">
        <f>GETPIVOTDATA("dato",'[1]tabla dinámica nacionalidad-cat'!$A$4,"indicador","HOLANDA","categoría","4* Y 5*","año",2010)</f>
        <v>118</v>
      </c>
      <c r="F12" s="269">
        <f>GETPIVOTDATA("dato",'[1]tabla dinámica nacionalidad-cat'!$A$4,"indicador","HOLANDA","categoría","3 *","año",2010)</f>
        <v>58</v>
      </c>
      <c r="G12" s="269">
        <f>GETPIVOTDATA("dato",'[1]tabla dinámica nacionalidad-cat'!$A$4,"indicador","HOLANDA","categoría","2*","año",2010)</f>
        <v>278</v>
      </c>
      <c r="H12" s="269">
        <f>GETPIVOTDATA("dato",'[1]tabla dinámica nacionalidad-cat'!$A$4,"indicador","HOLANDA","categoría","2*","año",2010)</f>
        <v>278</v>
      </c>
    </row>
    <row r="13" spans="2:8" ht="12.75">
      <c r="B13" s="268" t="s">
        <v>159</v>
      </c>
      <c r="C13" s="269">
        <f>GETPIVOTDATA("dato",'[1]tabla dinámica nacionalidad-cat'!$A$4,"indicador","BÉLGICA","categoría","TOTAL","año",2010)</f>
        <v>340</v>
      </c>
      <c r="D13" s="269">
        <f>GETPIVOTDATA("dato",'[1]tabla dinámica nacionalidad-cat'!$A$4,"indicador","BÉLGICA","categoría","HOTELEROS","año",2010)</f>
        <v>340</v>
      </c>
      <c r="E13" s="269">
        <f>GETPIVOTDATA("dato",'[1]tabla dinámica nacionalidad-cat'!$A$4,"indicador","BÉLGICA","categoría","4* Y 5*","año",2010)</f>
        <v>108</v>
      </c>
      <c r="F13" s="269">
        <f>GETPIVOTDATA("dato",'[1]tabla dinámica nacionalidad-cat'!$A$4,"indicador","BÉLGICA","categoría","3 *","año",2010)</f>
        <v>76</v>
      </c>
      <c r="G13" s="269">
        <f>GETPIVOTDATA("dato",'[1]tabla dinámica nacionalidad-cat'!$A$4,"indicador","BÉLGICA","categoría","2*","año",2010)</f>
        <v>113</v>
      </c>
      <c r="H13" s="269">
        <f>GETPIVOTDATA("dato",'[1]tabla dinámica nacionalidad-cat'!$A$4,"indicador","BÉLGICA","categoría","2*","año",2010)</f>
        <v>113</v>
      </c>
    </row>
    <row r="14" spans="2:8" ht="12.75">
      <c r="B14" s="268" t="s">
        <v>160</v>
      </c>
      <c r="C14" s="269">
        <f>GETPIVOTDATA("dato",'[1]tabla dinámica nacionalidad-cat'!$A$4,"indicador","ALEMANIA","categoría","TOTAL","año",2010)</f>
        <v>1950</v>
      </c>
      <c r="D14" s="269">
        <f>GETPIVOTDATA("dato",'[1]tabla dinámica nacionalidad-cat'!$A$4,"indicador","ALEMANIA","categoría","HOTELEROS","año",2010)</f>
        <v>1950</v>
      </c>
      <c r="E14" s="269">
        <f>GETPIVOTDATA("dato",'[1]tabla dinámica nacionalidad-cat'!$A$4,"indicador","ALEMANIA","categoría","4* Y 5*","año",2010)</f>
        <v>337</v>
      </c>
      <c r="F14" s="269">
        <f>GETPIVOTDATA("dato",'[1]tabla dinámica nacionalidad-cat'!$A$4,"indicador","ALEMANIA","categoría","3 *","año",2010)</f>
        <v>489</v>
      </c>
      <c r="G14" s="269">
        <f>GETPIVOTDATA("dato",'[1]tabla dinámica nacionalidad-cat'!$A$4,"indicador","ALEMANIA","categoría","2*","año",2010)</f>
        <v>830</v>
      </c>
      <c r="H14" s="269">
        <f>GETPIVOTDATA("dato",'[1]tabla dinámica nacionalidad-cat'!$A$4,"indicador","ALEMANIA","categoría","2*","año",2010)</f>
        <v>830</v>
      </c>
    </row>
    <row r="15" spans="2:8" ht="12.75">
      <c r="B15" s="270" t="s">
        <v>161</v>
      </c>
      <c r="C15" s="269">
        <f>GETPIVOTDATA("dato",'[1]tabla dinámica nacionalidad-cat'!$A$4,"indicador","FRANCIA","categoría","TOTAL","año",2010)</f>
        <v>1375</v>
      </c>
      <c r="D15" s="269">
        <f>GETPIVOTDATA("dato",'[1]tabla dinámica nacionalidad-cat'!$A$4,"indicador","FRANCIA","categoría","HOTELEROS","año",2010)</f>
        <v>1375</v>
      </c>
      <c r="E15" s="269">
        <f>GETPIVOTDATA("dato",'[1]tabla dinámica nacionalidad-cat'!$A$4,"indicador","FRANCIA","categoría","4* Y 5*","año",2010)</f>
        <v>191</v>
      </c>
      <c r="F15" s="269">
        <f>GETPIVOTDATA("dato",'[1]tabla dinámica nacionalidad-cat'!$A$4,"indicador","FRANCIA","categoría","3 *","año",2010)</f>
        <v>396</v>
      </c>
      <c r="G15" s="269">
        <f>GETPIVOTDATA("dato",'[1]tabla dinámica nacionalidad-cat'!$A$4,"indicador","FRANCIA","categoría","2*","año",2010)</f>
        <v>506</v>
      </c>
      <c r="H15" s="269">
        <f>GETPIVOTDATA("dato",'[1]tabla dinámica nacionalidad-cat'!$A$4,"indicador","FRANCIA","categoría","2*","año",2010)</f>
        <v>506</v>
      </c>
    </row>
    <row r="16" spans="2:8" ht="12.75">
      <c r="B16" s="270" t="s">
        <v>162</v>
      </c>
      <c r="C16" s="269">
        <f>GETPIVOTDATA("dato",'[1]tabla dinámica nacionalidad-cat'!$A$4,"indicador","REINO UNIDO","categoría","TOTAL","año",2010)</f>
        <v>1735</v>
      </c>
      <c r="D16" s="269">
        <f>GETPIVOTDATA("dato",'[1]tabla dinámica nacionalidad-cat'!$A$4,"indicador","REINO UNIDO","categoría","HOTELEROS","año",2010)</f>
        <v>1735</v>
      </c>
      <c r="E16" s="269">
        <f>GETPIVOTDATA("dato",'[1]tabla dinámica nacionalidad-cat'!$A$4,"indicador","REINO UNIDO","categoría","4* Y 5*","año",2010)</f>
        <v>484</v>
      </c>
      <c r="F16" s="269">
        <f>GETPIVOTDATA("dato",'[1]tabla dinámica nacionalidad-cat'!$A$4,"indicador","REINO UNIDO","categoría","3 *","año",2010)</f>
        <v>538</v>
      </c>
      <c r="G16" s="269">
        <f>GETPIVOTDATA("dato",'[1]tabla dinámica nacionalidad-cat'!$A$4,"indicador","REINO UNIDO","categoría","2*","año",2010)</f>
        <v>633</v>
      </c>
      <c r="H16" s="269">
        <f>GETPIVOTDATA("dato",'[1]tabla dinámica nacionalidad-cat'!$A$4,"indicador","REINO UNIDO","categoría","2*","año",2010)</f>
        <v>633</v>
      </c>
    </row>
    <row r="17" spans="2:10" ht="12.75">
      <c r="B17" s="270" t="s">
        <v>163</v>
      </c>
      <c r="C17" s="269">
        <f>GETPIVOTDATA("dato",'[1]tabla dinámica nacionalidad-cat'!$A$4,"indicador","IRLANDA","categoría","TOTAL","año",2010)</f>
        <v>238</v>
      </c>
      <c r="D17" s="269">
        <f>GETPIVOTDATA("dato",'[1]tabla dinámica nacionalidad-cat'!$A$4,"indicador","IRLANDA","categoría","HOTELEROS","año",2010)</f>
        <v>238</v>
      </c>
      <c r="E17" s="269">
        <f>GETPIVOTDATA("dato",'[1]tabla dinámica nacionalidad-cat'!$A$4,"indicador","IRLANDA","categoría","4* Y 5*","año",2010)</f>
        <v>39</v>
      </c>
      <c r="F17" s="269">
        <f>GETPIVOTDATA("dato",'[1]tabla dinámica nacionalidad-cat'!$A$4,"indicador","IRLANDA","categoría","3 *","año",2010)</f>
        <v>66</v>
      </c>
      <c r="G17" s="269">
        <f>GETPIVOTDATA("dato",'[1]tabla dinámica nacionalidad-cat'!$A$4,"indicador","IRLANDA","categoría","2*","año",2010)</f>
        <v>100</v>
      </c>
      <c r="H17" s="269">
        <f>GETPIVOTDATA("dato",'[1]tabla dinámica nacionalidad-cat'!$A$4,"indicador","IRLANDA","categoría","2*","año",2010)</f>
        <v>100</v>
      </c>
    </row>
    <row r="18" spans="2:10" ht="12.75">
      <c r="B18" s="270" t="s">
        <v>164</v>
      </c>
      <c r="C18" s="269">
        <f>GETPIVOTDATA("dato",'[1]tabla dinámica nacionalidad-cat'!$A$4,"indicador","ITALIA","categoría","TOTAL","año",2010)</f>
        <v>1493</v>
      </c>
      <c r="D18" s="269">
        <f>GETPIVOTDATA("dato",'[1]tabla dinámica nacionalidad-cat'!$A$4,"indicador","ITALIA","categoría","HOTELEROS","año",2010)</f>
        <v>1493</v>
      </c>
      <c r="E18" s="269">
        <f>GETPIVOTDATA("dato",'[1]tabla dinámica nacionalidad-cat'!$A$4,"indicador","ITALIA","categoría","4* Y 5*","año",2010)</f>
        <v>178</v>
      </c>
      <c r="F18" s="269">
        <f>GETPIVOTDATA("dato",'[1]tabla dinámica nacionalidad-cat'!$A$4,"indicador","ITALIA","categoría","3 *","año",2010)</f>
        <v>421</v>
      </c>
      <c r="G18" s="269">
        <f>GETPIVOTDATA("dato",'[1]tabla dinámica nacionalidad-cat'!$A$4,"indicador","ITALIA","categoría","2*","año",2010)</f>
        <v>673</v>
      </c>
      <c r="H18" s="269">
        <f>GETPIVOTDATA("dato",'[1]tabla dinámica nacionalidad-cat'!$A$4,"indicador","ITALIA","categoría","2*","año",2010)</f>
        <v>673</v>
      </c>
    </row>
    <row r="19" spans="2:10" ht="12.75">
      <c r="B19" s="268" t="s">
        <v>165</v>
      </c>
      <c r="C19" s="269">
        <f>C20+C21+C22+C23</f>
        <v>917</v>
      </c>
      <c r="D19" s="269">
        <f t="shared" ref="D19:H19" si="0">D20+D21+D22+D23</f>
        <v>917</v>
      </c>
      <c r="E19" s="269">
        <f t="shared" si="0"/>
        <v>108</v>
      </c>
      <c r="F19" s="269">
        <f t="shared" si="0"/>
        <v>233</v>
      </c>
      <c r="G19" s="269">
        <f t="shared" si="0"/>
        <v>515</v>
      </c>
      <c r="H19" s="269">
        <f t="shared" si="0"/>
        <v>515</v>
      </c>
    </row>
    <row r="20" spans="2:10" ht="12.75">
      <c r="B20" s="271" t="s">
        <v>166</v>
      </c>
      <c r="C20" s="269">
        <f>GETPIVOTDATA("dato",'[1]tabla dinámica nacionalidad-cat'!$A$4,"indicador","SUECIA","categoría","TOTAL","año",2010)</f>
        <v>254</v>
      </c>
      <c r="D20" s="269">
        <f>GETPIVOTDATA("dato",'[1]tabla dinámica nacionalidad-cat'!$A$4,"indicador","SUECIA","categoría","HOTELEROS","año",2010)</f>
        <v>254</v>
      </c>
      <c r="E20" s="269">
        <f>GETPIVOTDATA("dato",'[1]tabla dinámica nacionalidad-cat'!$A$4,"indicador","SUECIA","categoría","4* Y 5*","año",2010)</f>
        <v>41</v>
      </c>
      <c r="F20" s="269">
        <f>GETPIVOTDATA("dato",'[1]tabla dinámica nacionalidad-cat'!$A$4,"indicador","SUECIA","categoría","3 *","año",2010)</f>
        <v>59</v>
      </c>
      <c r="G20" s="269">
        <f>GETPIVOTDATA("dato",'[1]tabla dinámica nacionalidad-cat'!$A$4,"indicador","SUECIA","categoría","2*","año",2010)</f>
        <v>126</v>
      </c>
      <c r="H20" s="269">
        <f>GETPIVOTDATA("dato",'[1]tabla dinámica nacionalidad-cat'!$A$4,"indicador","SUECIA","categoría","2*","año",2010)</f>
        <v>126</v>
      </c>
    </row>
    <row r="21" spans="2:10" ht="12.75">
      <c r="B21" s="271" t="s">
        <v>167</v>
      </c>
      <c r="C21" s="269">
        <f>GETPIVOTDATA("dato",'[1]tabla dinámica nacionalidad-cat'!$A$4,"indicador","NORUEGA","categoría","TOTAL","año",2010)</f>
        <v>171</v>
      </c>
      <c r="D21" s="269">
        <f>GETPIVOTDATA("dato",'[1]tabla dinámica nacionalidad-cat'!$A$4,"indicador","NORUEGA","categoría","HOTELEROS","año",2010)</f>
        <v>171</v>
      </c>
      <c r="E21" s="269">
        <f>GETPIVOTDATA("dato",'[1]tabla dinámica nacionalidad-cat'!$A$4,"indicador","NORUEGA","categoría","4* Y 5*","año",2010)</f>
        <v>34</v>
      </c>
      <c r="F21" s="269">
        <f>GETPIVOTDATA("dato",'[1]tabla dinámica nacionalidad-cat'!$A$4,"indicador","NORUEGA","categoría","3 *","año",2010)</f>
        <v>45</v>
      </c>
      <c r="G21" s="269">
        <f>GETPIVOTDATA("dato",'[1]tabla dinámica nacionalidad-cat'!$A$4,"indicador","NORUEGA","categoría","2*","año",2010)</f>
        <v>81</v>
      </c>
      <c r="H21" s="269">
        <f>GETPIVOTDATA("dato",'[1]tabla dinámica nacionalidad-cat'!$A$4,"indicador","NORUEGA","categoría","2*","año",2010)</f>
        <v>81</v>
      </c>
    </row>
    <row r="22" spans="2:10" ht="12.75">
      <c r="B22" s="271" t="s">
        <v>168</v>
      </c>
      <c r="C22" s="269">
        <f>GETPIVOTDATA("dato",'[1]tabla dinámica nacionalidad-cat'!$A$4,"indicador","DINAMARCA","categoría","TOTAL","año",2010)</f>
        <v>209</v>
      </c>
      <c r="D22" s="269">
        <f>GETPIVOTDATA("dato",'[1]tabla dinámica nacionalidad-cat'!$A$4,"indicador","DINAMARCA","categoría","HOTELEROS","año",2010)</f>
        <v>209</v>
      </c>
      <c r="E22" s="269">
        <f>GETPIVOTDATA("dato",'[1]tabla dinámica nacionalidad-cat'!$A$4,"indicador","DINAMARCA","categoría","4* Y 5*","año",2010)</f>
        <v>21</v>
      </c>
      <c r="F22" s="269">
        <f>GETPIVOTDATA("dato",'[1]tabla dinámica nacionalidad-cat'!$A$4,"indicador","DINAMARCA","categoría","3 *","año",2010)</f>
        <v>72</v>
      </c>
      <c r="G22" s="269">
        <f>GETPIVOTDATA("dato",'[1]tabla dinámica nacionalidad-cat'!$A$4,"indicador","DINAMARCA","categoría","2*","año",2010)</f>
        <v>104</v>
      </c>
      <c r="H22" s="269">
        <f>GETPIVOTDATA("dato",'[1]tabla dinámica nacionalidad-cat'!$A$4,"indicador","DINAMARCA","categoría","2*","año",2010)</f>
        <v>104</v>
      </c>
    </row>
    <row r="23" spans="2:10" ht="12.75">
      <c r="B23" s="271" t="s">
        <v>169</v>
      </c>
      <c r="C23" s="269">
        <f>GETPIVOTDATA("dato",'[1]tabla dinámica nacionalidad-cat'!$A$4,"indicador","FINLANDIA","categoría","TOTAL","año",2010)</f>
        <v>283</v>
      </c>
      <c r="D23" s="269">
        <f>GETPIVOTDATA("dato",'[1]tabla dinámica nacionalidad-cat'!$A$4,"indicador","FINLANDIA","categoría","HOTELEROS","año",2010)</f>
        <v>283</v>
      </c>
      <c r="E23" s="269">
        <f>GETPIVOTDATA("dato",'[1]tabla dinámica nacionalidad-cat'!$A$4,"indicador","FINLANDIA","categoría","4* Y 5*","año",2010)</f>
        <v>12</v>
      </c>
      <c r="F23" s="269">
        <f>GETPIVOTDATA("dato",'[1]tabla dinámica nacionalidad-cat'!$A$4,"indicador","FINLANDIA","categoría","3 *","año",2010)</f>
        <v>57</v>
      </c>
      <c r="G23" s="269">
        <f>GETPIVOTDATA("dato",'[1]tabla dinámica nacionalidad-cat'!$A$4,"indicador","FINLANDIA","categoría","2*","año",2010)</f>
        <v>204</v>
      </c>
      <c r="H23" s="269">
        <f>GETPIVOTDATA("dato",'[1]tabla dinámica nacionalidad-cat'!$A$4,"indicador","FINLANDIA","categoría","2*","año",2010)</f>
        <v>204</v>
      </c>
    </row>
    <row r="24" spans="2:10" ht="12.75">
      <c r="B24" s="268" t="s">
        <v>170</v>
      </c>
      <c r="C24" s="269">
        <f>GETPIVOTDATA("dato",'[1]tabla dinámica nacionalidad-cat'!$A$4,"indicador","SUIZA","categoría","TOTAL","año",2010)</f>
        <v>309</v>
      </c>
      <c r="D24" s="269">
        <f>GETPIVOTDATA("dato",'[1]tabla dinámica nacionalidad-cat'!$A$4,"indicador","SUIZA","categoría","HOTELEROS","año",2010)</f>
        <v>309</v>
      </c>
      <c r="E24" s="269">
        <f>GETPIVOTDATA("dato",'[1]tabla dinámica nacionalidad-cat'!$A$4,"indicador","SUIZA","categoría","4* Y 5*","año",2010)</f>
        <v>56</v>
      </c>
      <c r="F24" s="269">
        <f>GETPIVOTDATA("dato",'[1]tabla dinámica nacionalidad-cat'!$A$4,"indicador","SUIZA","categoría","3 *","año",2010)</f>
        <v>107</v>
      </c>
      <c r="G24" s="269">
        <f>GETPIVOTDATA("dato",'[1]tabla dinámica nacionalidad-cat'!$A$4,"indicador","SUIZA","categoría","2*","año",2010)</f>
        <v>118</v>
      </c>
      <c r="H24" s="269">
        <f>GETPIVOTDATA("dato",'[1]tabla dinámica nacionalidad-cat'!$A$4,"indicador","SUIZA","categoría","2*","año",2010)</f>
        <v>118</v>
      </c>
    </row>
    <row r="25" spans="2:10" ht="12.75">
      <c r="B25" s="268" t="s">
        <v>171</v>
      </c>
      <c r="C25" s="269">
        <f>GETPIVOTDATA("dato",'[1]tabla dinámica nacionalidad-cat'!$A$4,"indicador","AUSTRIA","categoría","TOTAL","año",2010)</f>
        <v>201</v>
      </c>
      <c r="D25" s="269">
        <f>GETPIVOTDATA("dato",'[1]tabla dinámica nacionalidad-cat'!$A$4,"indicador","AUSTRIA","categoría","HOTELEROS","año",2010)</f>
        <v>201</v>
      </c>
      <c r="E25" s="269">
        <f>GETPIVOTDATA("dato",'[1]tabla dinámica nacionalidad-cat'!$A$4,"indicador","AUSTRIA","categoría","4* Y 5*","año",2010)</f>
        <v>42</v>
      </c>
      <c r="F25" s="269">
        <f>GETPIVOTDATA("dato",'[1]tabla dinámica nacionalidad-cat'!$A$4,"indicador","AUSTRIA","categoría","3 *","año",2010)</f>
        <v>59</v>
      </c>
      <c r="G25" s="269">
        <f>GETPIVOTDATA("dato",'[1]tabla dinámica nacionalidad-cat'!$A$4,"indicador","AUSTRIA","categoría","2*","año",2010)</f>
        <v>82</v>
      </c>
      <c r="H25" s="269">
        <f>GETPIVOTDATA("dato",'[1]tabla dinámica nacionalidad-cat'!$A$4,"indicador","AUSTRIA","categoría","2*","año",2010)</f>
        <v>82</v>
      </c>
    </row>
    <row r="26" spans="2:10" ht="12.75">
      <c r="B26" s="268" t="s">
        <v>172</v>
      </c>
      <c r="C26" s="269">
        <f>GETPIVOTDATA("dato",'[1]tabla dinámica nacionalidad-cat'!$A$4,"indicador","RUSIA","categoría","TOTAL","año",2010)</f>
        <v>247</v>
      </c>
      <c r="D26" s="269">
        <f>GETPIVOTDATA("dato",'[1]tabla dinámica nacionalidad-cat'!$A$4,"indicador","RUSIA","categoría","HOTELEROS","año",2010)</f>
        <v>247</v>
      </c>
      <c r="E26" s="269">
        <f>GETPIVOTDATA("dato",'[1]tabla dinámica nacionalidad-cat'!$A$4,"indicador","RUSIA","categoría","4* Y 5*","año",2010)</f>
        <v>40</v>
      </c>
      <c r="F26" s="269">
        <f>GETPIVOTDATA("dato",'[1]tabla dinámica nacionalidad-cat'!$A$4,"indicador","RUSIA","categoría","3 *","año",2010)</f>
        <v>118</v>
      </c>
      <c r="G26" s="269">
        <f>GETPIVOTDATA("dato",'[1]tabla dinámica nacionalidad-cat'!$A$4,"indicador","RUSIA","categoría","2*","año",2010)</f>
        <v>73</v>
      </c>
      <c r="H26" s="269">
        <f>GETPIVOTDATA("dato",'[1]tabla dinámica nacionalidad-cat'!$A$4,"indicador","RUSIA","categoría","2*","año",2010)</f>
        <v>73</v>
      </c>
    </row>
    <row r="27" spans="2:10" ht="12.75">
      <c r="B27" s="272" t="s">
        <v>173</v>
      </c>
      <c r="C27" s="269">
        <f>GETPIVOTDATA("dato",'[1]tabla dinámica nacionalidad-cat'!$A$4,"indicador","PAÍSES DEL ESTE","categoría","TOTAL","año",2010)</f>
        <v>468</v>
      </c>
      <c r="D27" s="269">
        <f>GETPIVOTDATA("dato",'[1]tabla dinámica nacionalidad-cat'!$A$4,"indicador","PAÍSES DEL ESTE","categoría","HOTELEROS","año",2010)</f>
        <v>468</v>
      </c>
      <c r="E27" s="269">
        <f>GETPIVOTDATA("dato",'[1]tabla dinámica nacionalidad-cat'!$A$4,"indicador","PAÍSES DEL ESTE","categoría","4* Y 5*","año",2010)</f>
        <v>25</v>
      </c>
      <c r="F27" s="269">
        <f>GETPIVOTDATA("dato",'[1]tabla dinámica nacionalidad-cat'!$A$4,"indicador","PAÍSES DEL ESTE","categoría","3 *","año",2010)</f>
        <v>141</v>
      </c>
      <c r="G27" s="269">
        <f>GETPIVOTDATA("dato",'[1]tabla dinámica nacionalidad-cat'!$A$4,"indicador","PAÍSES DEL ESTE","categoría","2*","año",2010)</f>
        <v>210</v>
      </c>
      <c r="H27" s="269">
        <f>GETPIVOTDATA("dato",'[1]tabla dinámica nacionalidad-cat'!$A$4,"indicador","PAÍSES DEL ESTE","categoría","2*","año",2010)</f>
        <v>210</v>
      </c>
    </row>
    <row r="28" spans="2:10" ht="12.75">
      <c r="B28" s="272" t="s">
        <v>174</v>
      </c>
      <c r="C28" s="269">
        <f>GETPIVOTDATA("dato",'[1]tabla dinámica nacionalidad-cat'!$A$4,"indicador","RESTO DE EUROPA","categoría","TOTAL","año",2010)</f>
        <v>984</v>
      </c>
      <c r="D28" s="269">
        <f>GETPIVOTDATA("dato",'[1]tabla dinámica nacionalidad-cat'!$A$4,"indicador","RESTO DE EUROPA","categoría","HOTELEROS","año",2010)</f>
        <v>984</v>
      </c>
      <c r="E28" s="269">
        <f>GETPIVOTDATA("dato",'[1]tabla dinámica nacionalidad-cat'!$A$4,"indicador","RESTO DE EUROPA","categoría","4* Y 5*","año",2010)</f>
        <v>116</v>
      </c>
      <c r="F28" s="269">
        <f>GETPIVOTDATA("dato",'[1]tabla dinámica nacionalidad-cat'!$A$4,"indicador","RESTO DE EUROPA","categoría","3 *","año",2010)</f>
        <v>472</v>
      </c>
      <c r="G28" s="269">
        <f>GETPIVOTDATA("dato",'[1]tabla dinámica nacionalidad-cat'!$A$4,"indicador","RESTO DE EUROPA","categoría","2*","año",2010)</f>
        <v>317</v>
      </c>
      <c r="H28" s="269">
        <f>GETPIVOTDATA("dato",'[1]tabla dinámica nacionalidad-cat'!$A$4,"indicador","RESTO DE EUROPA","categoría","2*","año",2010)</f>
        <v>317</v>
      </c>
    </row>
    <row r="29" spans="2:10" ht="12.75">
      <c r="B29" s="230" t="s">
        <v>175</v>
      </c>
      <c r="C29" s="269">
        <f>GETPIVOTDATA("dato",'[1]tabla dinámica nacionalidad-cat'!$A$4,"indicador","USA","categoría","TOTAL","año",2010)</f>
        <v>786</v>
      </c>
      <c r="D29" s="269">
        <f>GETPIVOTDATA("dato",'[1]tabla dinámica nacionalidad-cat'!$A$4,"indicador","USA","categoría","HOTELEROS","año",2010)</f>
        <v>786</v>
      </c>
      <c r="E29" s="269">
        <f>GETPIVOTDATA("dato",'[1]tabla dinámica nacionalidad-cat'!$A$4,"indicador","USA","categoría","4* Y 5*","año",2010)</f>
        <v>144</v>
      </c>
      <c r="F29" s="269">
        <f>GETPIVOTDATA("dato",'[1]tabla dinámica nacionalidad-cat'!$A$4,"indicador","USA","categoría","3 *","año",2010)</f>
        <v>359</v>
      </c>
      <c r="G29" s="269">
        <f>GETPIVOTDATA("dato",'[1]tabla dinámica nacionalidad-cat'!$A$4,"indicador","USA","categoría","2*","año",2010)</f>
        <v>254</v>
      </c>
      <c r="H29" s="269">
        <f>GETPIVOTDATA("dato",'[1]tabla dinámica nacionalidad-cat'!$A$4,"indicador","USA","categoría","2*","año",2010)</f>
        <v>254</v>
      </c>
    </row>
    <row r="30" spans="2:10" ht="12.75">
      <c r="B30" s="272" t="s">
        <v>176</v>
      </c>
      <c r="C30" s="269">
        <f>GETPIVOTDATA("dato",'[1]tabla dinámica nacionalidad-cat'!$A$4,"indicador","RESTO DE AMÉRICA","categoría","TOTAL","año",2010)</f>
        <v>2741</v>
      </c>
      <c r="D30" s="269">
        <f>GETPIVOTDATA("dato",'[1]tabla dinámica nacionalidad-cat'!$A$4,"indicador","RESTO DE AMÉRICA","categoría","HOTELEROS","año",2010)</f>
        <v>2741</v>
      </c>
      <c r="E30" s="269">
        <f>GETPIVOTDATA("dato",'[1]tabla dinámica nacionalidad-cat'!$A$4,"indicador","RESTO DE AMÉRICA","categoría","4* Y 5*","año",2010)</f>
        <v>176</v>
      </c>
      <c r="F30" s="269">
        <f>GETPIVOTDATA("dato",'[1]tabla dinámica nacionalidad-cat'!$A$4,"indicador","RESTO DE AMÉRICA","categoría","3 *","año",2010)</f>
        <v>1300</v>
      </c>
      <c r="G30" s="269">
        <f>GETPIVOTDATA("dato",'[1]tabla dinámica nacionalidad-cat'!$A$4,"indicador","RESTO DE AMÉRICA","categoría","2*","año",2010)</f>
        <v>1039</v>
      </c>
      <c r="H30" s="269">
        <f>GETPIVOTDATA("dato",'[1]tabla dinámica nacionalidad-cat'!$A$4,"indicador","RESTO DE AMÉRICA","categoría","2*","año",2010)</f>
        <v>1039</v>
      </c>
      <c r="I30" s="273"/>
      <c r="J30" s="273"/>
    </row>
    <row r="31" spans="2:10" ht="12.75">
      <c r="B31" s="272" t="s">
        <v>177</v>
      </c>
      <c r="C31" s="269">
        <f>GETPIVOTDATA("dato",'[1]tabla dinámica nacionalidad-cat'!$A$4,"indicador","RESTO DEL MUNDO","categoría","TOTAL","año",2010)</f>
        <v>2153</v>
      </c>
      <c r="D31" s="269">
        <f>GETPIVOTDATA("dato",'[1]tabla dinámica nacionalidad-cat'!$A$4,"indicador","RESTO DEL MUNDO","categoría","HOTELEROS","año",2010)</f>
        <v>2153</v>
      </c>
      <c r="E31" s="269">
        <f>GETPIVOTDATA("dato",'[1]tabla dinámica nacionalidad-cat'!$A$4,"indicador","RESTO DEL MUNDO","categoría","4* Y 5*","año",2010)</f>
        <v>312</v>
      </c>
      <c r="F31" s="269">
        <f>GETPIVOTDATA("dato",'[1]tabla dinámica nacionalidad-cat'!$A$4,"indicador","RESTO DEL MUNDO","categoría","3 *","año",2010)</f>
        <v>921</v>
      </c>
      <c r="G31" s="269">
        <f>GETPIVOTDATA("dato",'[1]tabla dinámica nacionalidad-cat'!$A$4,"indicador","RESTO DEL MUNDO","categoría","2*","año",2010)</f>
        <v>691</v>
      </c>
      <c r="H31" s="269">
        <f>GETPIVOTDATA("dato",'[1]tabla dinámica nacionalidad-cat'!$A$4,"indicador","RESTO DEL MUNDO","categoría","2*","año",2010)</f>
        <v>691</v>
      </c>
      <c r="I31" s="273"/>
    </row>
    <row r="32" spans="2:10" s="276" customFormat="1" ht="12.75">
      <c r="B32" s="274" t="s">
        <v>178</v>
      </c>
      <c r="C32" s="275">
        <f>C33-C11</f>
        <v>16443</v>
      </c>
      <c r="D32" s="275">
        <f t="shared" ref="D32:H32" si="1">D33-D11</f>
        <v>16443</v>
      </c>
      <c r="E32" s="275">
        <f t="shared" si="1"/>
        <v>2474</v>
      </c>
      <c r="F32" s="275">
        <f t="shared" si="1"/>
        <v>5754</v>
      </c>
      <c r="G32" s="275">
        <f t="shared" si="1"/>
        <v>6432</v>
      </c>
      <c r="H32" s="275">
        <f t="shared" si="1"/>
        <v>6432</v>
      </c>
      <c r="I32" s="273"/>
    </row>
    <row r="33" spans="2:9" ht="12.75">
      <c r="B33" s="277" t="s">
        <v>105</v>
      </c>
      <c r="C33" s="278">
        <f>GETPIVOTDATA("dato",'[1]tabla dinámica nacionalidad-cat'!$A$4,"indicador","TOTAL","categoría","TOTAL","año",2010)</f>
        <v>92816</v>
      </c>
      <c r="D33" s="278">
        <f>GETPIVOTDATA("dato",'[1]tabla dinámica nacionalidad-cat'!$A$4,"indicador","TOTAL","categoría","HOTELEROS","año",2010)</f>
        <v>92816</v>
      </c>
      <c r="E33" s="278">
        <f>GETPIVOTDATA("dato",'[1]tabla dinámica nacionalidad-cat'!$A$4,"indicador","TOTAL","categoría","4* Y 5*","año",2010)</f>
        <v>30405</v>
      </c>
      <c r="F33" s="278">
        <f>GETPIVOTDATA("dato",'[1]tabla dinámica nacionalidad-cat'!$A$4,"indicador","TOTAL","categoría","3 *","año",2010)</f>
        <v>27640</v>
      </c>
      <c r="G33" s="278">
        <f>GETPIVOTDATA("dato",'[1]tabla dinámica nacionalidad-cat'!$A$4,"indicador","TOTAL","categoría","2*","año",2010)</f>
        <v>29823</v>
      </c>
      <c r="H33" s="278">
        <f>GETPIVOTDATA("dato",'[1]tabla dinámica nacionalidad-cat'!$A$4,"indicador","TOTAL","categoría","2*","año",2010)</f>
        <v>29823</v>
      </c>
      <c r="I33" s="273"/>
    </row>
    <row r="34" spans="2:9">
      <c r="B34" s="279" t="s">
        <v>90</v>
      </c>
      <c r="C34" s="280"/>
      <c r="D34" s="280"/>
      <c r="E34" s="280"/>
      <c r="F34" s="280"/>
      <c r="G34" s="280"/>
      <c r="H34" s="281"/>
    </row>
  </sheetData>
  <mergeCells count="6">
    <mergeCell ref="B7:H7"/>
    <mergeCell ref="B8:H8"/>
    <mergeCell ref="B9:B10"/>
    <mergeCell ref="C9:C10"/>
    <mergeCell ref="D9:H9"/>
    <mergeCell ref="B34:H3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3:H31"/>
  <sheetViews>
    <sheetView showGridLines="0" showRowColHeaders="0" zoomScaleNormal="100" workbookViewId="0">
      <selection activeCell="I13" sqref="I13"/>
    </sheetView>
  </sheetViews>
  <sheetFormatPr baseColWidth="10" defaultRowHeight="15"/>
  <cols>
    <col min="1" max="1" width="15.85546875" customWidth="1"/>
    <col min="2" max="2" width="18.5703125" customWidth="1"/>
    <col min="5" max="5" width="13.85546875" customWidth="1"/>
    <col min="6" max="8" width="11.5703125" bestFit="1" customWidth="1"/>
  </cols>
  <sheetData>
    <row r="3" spans="2:8" ht="33.75" customHeight="1"/>
    <row r="4" spans="2:8" ht="32.25" customHeight="1">
      <c r="B4" s="257" t="s">
        <v>191</v>
      </c>
      <c r="C4" s="258"/>
      <c r="D4" s="258"/>
      <c r="E4" s="258"/>
      <c r="F4" s="258"/>
      <c r="G4" s="258"/>
      <c r="H4" s="258"/>
    </row>
    <row r="5" spans="2:8">
      <c r="B5" s="260" t="str">
        <f>actualizaciones!A2</f>
        <v xml:space="preserve">acumulado julio 2010 </v>
      </c>
      <c r="C5" s="261"/>
      <c r="D5" s="261"/>
      <c r="E5" s="261"/>
      <c r="F5" s="261"/>
      <c r="G5" s="261"/>
      <c r="H5" s="261"/>
    </row>
    <row r="6" spans="2:8" ht="15" customHeight="1">
      <c r="B6" s="262" t="s">
        <v>155</v>
      </c>
      <c r="C6" s="263" t="s">
        <v>92</v>
      </c>
      <c r="D6" s="263" t="s">
        <v>185</v>
      </c>
      <c r="E6" s="263"/>
      <c r="F6" s="263"/>
      <c r="G6" s="263"/>
      <c r="H6" s="263"/>
    </row>
    <row r="7" spans="2:8" ht="24">
      <c r="B7" s="262"/>
      <c r="C7" s="264"/>
      <c r="D7" s="265" t="s">
        <v>186</v>
      </c>
      <c r="E7" s="265" t="s">
        <v>187</v>
      </c>
      <c r="F7" s="265" t="s">
        <v>188</v>
      </c>
      <c r="G7" s="265" t="s">
        <v>189</v>
      </c>
      <c r="H7" s="265" t="s">
        <v>190</v>
      </c>
    </row>
    <row r="8" spans="2:8">
      <c r="B8" s="266" t="s">
        <v>156</v>
      </c>
      <c r="C8" s="282">
        <f>GETPIVOTDATA("dato",'[1]tabla dinámica nacionalidad-cat'!$A$4,"indicador","España","categoría","TOTAL","año",2010)/GETPIVOTDATA("dato",'[1]tabla dinámica nacionalidad-cat'!$A$4,"indicador","España","categoría","TOTAL","año",2009)-1</f>
        <v>-4.258493167857591E-2</v>
      </c>
      <c r="D8" s="282">
        <f>GETPIVOTDATA("dato",'[1]tabla dinámica nacionalidad-cat'!$A$4,"indicador","España","categoría","HOTELEROS","año",2010)/GETPIVOTDATA("dato",'[1]tabla dinámica nacionalidad-cat'!$A$4,"indicador","España","categoría","HOTELEROS","año",2009)-1</f>
        <v>-4.258493167857591E-2</v>
      </c>
      <c r="E8" s="282">
        <f>GETPIVOTDATA("dato",'[1]tabla dinámica nacionalidad-cat'!$A$4,"indicador","España","categoría","4* Y 5*","año",2010)/GETPIVOTDATA("dato",'[1]tabla dinámica nacionalidad-cat'!$A$4,"indicador","España","categoría","4* Y 5*","año",2009)-1</f>
        <v>-5.07731520815633E-2</v>
      </c>
      <c r="F8" s="282">
        <f>GETPIVOTDATA("dato",'[1]tabla dinámica nacionalidad-cat'!$A$4,"indicador","España","categoría","3 *","año",2010)/GETPIVOTDATA("dato",'[1]tabla dinámica nacionalidad-cat'!$A$4,"indicador","España","categoría","3 *","año",2009)-1</f>
        <v>-4.321914380601477E-3</v>
      </c>
      <c r="G8" s="282">
        <f>GETPIVOTDATA("dato",'[1]tabla dinámica nacionalidad-cat'!$A$4,"indicador","España","categoría","2*","año",2010)/GETPIVOTDATA("dato",'[1]tabla dinámica nacionalidad-cat'!$A$4,"indicador","España","categoría","2*","año",2009)-1</f>
        <v>-1.4119531315855971E-2</v>
      </c>
      <c r="H8" s="282">
        <f>GETPIVOTDATA("dato",'[1]tabla dinámica nacionalidad-cat'!$A$4,"indicador","España","categoría","1*","año",2010)/GETPIVOTDATA("dato",'[1]tabla dinámica nacionalidad-cat'!$A$4,"indicador","España","categoría","1*","año",2009)-1</f>
        <v>-0.31759379042690816</v>
      </c>
    </row>
    <row r="9" spans="2:8">
      <c r="B9" s="268" t="s">
        <v>158</v>
      </c>
      <c r="C9" s="283">
        <f>GETPIVOTDATA("dato",'[1]tabla dinámica nacionalidad-cat'!$A$4,"indicador","HOLANDA","categoría","TOTAL","año",2010)/GETPIVOTDATA("dato",'[1]tabla dinámica nacionalidad-cat'!$A$4,"indicador","HOLANDA","categoría","TOTAL","año",2009)-1</f>
        <v>0.27777777777777768</v>
      </c>
      <c r="D9" s="283">
        <f>GETPIVOTDATA("dato",'[1]tabla dinámica nacionalidad-cat'!$A$4,"indicador","HOLANDA","categoría","HOTELEROS","año",2010)/GETPIVOTDATA("dato",'[1]tabla dinámica nacionalidad-cat'!$A$4,"indicador","HOLANDA","categoría","HOTELEROS","año",2009)-1</f>
        <v>0.27777777777777768</v>
      </c>
      <c r="E9" s="283">
        <f>GETPIVOTDATA("dato",'[1]tabla dinámica nacionalidad-cat'!$A$4,"indicador","HOLANDA","categoría","4* Y 5*","año",2010)/GETPIVOTDATA("dato",'[1]tabla dinámica nacionalidad-cat'!$A$4,"indicador","HOLANDA","categoría","4* Y 5*","año",2009)-1</f>
        <v>0.32584269662921339</v>
      </c>
      <c r="F9" s="283">
        <f>GETPIVOTDATA("dato",'[1]tabla dinámica nacionalidad-cat'!$A$4,"indicador","HOLANDA","categoría","3 *","año",2010)/GETPIVOTDATA("dato",'[1]tabla dinámica nacionalidad-cat'!$A$4,"indicador","HOLANDA","categoría","3 *","año",2009)-1</f>
        <v>-0.38297872340425532</v>
      </c>
      <c r="G9" s="283">
        <f>GETPIVOTDATA("dato",'[1]tabla dinámica nacionalidad-cat'!$A$4,"indicador","HOLANDA","categoría","2*","año",2010)/GETPIVOTDATA("dato",'[1]tabla dinámica nacionalidad-cat'!$A$4,"indicador","HOLANDA","categoría","2*","año",2009)-1</f>
        <v>0.73750000000000004</v>
      </c>
      <c r="H9" s="283">
        <f>GETPIVOTDATA("dato",'[1]tabla dinámica nacionalidad-cat'!$A$4,"indicador","HOLANDA","categoría","1*","año",2010)/GETPIVOTDATA("dato",'[1]tabla dinámica nacionalidad-cat'!$A$4,"indicador","HOLANDA","categoría","1*","año",2009)-1</f>
        <v>-1.8867924528301883E-2</v>
      </c>
    </row>
    <row r="10" spans="2:8">
      <c r="B10" s="268" t="s">
        <v>159</v>
      </c>
      <c r="C10" s="283">
        <f>GETPIVOTDATA("dato",'[1]tabla dinámica nacionalidad-cat'!$A$4,"indicador","BÉLGICA","categoría","TOTAL","año",2010)/GETPIVOTDATA("dato",'[1]tabla dinámica nacionalidad-cat'!$A$4,"indicador","BÉLGICA","categoría","TOTAL","año",2009)-1</f>
        <v>4.2944785276073594E-2</v>
      </c>
      <c r="D10" s="283">
        <f>GETPIVOTDATA("dato",'[1]tabla dinámica nacionalidad-cat'!$A$4,"indicador","BÉLGICA","categoría","HOTELEROS","año",2010)/GETPIVOTDATA("dato",'[1]tabla dinámica nacionalidad-cat'!$A$4,"indicador","BÉLGICA","categoría","HOTELEROS","año",2009)-1</f>
        <v>4.2944785276073594E-2</v>
      </c>
      <c r="E10" s="283">
        <f>GETPIVOTDATA("dato",'[1]tabla dinámica nacionalidad-cat'!$A$4,"indicador","BÉLGICA","categoría","4* Y 5*","año",2010)/GETPIVOTDATA("dato",'[1]tabla dinámica nacionalidad-cat'!$A$4,"indicador","BÉLGICA","categoría","4* Y 5*","año",2009)-1</f>
        <v>9.0909090909090828E-2</v>
      </c>
      <c r="F10" s="283">
        <f>GETPIVOTDATA("dato",'[1]tabla dinámica nacionalidad-cat'!$A$4,"indicador","BÉLGICA","categoría","3 *","año",2010)/GETPIVOTDATA("dato",'[1]tabla dinámica nacionalidad-cat'!$A$4,"indicador","BÉLGICA","categoría","3 *","año",2009)-1</f>
        <v>-0.13636363636363635</v>
      </c>
      <c r="G10" s="283">
        <f>GETPIVOTDATA("dato",'[1]tabla dinámica nacionalidad-cat'!$A$4,"indicador","BÉLGICA","categoría","2*","año",2010)/GETPIVOTDATA("dato",'[1]tabla dinámica nacionalidad-cat'!$A$4,"indicador","BÉLGICA","categoría","2*","año",2009)-1</f>
        <v>0.14141414141414144</v>
      </c>
      <c r="H10" s="283">
        <f>GETPIVOTDATA("dato",'[1]tabla dinámica nacionalidad-cat'!$A$4,"indicador","BÉLGICA","categoría","1*","año",2010)/GETPIVOTDATA("dato",'[1]tabla dinámica nacionalidad-cat'!$A$4,"indicador","BÉLGICA","categoría","1*","año",2009)-1</f>
        <v>7.4999999999999956E-2</v>
      </c>
    </row>
    <row r="11" spans="2:8">
      <c r="B11" s="268" t="s">
        <v>160</v>
      </c>
      <c r="C11" s="283">
        <f>GETPIVOTDATA("dato",'[1]tabla dinámica nacionalidad-cat'!$A$4,"indicador","ALEMANIA","categoría","TOTAL","año",2010)/GETPIVOTDATA("dato",'[1]tabla dinámica nacionalidad-cat'!$A$4,"indicador","ALEMANIA","categoría","TOTAL","año",2009)-1</f>
        <v>4.5576407506702443E-2</v>
      </c>
      <c r="D11" s="283">
        <f>GETPIVOTDATA("dato",'[1]tabla dinámica nacionalidad-cat'!$A$4,"indicador","ALEMANIA","categoría","HOTELEROS","año",2010)/GETPIVOTDATA("dato",'[1]tabla dinámica nacionalidad-cat'!$A$4,"indicador","ALEMANIA","categoría","HOTELEROS","año",2009)-1</f>
        <v>4.5576407506702443E-2</v>
      </c>
      <c r="E11" s="283">
        <f>GETPIVOTDATA("dato",'[1]tabla dinámica nacionalidad-cat'!$A$4,"indicador","ALEMANIA","categoría","4* Y 5*","año",2010)/GETPIVOTDATA("dato",'[1]tabla dinámica nacionalidad-cat'!$A$4,"indicador","ALEMANIA","categoría","4* Y 5*","año",2009)-1</f>
        <v>2.7439024390243816E-2</v>
      </c>
      <c r="F11" s="283">
        <f>GETPIVOTDATA("dato",'[1]tabla dinámica nacionalidad-cat'!$A$4,"indicador","ALEMANIA","categoría","3 *","año",2010)/GETPIVOTDATA("dato",'[1]tabla dinámica nacionalidad-cat'!$A$4,"indicador","ALEMANIA","categoría","3 *","año",2009)-1</f>
        <v>1.2422360248447228E-2</v>
      </c>
      <c r="G11" s="283">
        <f>GETPIVOTDATA("dato",'[1]tabla dinámica nacionalidad-cat'!$A$4,"indicador","ALEMANIA","categoría","2*","año",2010)/GETPIVOTDATA("dato",'[1]tabla dinámica nacionalidad-cat'!$A$4,"indicador","ALEMANIA","categoría","2*","año",2009)-1</f>
        <v>0.12771739130434789</v>
      </c>
      <c r="H11" s="283">
        <f>GETPIVOTDATA("dato",'[1]tabla dinámica nacionalidad-cat'!$A$4,"indicador","ALEMANIA","categoría","1*","año",2010)/GETPIVOTDATA("dato",'[1]tabla dinámica nacionalidad-cat'!$A$4,"indicador","ALEMANIA","categoría","1*","año",2009)-1</f>
        <v>-7.547169811320753E-2</v>
      </c>
    </row>
    <row r="12" spans="2:8">
      <c r="B12" s="270" t="s">
        <v>161</v>
      </c>
      <c r="C12" s="283">
        <f>GETPIVOTDATA("dato",'[1]tabla dinámica nacionalidad-cat'!$A$4,"indicador","FRANCIA","categoría","TOTAL","año",2010)/GETPIVOTDATA("dato",'[1]tabla dinámica nacionalidad-cat'!$A$4,"indicador","FRANCIA","categoría","TOTAL","año",2009)-1</f>
        <v>-0.10540013012361749</v>
      </c>
      <c r="D12" s="283">
        <f>GETPIVOTDATA("dato",'[1]tabla dinámica nacionalidad-cat'!$A$4,"indicador","FRANCIA","categoría","HOTELEROS","año",2010)/GETPIVOTDATA("dato",'[1]tabla dinámica nacionalidad-cat'!$A$4,"indicador","FRANCIA","categoría","HOTELEROS","año",2009)-1</f>
        <v>-0.10540013012361749</v>
      </c>
      <c r="E12" s="283">
        <f>GETPIVOTDATA("dato",'[1]tabla dinámica nacionalidad-cat'!$A$4,"indicador","FRANCIA","categoría","4* Y 5*","año",2010)/GETPIVOTDATA("dato",'[1]tabla dinámica nacionalidad-cat'!$A$4,"indicador","FRANCIA","categoría","4* Y 5*","año",2009)-1</f>
        <v>-0.28195488721804507</v>
      </c>
      <c r="F12" s="283">
        <f>GETPIVOTDATA("dato",'[1]tabla dinámica nacionalidad-cat'!$A$4,"indicador","FRANCIA","categoría","3 *","año",2010)/GETPIVOTDATA("dato",'[1]tabla dinámica nacionalidad-cat'!$A$4,"indicador","FRANCIA","categoría","3 *","año",2009)-1</f>
        <v>-7.4766355140186924E-2</v>
      </c>
      <c r="G12" s="283">
        <f>GETPIVOTDATA("dato",'[1]tabla dinámica nacionalidad-cat'!$A$4,"indicador","FRANCIA","categoría","2*","año",2010)/GETPIVOTDATA("dato",'[1]tabla dinámica nacionalidad-cat'!$A$4,"indicador","FRANCIA","categoría","2*","año",2009)-1</f>
        <v>7.4309978768577478E-2</v>
      </c>
      <c r="H12" s="283">
        <f>GETPIVOTDATA("dato",'[1]tabla dinámica nacionalidad-cat'!$A$4,"indicador","FRANCIA","categoría","1*","año",2010)/GETPIVOTDATA("dato",'[1]tabla dinámica nacionalidad-cat'!$A$4,"indicador","FRANCIA","categoría","1*","año",2009)-1</f>
        <v>-0.24193548387096775</v>
      </c>
    </row>
    <row r="13" spans="2:8">
      <c r="B13" s="270" t="s">
        <v>162</v>
      </c>
      <c r="C13" s="283">
        <f>GETPIVOTDATA("dato",'[1]tabla dinámica nacionalidad-cat'!$A$4,"indicador","REINO UNIDO","categoría","TOTAL","año",2010)/GETPIVOTDATA("dato",'[1]tabla dinámica nacionalidad-cat'!$A$4,"indicador","REINO UNIDO","categoría","TOTAL","año",2009)-1</f>
        <v>6.6379840196681084E-2</v>
      </c>
      <c r="D13" s="283">
        <f>GETPIVOTDATA("dato",'[1]tabla dinámica nacionalidad-cat'!$A$4,"indicador","REINO UNIDO","categoría","HOTELEROS","año",2010)/GETPIVOTDATA("dato",'[1]tabla dinámica nacionalidad-cat'!$A$4,"indicador","REINO UNIDO","categoría","HOTELEROS","año",2009)-1</f>
        <v>6.6379840196681084E-2</v>
      </c>
      <c r="E13" s="283">
        <f>GETPIVOTDATA("dato",'[1]tabla dinámica nacionalidad-cat'!$A$4,"indicador","REINO UNIDO","categoría","4* Y 5*","año",2010)/GETPIVOTDATA("dato",'[1]tabla dinámica nacionalidad-cat'!$A$4,"indicador","REINO UNIDO","categoría","4* Y 5*","año",2009)-1</f>
        <v>0.69230769230769229</v>
      </c>
      <c r="F13" s="283">
        <f>GETPIVOTDATA("dato",'[1]tabla dinámica nacionalidad-cat'!$A$4,"indicador","REINO UNIDO","categoría","3 *","año",2010)/GETPIVOTDATA("dato",'[1]tabla dinámica nacionalidad-cat'!$A$4,"indicador","REINO UNIDO","categoría","3 *","año",2009)-1</f>
        <v>8.6868686868686762E-2</v>
      </c>
      <c r="G13" s="283">
        <f>GETPIVOTDATA("dato",'[1]tabla dinámica nacionalidad-cat'!$A$4,"indicador","REINO UNIDO","categoría","2*","año",2010)/GETPIVOTDATA("dato",'[1]tabla dinámica nacionalidad-cat'!$A$4,"indicador","REINO UNIDO","categoría","2*","año",2009)-1</f>
        <v>-0.14919354838709675</v>
      </c>
      <c r="H13" s="283">
        <f>GETPIVOTDATA("dato",'[1]tabla dinámica nacionalidad-cat'!$A$4,"indicador","REINO UNIDO","categoría","1*","año",2010)/GETPIVOTDATA("dato",'[1]tabla dinámica nacionalidad-cat'!$A$4,"indicador","REINO UNIDO","categoría","1*","año",2009)-1</f>
        <v>-0.21568627450980393</v>
      </c>
    </row>
    <row r="14" spans="2:8">
      <c r="B14" s="270" t="s">
        <v>163</v>
      </c>
      <c r="C14" s="283">
        <f>GETPIVOTDATA("dato",'[1]tabla dinámica nacionalidad-cat'!$A$4,"indicador","IRLANDA","categoría","TOTAL","año",2010)/GETPIVOTDATA("dato",'[1]tabla dinámica nacionalidad-cat'!$A$4,"indicador","IRLANDA","categoría","TOTAL","año",2009)-1</f>
        <v>4.2194092827003704E-3</v>
      </c>
      <c r="D14" s="283">
        <f>GETPIVOTDATA("dato",'[1]tabla dinámica nacionalidad-cat'!$A$4,"indicador","IRLANDA","categoría","HOTELEROS","año",2010)/GETPIVOTDATA("dato",'[1]tabla dinámica nacionalidad-cat'!$A$4,"indicador","IRLANDA","categoría","HOTELEROS","año",2009)-1</f>
        <v>4.2194092827003704E-3</v>
      </c>
      <c r="E14" s="283">
        <f>GETPIVOTDATA("dato",'[1]tabla dinámica nacionalidad-cat'!$A$4,"indicador","IRLANDA","categoría","4* Y 5*","año",2010)/GETPIVOTDATA("dato",'[1]tabla dinámica nacionalidad-cat'!$A$4,"indicador","IRLANDA","categoría","4* Y 5*","año",2009)-1</f>
        <v>-0.4</v>
      </c>
      <c r="F14" s="283">
        <f>GETPIVOTDATA("dato",'[1]tabla dinámica nacionalidad-cat'!$A$4,"indicador","IRLANDA","categoría","3 *","año",2010)/GETPIVOTDATA("dato",'[1]tabla dinámica nacionalidad-cat'!$A$4,"indicador","IRLANDA","categoría","3 *","año",2009)-1</f>
        <v>-7.0422535211267623E-2</v>
      </c>
      <c r="G14" s="283">
        <f>GETPIVOTDATA("dato",'[1]tabla dinámica nacionalidad-cat'!$A$4,"indicador","IRLANDA","categoría","2*","año",2010)/GETPIVOTDATA("dato",'[1]tabla dinámica nacionalidad-cat'!$A$4,"indicador","IRLANDA","categoría","2*","año",2009)-1</f>
        <v>0.19047619047619047</v>
      </c>
      <c r="H14" s="283">
        <f>GETPIVOTDATA("dato",'[1]tabla dinámica nacionalidad-cat'!$A$4,"indicador","IRLANDA","categoría","1*","año",2010)/GETPIVOTDATA("dato",'[1]tabla dinámica nacionalidad-cat'!$A$4,"indicador","IRLANDA","categoría","1*","año",2009)-1</f>
        <v>0.94117647058823528</v>
      </c>
    </row>
    <row r="15" spans="2:8">
      <c r="B15" s="270" t="s">
        <v>164</v>
      </c>
      <c r="C15" s="283">
        <f>GETPIVOTDATA("dato",'[1]tabla dinámica nacionalidad-cat'!$A$4,"indicador","ITALIA","categoría","TOTAL","año",2010)/GETPIVOTDATA("dato",'[1]tabla dinámica nacionalidad-cat'!$A$4,"indicador","ITALIA","categoría","TOTAL","año",2009)-1</f>
        <v>-2.9889538661468484E-2</v>
      </c>
      <c r="D15" s="283">
        <f>GETPIVOTDATA("dato",'[1]tabla dinámica nacionalidad-cat'!$A$4,"indicador","ITALIA","categoría","HOTELEROS","año",2010)/GETPIVOTDATA("dato",'[1]tabla dinámica nacionalidad-cat'!$A$4,"indicador","ITALIA","categoría","HOTELEROS","año",2009)-1</f>
        <v>-2.9889538661468484E-2</v>
      </c>
      <c r="E15" s="283">
        <f>GETPIVOTDATA("dato",'[1]tabla dinámica nacionalidad-cat'!$A$4,"indicador","ITALIA","categoría","4* Y 5*","año",2010)/GETPIVOTDATA("dato",'[1]tabla dinámica nacionalidad-cat'!$A$4,"indicador","ITALIA","categoría","4* Y 5*","año",2009)-1</f>
        <v>-9.6446700507614169E-2</v>
      </c>
      <c r="F15" s="283">
        <f>GETPIVOTDATA("dato",'[1]tabla dinámica nacionalidad-cat'!$A$4,"indicador","ITALIA","categoría","3 *","año",2010)/GETPIVOTDATA("dato",'[1]tabla dinámica nacionalidad-cat'!$A$4,"indicador","ITALIA","categoría","3 *","año",2009)-1</f>
        <v>-1.8648018648018683E-2</v>
      </c>
      <c r="G15" s="283">
        <f>GETPIVOTDATA("dato",'[1]tabla dinámica nacionalidad-cat'!$A$4,"indicador","ITALIA","categoría","2*","año",2010)/GETPIVOTDATA("dato",'[1]tabla dinámica nacionalidad-cat'!$A$4,"indicador","ITALIA","categoría","2*","año",2009)-1</f>
        <v>-1.4641288433382083E-2</v>
      </c>
      <c r="H15" s="283">
        <f>GETPIVOTDATA("dato",'[1]tabla dinámica nacionalidad-cat'!$A$4,"indicador","ITALIA","categoría","1*","año",2010)/GETPIVOTDATA("dato",'[1]tabla dinámica nacionalidad-cat'!$A$4,"indicador","ITALIA","categoría","1*","año",2009)-1</f>
        <v>-3.9130434782608692E-2</v>
      </c>
    </row>
    <row r="16" spans="2:8">
      <c r="B16" s="268" t="s">
        <v>165</v>
      </c>
      <c r="C16" s="283">
        <f>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nacionalidad-cat'!$A$4,"indicador","FINLANDIA","categoría","TOTAL","año",2010))/(GETPIVOTDATA("dato",'[1]tabla dinámica nacionalidad-cat'!$A$4,"indicador","SUECIA","categoría","TOTAL","año",2009)+GETPIVOTDATA("dato",'[1]tabla dinámica nacionalidad-cat'!$A$4,"indicador","NORUEGA","categoría","TOTAL","año",2009)+GETPIVOTDATA("dato",'[1]tabla dinámica nacionalidad-cat'!$A$4,"indicador","DINAMARCA","categoría","TOTAL","año",2009)+GETPIVOTDATA("dato",'[1]tabla dinámica nacionalidad-cat'!$A$4,"indicador","FINLANDIA","categoría","TOTAL","año",2009))-1</f>
        <v>-0.108843537414966</v>
      </c>
      <c r="D16" s="283">
        <f>(GETPIVOTDATA("dato",'[1]tabla dinámica nacionalidad-cat'!$A$4,"indicador","SUECIA","categoría","HOTELEROS","año",2010)+GETPIVOTDATA("dato",'[1]tabla dinámica nacionalidad-cat'!$A$4,"indicador","NORUEGA","categoría","HOTELEROS","año",2010)+GETPIVOTDATA("dato",'[1]tabla dinámica nacionalidad-cat'!$A$4,"indicador","DINAMARCA","categoría","HOTELEROS","año",2010)+GETPIVOTDATA("dato",'[1]tabla dinámica nacionalidad-cat'!$A$4,"indicador","FINLANDIA","categoría","HOTELEROS","año",2010))/(GETPIVOTDATA("dato",'[1]tabla dinámica nacionalidad-cat'!$A$4,"indicador","SUECIA","categoría","HOTELEROS","año",2009)+GETPIVOTDATA("dato",'[1]tabla dinámica nacionalidad-cat'!$A$4,"indicador","NORUEGA","categoría","HOTELEROS","año",2009)+GETPIVOTDATA("dato",'[1]tabla dinámica nacionalidad-cat'!$A$4,"indicador","DINAMARCA","categoría","HOTELEROS","año",2009)+GETPIVOTDATA("dato",'[1]tabla dinámica nacionalidad-cat'!$A$4,"indicador","FINLANDIA","categoría","HOTELEROS","año",2009))-1</f>
        <v>-0.108843537414966</v>
      </c>
      <c r="E16" s="283">
        <f>(GETPIVOTDATA("dato",'[1]tabla dinámica nacionalidad-cat'!$A$4,"indicador","SUECIA","categoría","4* Y 5*","año",2010)+GETPIVOTDATA("dato",'[1]tabla dinámica nacionalidad-cat'!$A$4,"indicador","NORUEGA","categoría","4* Y 5*","año",2010)+GETPIVOTDATA("dato",'[1]tabla dinámica nacionalidad-cat'!$A$4,"indicador","DINAMARCA","categoría","4* Y 5*","año",2010)+GETPIVOTDATA("dato",'[1]tabla dinámica nacionalidad-cat'!$A$4,"indicador","FINLANDIA","categoría","4* Y 5*","año",2010))/(GETPIVOTDATA("dato",'[1]tabla dinámica nacionalidad-cat'!$A$4,"indicador","SUECIA","categoría","4* Y 5*","año",2009)+GETPIVOTDATA("dato",'[1]tabla dinámica nacionalidad-cat'!$A$4,"indicador","NORUEGA","categoría","4* Y 5*","año",2009)+GETPIVOTDATA("dato",'[1]tabla dinámica nacionalidad-cat'!$A$4,"indicador","DINAMARCA","categoría","4* Y 5*","año",2009)+GETPIVOTDATA("dato",'[1]tabla dinámica nacionalidad-cat'!$A$4,"indicador","FINLANDIA","categoría","4* Y 5*","año",2009))-1</f>
        <v>-9.2436974789915971E-2</v>
      </c>
      <c r="F16" s="283">
        <f>(GETPIVOTDATA("dato",'[1]tabla dinámica nacionalidad-cat'!$A$4,"indicador","SUECIA","categoría","3 *","año",2010)+GETPIVOTDATA("dato",'[1]tabla dinámica nacionalidad-cat'!$A$4,"indicador","NORUEGA","categoría","3 *","año",2010)+GETPIVOTDATA("dato",'[1]tabla dinámica nacionalidad-cat'!$A$4,"indicador","DINAMARCA","categoría","3 *","año",2010)+GETPIVOTDATA("dato",'[1]tabla dinámica nacionalidad-cat'!$A$4,"indicador","FINLANDIA","categoría","3 *","año",2010))/(GETPIVOTDATA("dato",'[1]tabla dinámica nacionalidad-cat'!$A$4,"indicador","SUECIA","categoría","3 *","año",2009)+GETPIVOTDATA("dato",'[1]tabla dinámica nacionalidad-cat'!$A$4,"indicador","NORUEGA","categoría","3 *","año",2009)+GETPIVOTDATA("dato",'[1]tabla dinámica nacionalidad-cat'!$A$4,"indicador","DINAMARCA","categoría","3 *","año",2009)+GETPIVOTDATA("dato",'[1]tabla dinámica nacionalidad-cat'!$A$4,"indicador","FINLANDIA","categoría","3 *","año",2009))-1</f>
        <v>0.26630434782608692</v>
      </c>
      <c r="G16" s="283">
        <f>(GETPIVOTDATA("dato",'[1]tabla dinámica nacionalidad-cat'!$A$4,"indicador","SUECIA","categoría","2*","año",2010)+GETPIVOTDATA("dato",'[1]tabla dinámica nacionalidad-cat'!$A$4,"indicador","NORUEGA","categoría","2*","año",2010)+GETPIVOTDATA("dato",'[1]tabla dinámica nacionalidad-cat'!$A$4,"indicador","DINAMARCA","categoría","2*","año",2010)+GETPIVOTDATA("dato",'[1]tabla dinámica nacionalidad-cat'!$A$4,"indicador","FINLANDIA","categoría","2*","año",2010))/(GETPIVOTDATA("dato",'[1]tabla dinámica nacionalidad-cat'!$A$4,"indicador","SUECIA","categoría","2*","año",2009)+GETPIVOTDATA("dato",'[1]tabla dinámica nacionalidad-cat'!$A$4,"indicador","NORUEGA","categoría","2*","año",2009)+GETPIVOTDATA("dato",'[1]tabla dinámica nacionalidad-cat'!$A$4,"indicador","DINAMARCA","categoría","2*","año",2009)+GETPIVOTDATA("dato",'[1]tabla dinámica nacionalidad-cat'!$A$4,"indicador","FINLANDIA","categoría","2*","año",2009))-1</f>
        <v>-0.22087745839636919</v>
      </c>
      <c r="H16" s="283">
        <f>(GETPIVOTDATA("dato",'[1]tabla dinámica nacionalidad-cat'!$A$4,"indicador","SUECIA","categoría","1*","año",2010)+GETPIVOTDATA("dato",'[1]tabla dinámica nacionalidad-cat'!$A$4,"indicador","NORUEGA","categoría","1*","año",2010)+GETPIVOTDATA("dato",'[1]tabla dinámica nacionalidad-cat'!$A$4,"indicador","DINAMARCA","categoría","1*","año",2010)+GETPIVOTDATA("dato",'[1]tabla dinámica nacionalidad-cat'!$A$4,"indicador","FINLANDIA","categoría","1*","año",2010))/(GETPIVOTDATA("dato",'[1]tabla dinámica nacionalidad-cat'!$A$4,"indicador","SUECIA","categoría","1*","año",2009)+GETPIVOTDATA("dato",'[1]tabla dinámica nacionalidad-cat'!$A$4,"indicador","NORUEGA","categoría","1*","año",2009)+GETPIVOTDATA("dato",'[1]tabla dinámica nacionalidad-cat'!$A$4,"indicador","DINAMARCA","categoría","1*","año",2009)+GETPIVOTDATA("dato",'[1]tabla dinámica nacionalidad-cat'!$A$4,"indicador","FINLANDIA","categoría","1*","año",2009))-1</f>
        <v>-6.1538461538461542E-2</v>
      </c>
    </row>
    <row r="17" spans="2:8">
      <c r="B17" s="271" t="s">
        <v>166</v>
      </c>
      <c r="C17" s="283">
        <f>GETPIVOTDATA("dato",'[1]tabla dinámica nacionalidad-cat'!$A$4,"indicador","SUECIA","categoría","TOTAL","año",2010)/GETPIVOTDATA("dato",'[1]tabla dinámica nacionalidad-cat'!$A$4,"indicador","SUECIA","categoría","TOTAL","año",2009)-1</f>
        <v>7.1729957805907185E-2</v>
      </c>
      <c r="D17" s="283">
        <f>GETPIVOTDATA("dato",'[1]tabla dinámica nacionalidad-cat'!$A$4,"indicador","SUECIA","categoría","HOTELEROS","año",2010)/GETPIVOTDATA("dato",'[1]tabla dinámica nacionalidad-cat'!$A$4,"indicador","SUECIA","categoría","HOTELEROS","año",2009)-1</f>
        <v>7.1729957805907185E-2</v>
      </c>
      <c r="E17" s="283">
        <f>GETPIVOTDATA("dato",'[1]tabla dinámica nacionalidad-cat'!$A$4,"indicador","SUECIA","categoría","4* Y 5*","año",2010)/GETPIVOTDATA("dato",'[1]tabla dinámica nacionalidad-cat'!$A$4,"indicador","SUECIA","categoría","4* Y 5*","año",2009)-1</f>
        <v>0.10810810810810811</v>
      </c>
      <c r="F17" s="283">
        <f>GETPIVOTDATA("dato",'[1]tabla dinámica nacionalidad-cat'!$A$4,"indicador","SUECIA","categoría","3 *","año",2010)/GETPIVOTDATA("dato",'[1]tabla dinámica nacionalidad-cat'!$A$4,"indicador","SUECIA","categoría","3 *","año",2009)-1</f>
        <v>1.2692307692307692</v>
      </c>
      <c r="G17" s="283">
        <f>GETPIVOTDATA("dato",'[1]tabla dinámica nacionalidad-cat'!$A$4,"indicador","SUECIA","categoría","2*","año",2010)/GETPIVOTDATA("dato",'[1]tabla dinámica nacionalidad-cat'!$A$4,"indicador","SUECIA","categoría","2*","año",2009)-1</f>
        <v>-0.23636363636363633</v>
      </c>
      <c r="H17" s="283">
        <f>GETPIVOTDATA("dato",'[1]tabla dinámica nacionalidad-cat'!$A$4,"indicador","SUECIA","categoría","1*","año",2010)/GETPIVOTDATA("dato",'[1]tabla dinámica nacionalidad-cat'!$A$4,"indicador","SUECIA","categoría","1*","año",2009)-1</f>
        <v>2.1111111111111112</v>
      </c>
    </row>
    <row r="18" spans="2:8">
      <c r="B18" s="271" t="s">
        <v>167</v>
      </c>
      <c r="C18" s="283">
        <f>GETPIVOTDATA("dato",'[1]tabla dinámica nacionalidad-cat'!$A$4,"indicador","NORUEGA","categoría","TOTAL","año",2010)/GETPIVOTDATA("dato",'[1]tabla dinámica nacionalidad-cat'!$A$4,"indicador","NORUEGA","categoría","TOTAL","año",2009)-1</f>
        <v>-0.27542372881355937</v>
      </c>
      <c r="D18" s="283">
        <f>GETPIVOTDATA("dato",'[1]tabla dinámica nacionalidad-cat'!$A$4,"indicador","NORUEGA","categoría","HOTELEROS","año",2010)/GETPIVOTDATA("dato",'[1]tabla dinámica nacionalidad-cat'!$A$4,"indicador","NORUEGA","categoría","HOTELEROS","año",2009)-1</f>
        <v>-0.27542372881355937</v>
      </c>
      <c r="E18" s="283">
        <f>GETPIVOTDATA("dato",'[1]tabla dinámica nacionalidad-cat'!$A$4,"indicador","NORUEGA","categoría","4* Y 5*","año",2010)/GETPIVOTDATA("dato",'[1]tabla dinámica nacionalidad-cat'!$A$4,"indicador","NORUEGA","categoría","4* Y 5*","año",2009)-1</f>
        <v>-0.17073170731707321</v>
      </c>
      <c r="F18" s="283">
        <f>GETPIVOTDATA("dato",'[1]tabla dinámica nacionalidad-cat'!$A$4,"indicador","NORUEGA","categoría","3 *","año",2010)/GETPIVOTDATA("dato",'[1]tabla dinámica nacionalidad-cat'!$A$4,"indicador","NORUEGA","categoría","3 *","año",2009)-1</f>
        <v>-0.22413793103448276</v>
      </c>
      <c r="G18" s="283">
        <f>GETPIVOTDATA("dato",'[1]tabla dinámica nacionalidad-cat'!$A$4,"indicador","NORUEGA","categoría","2*","año",2010)/GETPIVOTDATA("dato",'[1]tabla dinámica nacionalidad-cat'!$A$4,"indicador","NORUEGA","categoría","2*","año",2009)-1</f>
        <v>-0.35199999999999998</v>
      </c>
      <c r="H18" s="283">
        <f>GETPIVOTDATA("dato",'[1]tabla dinámica nacionalidad-cat'!$A$4,"indicador","NORUEGA","categoría","1*","año",2010)/GETPIVOTDATA("dato",'[1]tabla dinámica nacionalidad-cat'!$A$4,"indicador","NORUEGA","categoría","1*","año",2009)-1</f>
        <v>-8.333333333333337E-2</v>
      </c>
    </row>
    <row r="19" spans="2:8">
      <c r="B19" s="271" t="s">
        <v>168</v>
      </c>
      <c r="C19" s="283">
        <f>GETPIVOTDATA("dato",'[1]tabla dinámica nacionalidad-cat'!$A$4,"indicador","DINAMARCA","categoría","TOTAL","año",2010)/GETPIVOTDATA("dato",'[1]tabla dinámica nacionalidad-cat'!$A$4,"indicador","DINAMARCA","categoría","TOTAL","año",2009)-1</f>
        <v>-0.12184873949579833</v>
      </c>
      <c r="D19" s="283">
        <f>GETPIVOTDATA("dato",'[1]tabla dinámica nacionalidad-cat'!$A$4,"indicador","DINAMARCA","categoría","HOTELEROS","año",2010)/GETPIVOTDATA("dato",'[1]tabla dinámica nacionalidad-cat'!$A$4,"indicador","DINAMARCA","categoría","HOTELEROS","año",2009)-1</f>
        <v>-0.12184873949579833</v>
      </c>
      <c r="E19" s="283">
        <f>GETPIVOTDATA("dato",'[1]tabla dinámica nacionalidad-cat'!$A$4,"indicador","DINAMARCA","categoría","4* Y 5*","año",2010)/GETPIVOTDATA("dato",'[1]tabla dinámica nacionalidad-cat'!$A$4,"indicador","DINAMARCA","categoría","4* Y 5*","año",2009)-1</f>
        <v>-0.36363636363636365</v>
      </c>
      <c r="F19" s="283">
        <f>GETPIVOTDATA("dato",'[1]tabla dinámica nacionalidad-cat'!$A$4,"indicador","DINAMARCA","categoría","3 *","año",2010)/GETPIVOTDATA("dato",'[1]tabla dinámica nacionalidad-cat'!$A$4,"indicador","DINAMARCA","categoría","3 *","año",2009)-1</f>
        <v>0.24137931034482762</v>
      </c>
      <c r="G19" s="283">
        <f>GETPIVOTDATA("dato",'[1]tabla dinámica nacionalidad-cat'!$A$4,"indicador","DINAMARCA","categoría","2*","año",2010)/GETPIVOTDATA("dato",'[1]tabla dinámica nacionalidad-cat'!$A$4,"indicador","DINAMARCA","categoría","2*","año",2009)-1</f>
        <v>-0.11111111111111116</v>
      </c>
      <c r="H19" s="283">
        <f>GETPIVOTDATA("dato",'[1]tabla dinámica nacionalidad-cat'!$A$4,"indicador","DINAMARCA","categoría","1*","año",2010)/GETPIVOTDATA("dato",'[1]tabla dinámica nacionalidad-cat'!$A$4,"indicador","DINAMARCA","categoría","1*","año",2009)-1</f>
        <v>-0.6</v>
      </c>
    </row>
    <row r="20" spans="2:8">
      <c r="B20" s="271" t="s">
        <v>169</v>
      </c>
      <c r="C20" s="283">
        <f>GETPIVOTDATA("dato",'[1]tabla dinámica nacionalidad-cat'!$A$4,"indicador","FINLANDIA","categoría","TOTAL","año",2010)/GETPIVOTDATA("dato",'[1]tabla dinámica nacionalidad-cat'!$A$4,"indicador","FINLANDIA","categoría","TOTAL","año",2009)-1</f>
        <v>-0.11006289308176098</v>
      </c>
      <c r="D20" s="283">
        <f>GETPIVOTDATA("dato",'[1]tabla dinámica nacionalidad-cat'!$A$4,"indicador","FINLANDIA","categoría","HOTELEROS","año",2010)/GETPIVOTDATA("dato",'[1]tabla dinámica nacionalidad-cat'!$A$4,"indicador","FINLANDIA","categoría","HOTELEROS","año",2009)-1</f>
        <v>-0.11006289308176098</v>
      </c>
      <c r="E20" s="283">
        <f>GETPIVOTDATA("dato",'[1]tabla dinámica nacionalidad-cat'!$A$4,"indicador","FINLANDIA","categoría","4* Y 5*","año",2010)/GETPIVOTDATA("dato",'[1]tabla dinámica nacionalidad-cat'!$A$4,"indicador","FINLANDIA","categoría","4* Y 5*","año",2009)-1</f>
        <v>0.5</v>
      </c>
      <c r="F20" s="283">
        <f>GETPIVOTDATA("dato",'[1]tabla dinámica nacionalidad-cat'!$A$4,"indicador","FINLANDIA","categoría","3 *","año",2010)/GETPIVOTDATA("dato",'[1]tabla dinámica nacionalidad-cat'!$A$4,"indicador","FINLANDIA","categoría","3 *","año",2009)-1</f>
        <v>0.35714285714285721</v>
      </c>
      <c r="G20" s="283">
        <f>GETPIVOTDATA("dato",'[1]tabla dinámica nacionalidad-cat'!$A$4,"indicador","FINLANDIA","categoría","2*","año",2010)/GETPIVOTDATA("dato",'[1]tabla dinámica nacionalidad-cat'!$A$4,"indicador","FINLANDIA","categoría","2*","año",2009)-1</f>
        <v>-0.19685039370078738</v>
      </c>
      <c r="H20" s="283">
        <f>GETPIVOTDATA("dato",'[1]tabla dinámica nacionalidad-cat'!$A$4,"indicador","FINLANDIA","categoría","1*","año",2010)/GETPIVOTDATA("dato",'[1]tabla dinámica nacionalidad-cat'!$A$4,"indicador","FINLANDIA","categoría","1*","año",2009)-1</f>
        <v>-0.2857142857142857</v>
      </c>
    </row>
    <row r="21" spans="2:8">
      <c r="B21" s="268" t="s">
        <v>170</v>
      </c>
      <c r="C21" s="283">
        <f>GETPIVOTDATA("dato",'[1]tabla dinámica nacionalidad-cat'!$A$4,"indicador","SUIZA","categoría","TOTAL","año",2010)/GETPIVOTDATA("dato",'[1]tabla dinámica nacionalidad-cat'!$A$4,"indicador","SUIZA","categoría","TOTAL","año",2009)-1</f>
        <v>-4.3343653250773939E-2</v>
      </c>
      <c r="D21" s="283">
        <f>GETPIVOTDATA("dato",'[1]tabla dinámica nacionalidad-cat'!$A$4,"indicador","SUIZA","categoría","HOTELEROS","año",2010)/GETPIVOTDATA("dato",'[1]tabla dinámica nacionalidad-cat'!$A$4,"indicador","SUIZA","categoría","HOTELEROS","año",2009)-1</f>
        <v>-4.3343653250773939E-2</v>
      </c>
      <c r="E21" s="283">
        <f>GETPIVOTDATA("dato",'[1]tabla dinámica nacionalidad-cat'!$A$4,"indicador","SUIZA","categoría","4* Y 5*","año",2010)/GETPIVOTDATA("dato",'[1]tabla dinámica nacionalidad-cat'!$A$4,"indicador","SUIZA","categoría","4* Y 5*","año",2009)-1</f>
        <v>-0.32530120481927716</v>
      </c>
      <c r="F21" s="283">
        <f>GETPIVOTDATA("dato",'[1]tabla dinámica nacionalidad-cat'!$A$4,"indicador","SUIZA","categoría","3 *","año",2010)/GETPIVOTDATA("dato",'[1]tabla dinámica nacionalidad-cat'!$A$4,"indicador","SUIZA","categoría","3 *","año",2009)-1</f>
        <v>0.33749999999999991</v>
      </c>
      <c r="G21" s="283">
        <f>GETPIVOTDATA("dato",'[1]tabla dinámica nacionalidad-cat'!$A$4,"indicador","SUIZA","categoría","2*","año",2010)/GETPIVOTDATA("dato",'[1]tabla dinámica nacionalidad-cat'!$A$4,"indicador","SUIZA","categoría","2*","año",2009)-1</f>
        <v>1.7241379310344751E-2</v>
      </c>
      <c r="H21" s="283">
        <f>GETPIVOTDATA("dato",'[1]tabla dinámica nacionalidad-cat'!$A$4,"indicador","SUIZA","categoría","1*","año",2010)/GETPIVOTDATA("dato",'[1]tabla dinámica nacionalidad-cat'!$A$4,"indicador","SUIZA","categoría","1*","año",2009)-1</f>
        <v>-0.36363636363636365</v>
      </c>
    </row>
    <row r="22" spans="2:8">
      <c r="B22" s="268" t="s">
        <v>171</v>
      </c>
      <c r="C22" s="283">
        <f>GETPIVOTDATA("dato",'[1]tabla dinámica nacionalidad-cat'!$A$4,"indicador","AUSTRIA","categoría","TOTAL","año",2010)/GETPIVOTDATA("dato",'[1]tabla dinámica nacionalidad-cat'!$A$4,"indicador","AUSTRIA","categoría","TOTAL","año",2009)-1</f>
        <v>1.5151515151515138E-2</v>
      </c>
      <c r="D22" s="283">
        <f>GETPIVOTDATA("dato",'[1]tabla dinámica nacionalidad-cat'!$A$4,"indicador","AUSTRIA","categoría","HOTELEROS","año",2010)/GETPIVOTDATA("dato",'[1]tabla dinámica nacionalidad-cat'!$A$4,"indicador","AUSTRIA","categoría","HOTELEROS","año",2009)-1</f>
        <v>1.5151515151515138E-2</v>
      </c>
      <c r="E22" s="283">
        <f>GETPIVOTDATA("dato",'[1]tabla dinámica nacionalidad-cat'!$A$4,"indicador","AUSTRIA","categoría","4* Y 5*","año",2010)/GETPIVOTDATA("dato",'[1]tabla dinámica nacionalidad-cat'!$A$4,"indicador","AUSTRIA","categoría","4* Y 5*","año",2009)-1</f>
        <v>0.19999999999999996</v>
      </c>
      <c r="F22" s="283">
        <f>GETPIVOTDATA("dato",'[1]tabla dinámica nacionalidad-cat'!$A$4,"indicador","AUSTRIA","categoría","3 *","año",2010)/GETPIVOTDATA("dato",'[1]tabla dinámica nacionalidad-cat'!$A$4,"indicador","AUSTRIA","categoría","3 *","año",2009)-1</f>
        <v>0.78787878787878785</v>
      </c>
      <c r="G22" s="283">
        <f>GETPIVOTDATA("dato",'[1]tabla dinámica nacionalidad-cat'!$A$4,"indicador","AUSTRIA","categoría","2*","año",2010)/GETPIVOTDATA("dato",'[1]tabla dinámica nacionalidad-cat'!$A$4,"indicador","AUSTRIA","categoría","2*","año",2009)-1</f>
        <v>-0.27433628318584069</v>
      </c>
      <c r="H22" s="283">
        <f>GETPIVOTDATA("dato",'[1]tabla dinámica nacionalidad-cat'!$A$4,"indicador","AUSTRIA","categoría","1*","año",2010)/GETPIVOTDATA("dato",'[1]tabla dinámica nacionalidad-cat'!$A$4,"indicador","AUSTRIA","categoría","1*","año",2009)-1</f>
        <v>5.8823529411764719E-2</v>
      </c>
    </row>
    <row r="23" spans="2:8">
      <c r="B23" s="268" t="s">
        <v>172</v>
      </c>
      <c r="C23" s="283">
        <f>GETPIVOTDATA("dato",'[1]tabla dinámica nacionalidad-cat'!$A$4,"indicador","RUSIA","categoría","TOTAL","año",2010)/GETPIVOTDATA("dato",'[1]tabla dinámica nacionalidad-cat'!$A$4,"indicador","RUSIA","categoría","TOTAL","año",2009)-1</f>
        <v>-3.515625E-2</v>
      </c>
      <c r="D23" s="283">
        <f>GETPIVOTDATA("dato",'[1]tabla dinámica nacionalidad-cat'!$A$4,"indicador","RUSIA","categoría","HOTELEROS","año",2010)/GETPIVOTDATA("dato",'[1]tabla dinámica nacionalidad-cat'!$A$4,"indicador","RUSIA","categoría","HOTELEROS","año",2009)-1</f>
        <v>-3.515625E-2</v>
      </c>
      <c r="E23" s="283">
        <f>GETPIVOTDATA("dato",'[1]tabla dinámica nacionalidad-cat'!$A$4,"indicador","RUSIA","categoría","4* Y 5*","año",2010)/GETPIVOTDATA("dato",'[1]tabla dinámica nacionalidad-cat'!$A$4,"indicador","RUSIA","categoría","4* Y 5*","año",2009)-1</f>
        <v>1.6666666666666665</v>
      </c>
      <c r="F23" s="283">
        <f>GETPIVOTDATA("dato",'[1]tabla dinámica nacionalidad-cat'!$A$4,"indicador","RUSIA","categoría","3 *","año",2010)/GETPIVOTDATA("dato",'[1]tabla dinámica nacionalidad-cat'!$A$4,"indicador","RUSIA","categoría","3 *","año",2009)-1</f>
        <v>0.57333333333333325</v>
      </c>
      <c r="G23" s="283">
        <f>GETPIVOTDATA("dato",'[1]tabla dinámica nacionalidad-cat'!$A$4,"indicador","RUSIA","categoría","2*","año",2010)/GETPIVOTDATA("dato",'[1]tabla dinámica nacionalidad-cat'!$A$4,"indicador","RUSIA","categoría","2*","año",2009)-1</f>
        <v>-0.54374999999999996</v>
      </c>
      <c r="H23" s="283">
        <f>GETPIVOTDATA("dato",'[1]tabla dinámica nacionalidad-cat'!$A$4,"indicador","RUSIA","categoría","1*","año",2010)/GETPIVOTDATA("dato",'[1]tabla dinámica nacionalidad-cat'!$A$4,"indicador","RUSIA","categoría","1*","año",2009)-1</f>
        <v>1.6666666666666665</v>
      </c>
    </row>
    <row r="24" spans="2:8">
      <c r="B24" s="272" t="s">
        <v>173</v>
      </c>
      <c r="C24" s="283">
        <f>GETPIVOTDATA("dato",'[1]tabla dinámica nacionalidad-cat'!$A$4,"indicador","PAÍSES DEL ESTE","categoría","TOTAL","año",2010)/GETPIVOTDATA("dato",'[1]tabla dinámica nacionalidad-cat'!$A$4,"indicador","PAÍSES DEL ESTE","categoría","TOTAL","año",2009)-1</f>
        <v>-0.19310344827586212</v>
      </c>
      <c r="D24" s="283">
        <f>GETPIVOTDATA("dato",'[1]tabla dinámica nacionalidad-cat'!$A$4,"indicador","PAÍSES DEL ESTE","categoría","HOTELEROS","año",2010)/GETPIVOTDATA("dato",'[1]tabla dinámica nacionalidad-cat'!$A$4,"indicador","PAÍSES DEL ESTE","categoría","HOTELEROS","año",2009)-1</f>
        <v>-0.19310344827586212</v>
      </c>
      <c r="E24" s="283">
        <f>GETPIVOTDATA("dato",'[1]tabla dinámica nacionalidad-cat'!$A$4,"indicador","PAÍSES DEL ESTE","categoría","4* Y 5*","año",2010)/GETPIVOTDATA("dato",'[1]tabla dinámica nacionalidad-cat'!$A$4,"indicador","PAÍSES DEL ESTE","categoría","4* Y 5*","año",2009)-1</f>
        <v>-0.72826086956521741</v>
      </c>
      <c r="F24" s="283">
        <f>GETPIVOTDATA("dato",'[1]tabla dinámica nacionalidad-cat'!$A$4,"indicador","PAÍSES DEL ESTE","categoría","3 *","año",2010)/GETPIVOTDATA("dato",'[1]tabla dinámica nacionalidad-cat'!$A$4,"indicador","PAÍSES DEL ESTE","categoría","3 *","año",2009)-1</f>
        <v>0.29357798165137616</v>
      </c>
      <c r="G24" s="283">
        <f>GETPIVOTDATA("dato",'[1]tabla dinámica nacionalidad-cat'!$A$4,"indicador","PAÍSES DEL ESTE","categoría","2*","año",2010)/GETPIVOTDATA("dato",'[1]tabla dinámica nacionalidad-cat'!$A$4,"indicador","PAÍSES DEL ESTE","categoría","2*","año",2009)-1</f>
        <v>-0.1633466135458167</v>
      </c>
      <c r="H24" s="283">
        <f>GETPIVOTDATA("dato",'[1]tabla dinámica nacionalidad-cat'!$A$4,"indicador","PAÍSES DEL ESTE","categoría","1*","año",2010)/GETPIVOTDATA("dato",'[1]tabla dinámica nacionalidad-cat'!$A$4,"indicador","PAÍSES DEL ESTE","categoría","1*","año",2009)-1</f>
        <v>-0.28125</v>
      </c>
    </row>
    <row r="25" spans="2:8">
      <c r="B25" s="272" t="s">
        <v>174</v>
      </c>
      <c r="C25" s="283">
        <f>GETPIVOTDATA("dato",'[1]tabla dinámica nacionalidad-cat'!$A$4,"indicador","RESTO DE EUROPA","categoría","TOTAL","año",2010)/GETPIVOTDATA("dato",'[1]tabla dinámica nacionalidad-cat'!$A$4,"indicador","RESTO DE EUROPA","categoría","TOTAL","año",2009)-1</f>
        <v>-9.8901098901098883E-2</v>
      </c>
      <c r="D25" s="283">
        <f>GETPIVOTDATA("dato",'[1]tabla dinámica nacionalidad-cat'!$A$4,"indicador","RESTO DE EUROPA","categoría","HOTELEROS","año",2010)/GETPIVOTDATA("dato",'[1]tabla dinámica nacionalidad-cat'!$A$4,"indicador","RESTO DE EUROPA","categoría","HOTELEROS","año",2009)-1</f>
        <v>-9.8901098901098883E-2</v>
      </c>
      <c r="E25" s="283">
        <f>GETPIVOTDATA("dato",'[1]tabla dinámica nacionalidad-cat'!$A$4,"indicador","RESTO DE EUROPA","categoría","4* Y 5*","año",2010)/GETPIVOTDATA("dato",'[1]tabla dinámica nacionalidad-cat'!$A$4,"indicador","RESTO DE EUROPA","categoría","4* Y 5*","año",2009)-1</f>
        <v>-0.54150197628458496</v>
      </c>
      <c r="F25" s="283">
        <f>GETPIVOTDATA("dato",'[1]tabla dinámica nacionalidad-cat'!$A$4,"indicador","RESTO DE EUROPA","categoría","3 *","año",2010)/GETPIVOTDATA("dato",'[1]tabla dinámica nacionalidad-cat'!$A$4,"indicador","RESTO DE EUROPA","categoría","3 *","año",2009)-1</f>
        <v>0.17705735660847877</v>
      </c>
      <c r="G25" s="283">
        <f>GETPIVOTDATA("dato",'[1]tabla dinámica nacionalidad-cat'!$A$4,"indicador","RESTO DE EUROPA","categoría","2*","año",2010)/GETPIVOTDATA("dato",'[1]tabla dinámica nacionalidad-cat'!$A$4,"indicador","RESTO DE EUROPA","categoría","2*","año",2009)-1</f>
        <v>-7.3099415204678331E-2</v>
      </c>
      <c r="H25" s="283">
        <f>GETPIVOTDATA("dato",'[1]tabla dinámica nacionalidad-cat'!$A$4,"indicador","RESTO DE EUROPA","categoría","1*","año",2010)/GETPIVOTDATA("dato",'[1]tabla dinámica nacionalidad-cat'!$A$4,"indicador","RESTO DE EUROPA","categoría","1*","año",2009)-1</f>
        <v>-0.17708333333333337</v>
      </c>
    </row>
    <row r="26" spans="2:8">
      <c r="B26" s="230" t="s">
        <v>175</v>
      </c>
      <c r="C26" s="283">
        <f>GETPIVOTDATA("dato",'[1]tabla dinámica nacionalidad-cat'!$A$4,"indicador","USA","categoría","TOTAL","año",2010)/GETPIVOTDATA("dato",'[1]tabla dinámica nacionalidad-cat'!$A$4,"indicador","USA","categoría","TOTAL","año",2009)-1</f>
        <v>0.41366906474820153</v>
      </c>
      <c r="D26" s="283">
        <f>GETPIVOTDATA("dato",'[1]tabla dinámica nacionalidad-cat'!$A$4,"indicador","USA","categoría","HOTELEROS","año",2010)/GETPIVOTDATA("dato",'[1]tabla dinámica nacionalidad-cat'!$A$4,"indicador","USA","categoría","HOTELEROS","año",2009)-1</f>
        <v>0.41366906474820153</v>
      </c>
      <c r="E26" s="283">
        <f>GETPIVOTDATA("dato",'[1]tabla dinámica nacionalidad-cat'!$A$4,"indicador","USA","categoría","4* Y 5*","año",2010)/GETPIVOTDATA("dato",'[1]tabla dinámica nacionalidad-cat'!$A$4,"indicador","USA","categoría","4* Y 5*","año",2009)-1</f>
        <v>-0.28358208955223885</v>
      </c>
      <c r="F26" s="283">
        <f>GETPIVOTDATA("dato",'[1]tabla dinámica nacionalidad-cat'!$A$4,"indicador","USA","categoría","3 *","año",2010)/GETPIVOTDATA("dato",'[1]tabla dinámica nacionalidad-cat'!$A$4,"indicador","USA","categoría","3 *","año",2009)-1</f>
        <v>1.1626506024096384</v>
      </c>
      <c r="G26" s="283">
        <f>GETPIVOTDATA("dato",'[1]tabla dinámica nacionalidad-cat'!$A$4,"indicador","USA","categoría","2*","año",2010)/GETPIVOTDATA("dato",'[1]tabla dinámica nacionalidad-cat'!$A$4,"indicador","USA","categoría","2*","año",2009)-1</f>
        <v>0.51190476190476186</v>
      </c>
      <c r="H26" s="283">
        <f>GETPIVOTDATA("dato",'[1]tabla dinámica nacionalidad-cat'!$A$4,"indicador","usa","categoría","1*","año",2010)/GETPIVOTDATA("dato",'[1]tabla dinámica nacionalidad-cat'!$A$4,"indicador","usa","categoría","1*","año",2009)-1</f>
        <v>0.38095238095238093</v>
      </c>
    </row>
    <row r="27" spans="2:8">
      <c r="B27" s="272" t="s">
        <v>176</v>
      </c>
      <c r="C27" s="283">
        <f>GETPIVOTDATA("dato",'[1]tabla dinámica nacionalidad-cat'!$A$4,"indicador","RESTO DE AMÉRICA","categoría","TOTAL","año",2010)/GETPIVOTDATA("dato",'[1]tabla dinámica nacionalidad-cat'!$A$4,"indicador","RESTO DE AMÉRICA","categoría","TOTAL","año",2009)-1</f>
        <v>0.11332250203086924</v>
      </c>
      <c r="D27" s="283">
        <f>GETPIVOTDATA("dato",'[1]tabla dinámica nacionalidad-cat'!$A$4,"indicador","RESTO DE AMÉRICA","categoría","HOTELEROS","año",2010)/GETPIVOTDATA("dato",'[1]tabla dinámica nacionalidad-cat'!$A$4,"indicador","RESTO DE AMÉRICA","categoría","HOTELEROS","año",2009)-1</f>
        <v>0.11332250203086924</v>
      </c>
      <c r="E27" s="283">
        <f>GETPIVOTDATA("dato",'[1]tabla dinámica nacionalidad-cat'!$A$4,"indicador","RESTO DE AMÉRICA","categoría","4* Y 5*","año",2010)/GETPIVOTDATA("dato",'[1]tabla dinámica nacionalidad-cat'!$A$4,"indicador","RESTO DE AMÉRICA","categoría","4* Y 5*","año",2009)-1</f>
        <v>-0.32567049808429116</v>
      </c>
      <c r="F27" s="283">
        <f>GETPIVOTDATA("dato",'[1]tabla dinámica nacionalidad-cat'!$A$4,"indicador","RESTO DE AMÉRICA","categoría","3 *","año",2010)/GETPIVOTDATA("dato",'[1]tabla dinámica nacionalidad-cat'!$A$4,"indicador","RESTO DE AMÉRICA","categoría","3 *","año",2009)-1</f>
        <v>0.64556962025316467</v>
      </c>
      <c r="G27" s="283">
        <f>GETPIVOTDATA("dato",'[1]tabla dinámica nacionalidad-cat'!$A$4,"indicador","RESTO DE AMÉRICA","categoría","2*","año",2010)/GETPIVOTDATA("dato",'[1]tabla dinámica nacionalidad-cat'!$A$4,"indicador","RESTO DE AMÉRICA","categoría","2*","año",2009)-1</f>
        <v>0.19700460829493083</v>
      </c>
      <c r="H27" s="283">
        <f>GETPIVOTDATA("dato",'[1]tabla dinámica nacionalidad-cat'!$A$4,"indicador","RESTO DE AMÉRICA","categoría","1*","año",2010)/GETPIVOTDATA("dato",'[1]tabla dinámica nacionalidad-cat'!$A$4,"indicador","RESTO DE AMÉRICA","categoría","1*","año",2009)-1</f>
        <v>-0.58379373848987104</v>
      </c>
    </row>
    <row r="28" spans="2:8">
      <c r="B28" s="272" t="s">
        <v>177</v>
      </c>
      <c r="C28" s="283">
        <f>GETPIVOTDATA("dato",'[1]tabla dinámica nacionalidad-cat'!$A$4,"indicador","RESTO DEL MUNDO","categoría","TOTAL","año",2010)/GETPIVOTDATA("dato",'[1]tabla dinámica nacionalidad-cat'!$A$4,"indicador","RESTO DEL MUNDO","categoría","TOTAL","año",2009)-1</f>
        <v>0.1994428969359332</v>
      </c>
      <c r="D28" s="283">
        <f>GETPIVOTDATA("dato",'[1]tabla dinámica nacionalidad-cat'!$A$4,"indicador","RESTO DEL MUNDO","categoría","HOTELEROS","año",2010)/GETPIVOTDATA("dato",'[1]tabla dinámica nacionalidad-cat'!$A$4,"indicador","RESTO DEL MUNDO","categoría","HOTELEROS","año",2009)-1</f>
        <v>0.1994428969359332</v>
      </c>
      <c r="E28" s="283">
        <f>GETPIVOTDATA("dato",'[1]tabla dinámica nacionalidad-cat'!$A$4,"indicador","RESTO DEL MUNDO","categoría","4* Y 5*","año",2010)/GETPIVOTDATA("dato",'[1]tabla dinámica nacionalidad-cat'!$A$4,"indicador","RESTO DEL MUNDO","categoría","4* Y 5*","año",2009)-1</f>
        <v>3.6544850498338777E-2</v>
      </c>
      <c r="F28" s="283">
        <f>GETPIVOTDATA("dato",'[1]tabla dinámica nacionalidad-cat'!$A$4,"indicador","RESTO DEL MUNDO","categoría","3 *","año",2010)/GETPIVOTDATA("dato",'[1]tabla dinámica nacionalidad-cat'!$A$4,"indicador","RESTO DEL MUNDO","categoría","3 *","año",2009)-1</f>
        <v>0.56632653061224492</v>
      </c>
      <c r="G28" s="283">
        <f>GETPIVOTDATA("dato",'[1]tabla dinámica nacionalidad-cat'!$A$4,"indicador","RESTO DEL MUNDO","categoría","2*","año",2010)/GETPIVOTDATA("dato",'[1]tabla dinámica nacionalidad-cat'!$A$4,"indicador","RESTO DEL MUNDO","categoría","2*","año",2009)-1</f>
        <v>0</v>
      </c>
      <c r="H28" s="283">
        <f>GETPIVOTDATA("dato",'[1]tabla dinámica nacionalidad-cat'!$A$4,"indicador","RESTO DEL MUNDO","categoría","1*","año",2010)/GETPIVOTDATA("dato",'[1]tabla dinámica nacionalidad-cat'!$A$4,"indicador","RESTO DEL MUNDO","categoría","1*","año",2009)-1</f>
        <v>6.5116279069767469E-2</v>
      </c>
    </row>
    <row r="29" spans="2:8">
      <c r="B29" s="274" t="s">
        <v>178</v>
      </c>
      <c r="C29" s="284">
        <f>(GETPIVOTDATA("dato",'[1]tabla dinámica nacionalidad-cat'!$A$4,"indicador","TOTAL","categoría","TOTAL","año",2010)-GETPIVOTDATA("dato",'[1]tabla dinámica nacionalidad-cat'!$A$4,"indicador","España","categoría","TOTAL","año",2010))/(GETPIVOTDATA("dato",'[1]tabla dinámica nacionalidad-cat'!$A$4,"indicador","TOTAL","categoría","TOTAL","año",2009)-GETPIVOTDATA("dato",'[1]tabla dinámica nacionalidad-cat'!$A$4,"indicador","España","categoría","TOTAL","año",2009))-1</f>
        <v>3.9511948413200049E-2</v>
      </c>
      <c r="D29" s="284">
        <f>(GETPIVOTDATA("dato",'[1]tabla dinámica nacionalidad-cat'!$A$4,"indicador","TOTAL","categoría","hoteleros","año",2010)-GETPIVOTDATA("dato",'[1]tabla dinámica nacionalidad-cat'!$A$4,"indicador","España","categoría","hoteleros","año",2010))/(GETPIVOTDATA("dato",'[1]tabla dinámica nacionalidad-cat'!$A$4,"indicador","TOTAL","categoría","hoteleros","año",2009)-GETPIVOTDATA("dato",'[1]tabla dinámica nacionalidad-cat'!$A$4,"indicador","España","categoría","hoteleros","año",2009))-1</f>
        <v>3.9511948413200049E-2</v>
      </c>
      <c r="E29" s="284">
        <f>(GETPIVOTDATA("dato",'[1]tabla dinámica nacionalidad-cat'!$A$4,"indicador","TOTAL","categoría","4* y 5*","año",2010)-GETPIVOTDATA("dato",'[1]tabla dinámica nacionalidad-cat'!$A$4,"indicador","España","categoría","4* y 5*","año",2010))/(GETPIVOTDATA("dato",'[1]tabla dinámica nacionalidad-cat'!$A$4,"indicador","TOTAL","categoría","4* y 5*","año",2009)-GETPIVOTDATA("dato",'[1]tabla dinámica nacionalidad-cat'!$A$4,"indicador","España","categoría","4* y 5*","año",2009))-1</f>
        <v>-8.0297397769516721E-2</v>
      </c>
      <c r="F29" s="284">
        <f>(GETPIVOTDATA("dato",'[1]tabla dinámica nacionalidad-cat'!$A$4,"indicador","TOTAL","categoría","3 *","año",2010)-GETPIVOTDATA("dato",'[1]tabla dinámica nacionalidad-cat'!$A$4,"indicador","España","categoría","3 *","año",2010))/(GETPIVOTDATA("dato",'[1]tabla dinámica nacionalidad-cat'!$A$4,"indicador","TOTAL","categoría","3 *","año",2009)-GETPIVOTDATA("dato",'[1]tabla dinámica nacionalidad-cat'!$A$4,"indicador","España","categoría","3 *","año",2009))-1</f>
        <v>0.27470093043863542</v>
      </c>
      <c r="G29" s="284">
        <f>(GETPIVOTDATA("dato",'[1]tabla dinámica nacionalidad-cat'!$A$4,"indicador","TOTAL","categoría","2*","año",2010)-GETPIVOTDATA("dato",'[1]tabla dinámica nacionalidad-cat'!$A$4,"indicador","España","categoría","2*","año",2010))/(GETPIVOTDATA("dato",'[1]tabla dinámica nacionalidad-cat'!$A$4,"indicador","TOTAL","categoría","2*","año",2009)-GETPIVOTDATA("dato",'[1]tabla dinámica nacionalidad-cat'!$A$4,"indicador","España","categoría","2*","año",2009))-1</f>
        <v>1.3392153773436277E-2</v>
      </c>
      <c r="H29" s="284">
        <f>(GETPIVOTDATA("dato",'[1]tabla dinámica nacionalidad-cat'!$A$4,"indicador","TOTAL","categoría","1*","año",2010)-GETPIVOTDATA("dato",'[1]tabla dinámica nacionalidad-cat'!$A$4,"indicador","España","categoría","1*","año",2010))/(GETPIVOTDATA("dato",'[1]tabla dinámica nacionalidad-cat'!$A$4,"indicador","TOTAL","categoría","1*","año",2009)-GETPIVOTDATA("dato",'[1]tabla dinámica nacionalidad-cat'!$A$4,"indicador","España","categoría","1*","año",2009))-1</f>
        <v>-0.21349801499779442</v>
      </c>
    </row>
    <row r="30" spans="2:8">
      <c r="B30" s="277" t="s">
        <v>105</v>
      </c>
      <c r="C30" s="285">
        <f>GETPIVOTDATA("dato",'[1]tabla dinámica nacionalidad-cat'!$A$4,"indicador","TOTAL","categoría","TOTAL","año",2010)/GETPIVOTDATA("dato",'[1]tabla dinámica nacionalidad-cat'!$A$4,"indicador","TOTAL","categoría","TOTAL","año",2009)-1</f>
        <v>-2.8999455998660939E-2</v>
      </c>
      <c r="D30" s="285">
        <f>GETPIVOTDATA("dato",'[1]tabla dinámica nacionalidad-cat'!$A$4,"indicador","TOTAL","categoría","HOTELEROS","año",2010)/GETPIVOTDATA("dato",'[1]tabla dinámica nacionalidad-cat'!$A$4,"indicador","TOTAL","categoría","HOTELEROS","año",2009)-1</f>
        <v>-2.8999455998660939E-2</v>
      </c>
      <c r="E30" s="285">
        <f>GETPIVOTDATA("dato",'[1]tabla dinámica nacionalidad-cat'!$A$4,"indicador","TOTAL","categoría","4* Y 5*","año",2010)/GETPIVOTDATA("dato",'[1]tabla dinámica nacionalidad-cat'!$A$4,"indicador","TOTAL","categoría","4* Y 5*","año",2009)-1</f>
        <v>-5.3246146660439031E-2</v>
      </c>
      <c r="F30" s="285">
        <f>GETPIVOTDATA("dato",'[1]tabla dinámica nacionalidad-cat'!$A$4,"indicador","TOTAL","categoría","3 *","año",2010)/GETPIVOTDATA("dato",'[1]tabla dinámica nacionalidad-cat'!$A$4,"indicador","TOTAL","categoría","3 *","año",2009)-1</f>
        <v>4.3215701075674628E-2</v>
      </c>
      <c r="G30" s="285">
        <f>GETPIVOTDATA("dato",'[1]tabla dinámica nacionalidad-cat'!$A$4,"indicador","TOTAL","categoría","2*","año",2010)/GETPIVOTDATA("dato",'[1]tabla dinámica nacionalidad-cat'!$A$4,"indicador","TOTAL","categoría","2*","año",2009)-1</f>
        <v>-8.3131047783726597E-3</v>
      </c>
      <c r="H30" s="285">
        <f>GETPIVOTDATA("dato",'[1]tabla dinámica nacionalidad-cat'!$A$4,"indicador","TOTAL","categoría","1*","año",2010)/GETPIVOTDATA("dato",'[1]tabla dinámica nacionalidad-cat'!$A$4,"indicador","TOTAL","categoría","1*","año",2009)-1</f>
        <v>-0.28341781317885595</v>
      </c>
    </row>
    <row r="31" spans="2:8">
      <c r="B31" s="279" t="s">
        <v>90</v>
      </c>
      <c r="C31" s="280"/>
      <c r="D31" s="280"/>
      <c r="E31" s="280"/>
      <c r="F31" s="280"/>
      <c r="G31" s="280"/>
      <c r="H31" s="281"/>
    </row>
  </sheetData>
  <mergeCells count="6">
    <mergeCell ref="B4:H4"/>
    <mergeCell ref="B5:H5"/>
    <mergeCell ref="B6:B7"/>
    <mergeCell ref="C6:C7"/>
    <mergeCell ref="D6:H6"/>
    <mergeCell ref="B31:H3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I13" sqref="I13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2.710937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0" customHeight="1">
      <c r="B5" s="257" t="s">
        <v>192</v>
      </c>
      <c r="C5" s="258"/>
      <c r="D5" s="258"/>
      <c r="E5" s="258"/>
      <c r="F5" s="258"/>
      <c r="G5" s="258"/>
      <c r="H5" s="258"/>
    </row>
    <row r="6" spans="2:8" ht="14.25" customHeight="1">
      <c r="B6" s="260" t="str">
        <f>actualizaciones!A2</f>
        <v xml:space="preserve">acumulado julio 2010 </v>
      </c>
      <c r="C6" s="261"/>
      <c r="D6" s="261"/>
      <c r="E6" s="261"/>
      <c r="F6" s="261"/>
      <c r="G6" s="261"/>
      <c r="H6" s="261"/>
    </row>
    <row r="7" spans="2:8" ht="14.25" customHeight="1">
      <c r="B7" s="262" t="s">
        <v>155</v>
      </c>
      <c r="C7" s="263" t="s">
        <v>92</v>
      </c>
      <c r="D7" s="263" t="s">
        <v>185</v>
      </c>
      <c r="E7" s="263"/>
      <c r="F7" s="263"/>
      <c r="G7" s="263"/>
      <c r="H7" s="263"/>
    </row>
    <row r="8" spans="2:8" ht="24.75" customHeight="1">
      <c r="B8" s="262"/>
      <c r="C8" s="264"/>
      <c r="D8" s="265" t="s">
        <v>186</v>
      </c>
      <c r="E8" s="265" t="s">
        <v>187</v>
      </c>
      <c r="F8" s="265" t="s">
        <v>188</v>
      </c>
      <c r="G8" s="265" t="s">
        <v>189</v>
      </c>
      <c r="H8" s="265" t="s">
        <v>190</v>
      </c>
    </row>
    <row r="9" spans="2:8" ht="14.25" customHeight="1">
      <c r="B9" s="266" t="s">
        <v>156</v>
      </c>
      <c r="C9" s="282">
        <f>GETPIVOTDATA("dato",'[1]tabla dinámica nacionalidad-cat'!$A$4,"indicador","España","categoría","TOTAL","año",2010)/GETPIVOTDATA("dato",'[1]tabla dinámica nacionalidad-cat'!$A$4,"indicador","España","categoría","TOTAL","año",2010)</f>
        <v>1</v>
      </c>
      <c r="D9" s="282">
        <f>GETPIVOTDATA("dato",'[1]tabla dinámica nacionalidad-cat'!$A$4,"indicador","España","categoría","Hoteleros","año",2010)/GETPIVOTDATA("dato",'[1]tabla dinámica nacionalidad-cat'!$A$4,"indicador","España","categoría","TOTAL","año",2010)</f>
        <v>1</v>
      </c>
      <c r="E9" s="282">
        <f>GETPIVOTDATA("dato",'[1]tabla dinámica nacionalidad-cat'!$A$4,"indicador","España","categoría","4* Y 5*","año",2010)/GETPIVOTDATA("dato",'[1]tabla dinámica nacionalidad-cat'!$A$4,"indicador","España","categoría","TOTAL","año",2010)</f>
        <v>0.36571825121443441</v>
      </c>
      <c r="F9" s="282">
        <f>GETPIVOTDATA("dato",'[1]tabla dinámica nacionalidad-cat'!$A$4,"indicador","España","categoría","3 *","año",2010)/GETPIVOTDATA("dato",'[1]tabla dinámica nacionalidad-cat'!$A$4,"indicador","España","categoría","TOTAL","año",2010)</f>
        <v>0.28656724235004516</v>
      </c>
      <c r="G9" s="282">
        <f>GETPIVOTDATA("dato",'[1]tabla dinámica nacionalidad-cat'!$A$4,"indicador","España","categoría","2*","año",2010)/GETPIVOTDATA("dato",'[1]tabla dinámica nacionalidad-cat'!$A$4,"indicador","España","categoría","TOTAL","año",2010)</f>
        <v>0.30627315936260197</v>
      </c>
      <c r="H9" s="282">
        <f>GETPIVOTDATA("dato",'[1]tabla dinámica nacionalidad-cat'!$A$4,"indicador","España","categoría","1*","año",2010)/GETPIVOTDATA("dato",'[1]tabla dinámica nacionalidad-cat'!$A$4,"indicador","España","categoría","TOTAL","año",2010)</f>
        <v>4.1441347072918439E-2</v>
      </c>
    </row>
    <row r="10" spans="2:8" ht="14.25" customHeight="1">
      <c r="B10" s="268" t="s">
        <v>158</v>
      </c>
      <c r="C10" s="283">
        <f>GETPIVOTDATA("dato",'[1]tabla dinámica nacionalidad-cat'!$A$4,"indicador","HOLANDA","categoría","TOTAL","año",2010)/GETPIVOTDATA("dato",'[1]tabla dinámica nacionalidad-cat'!$A$4,"indicador","HOLANDA","categoría","TOTAL","año",2010)</f>
        <v>1</v>
      </c>
      <c r="D10" s="283">
        <f>GETPIVOTDATA("dato",'[1]tabla dinámica nacionalidad-cat'!$A$4,"indicador","HOLANDA","categoría","Hoteleros","año",2010)/GETPIVOTDATA("dato",'[1]tabla dinámica nacionalidad-cat'!$A$4,"indicador","HOLANDA","categoría","TOTAL","año",2010)</f>
        <v>1</v>
      </c>
      <c r="E10" s="283">
        <f>GETPIVOTDATA("dato",'[1]tabla dinámica nacionalidad-cat'!$A$4,"indicador","HOLANDA","categoría","4* Y 5*","año",2010)/GETPIVOTDATA("dato",'[1]tabla dinámica nacionalidad-cat'!$A$4,"indicador","HOLANDA","categoría","TOTAL","año",2010)</f>
        <v>0.233201581027668</v>
      </c>
      <c r="F10" s="283">
        <f>GETPIVOTDATA("dato",'[1]tabla dinámica nacionalidad-cat'!$A$4,"indicador","HOLANDA","categoría","3 *","año",2010)/GETPIVOTDATA("dato",'[1]tabla dinámica nacionalidad-cat'!$A$4,"indicador","HOLANDA","categoría","TOTAL","año",2010)</f>
        <v>0.11462450592885376</v>
      </c>
      <c r="G10" s="283">
        <f>GETPIVOTDATA("dato",'[1]tabla dinámica nacionalidad-cat'!$A$4,"indicador","HOLANDA","categoría","2*","año",2010)/GETPIVOTDATA("dato",'[1]tabla dinámica nacionalidad-cat'!$A$4,"indicador","HOLANDA","categoría","TOTAL","año",2010)</f>
        <v>0.54940711462450598</v>
      </c>
      <c r="H10" s="283">
        <f>GETPIVOTDATA("dato",'[1]tabla dinámica nacionalidad-cat'!$A$4,"indicador","HOLANDA","categoría","1*","año",2010)/GETPIVOTDATA("dato",'[1]tabla dinámica nacionalidad-cat'!$A$4,"indicador","HOLANDA","categoría","TOTAL","año",2010)</f>
        <v>0.10276679841897234</v>
      </c>
    </row>
    <row r="11" spans="2:8" ht="14.25" customHeight="1">
      <c r="B11" s="268" t="s">
        <v>159</v>
      </c>
      <c r="C11" s="283">
        <f>GETPIVOTDATA("dato",'[1]tabla dinámica nacionalidad-cat'!$A$4,"indicador","BÉLGICA","categoría","TOTAL","año",2010)/GETPIVOTDATA("dato",'[1]tabla dinámica nacionalidad-cat'!$A$4,"indicador","BÉLGICA","categoría","TOTAL","año",2010)</f>
        <v>1</v>
      </c>
      <c r="D11" s="283">
        <f>GETPIVOTDATA("dato",'[1]tabla dinámica nacionalidad-cat'!$A$4,"indicador","BÉLGICA","categoría","Hoteleros","año",2010)/GETPIVOTDATA("dato",'[1]tabla dinámica nacionalidad-cat'!$A$4,"indicador","BÉLGICA","categoría","TOTAL","año",2010)</f>
        <v>1</v>
      </c>
      <c r="E11" s="283">
        <f>GETPIVOTDATA("dato",'[1]tabla dinámica nacionalidad-cat'!$A$4,"indicador","BÉLGICA","categoría","4* Y 5*","año",2010)/GETPIVOTDATA("dato",'[1]tabla dinámica nacionalidad-cat'!$A$4,"indicador","BÉLGICA","categoría","TOTAL","año",2010)</f>
        <v>0.31764705882352939</v>
      </c>
      <c r="F11" s="283">
        <f>GETPIVOTDATA("dato",'[1]tabla dinámica nacionalidad-cat'!$A$4,"indicador","BÉLGICA","categoría","3 *","año",2010)/GETPIVOTDATA("dato",'[1]tabla dinámica nacionalidad-cat'!$A$4,"indicador","BÉLGICA","categoría","TOTAL","año",2010)</f>
        <v>0.22352941176470589</v>
      </c>
      <c r="G11" s="283">
        <f>GETPIVOTDATA("dato",'[1]tabla dinámica nacionalidad-cat'!$A$4,"indicador","BÉLGICA","categoría","2*","año",2010)/GETPIVOTDATA("dato",'[1]tabla dinámica nacionalidad-cat'!$A$4,"indicador","BÉLGICA","categoría","TOTAL","año",2010)</f>
        <v>0.33235294117647057</v>
      </c>
      <c r="H11" s="283">
        <f>GETPIVOTDATA("dato",'[1]tabla dinámica nacionalidad-cat'!$A$4,"indicador","BÉLGICA","categoría","1*","año",2010)/GETPIVOTDATA("dato",'[1]tabla dinámica nacionalidad-cat'!$A$4,"indicador","BÉLGICA","categoría","TOTAL","año",2010)</f>
        <v>0.12647058823529411</v>
      </c>
    </row>
    <row r="12" spans="2:8" ht="14.25" customHeight="1">
      <c r="B12" s="268" t="s">
        <v>160</v>
      </c>
      <c r="C12" s="283">
        <f>GETPIVOTDATA("dato",'[1]tabla dinámica nacionalidad-cat'!$A$4,"indicador","ALEMANIA","categoría","TOTAL","año",2010)/GETPIVOTDATA("dato",'[1]tabla dinámica nacionalidad-cat'!$A$4,"indicador","ALEMANIA","categoría","TOTAL","año",2010)</f>
        <v>1</v>
      </c>
      <c r="D12" s="283">
        <f>GETPIVOTDATA("dato",'[1]tabla dinámica nacionalidad-cat'!$A$4,"indicador","ALEMANIA","categoría","Hoteleros","año",2010)/GETPIVOTDATA("dato",'[1]tabla dinámica nacionalidad-cat'!$A$4,"indicador","ALEMANIA","categoría","TOTAL","año",2010)</f>
        <v>1</v>
      </c>
      <c r="E12" s="283">
        <f>GETPIVOTDATA("dato",'[1]tabla dinámica nacionalidad-cat'!$A$4,"indicador","ALEMANIA","categoría","4* Y 5*","año",2010)/GETPIVOTDATA("dato",'[1]tabla dinámica nacionalidad-cat'!$A$4,"indicador","ALEMANIA","categoría","TOTAL","año",2010)</f>
        <v>0.17282051282051283</v>
      </c>
      <c r="F12" s="283">
        <f>GETPIVOTDATA("dato",'[1]tabla dinámica nacionalidad-cat'!$A$4,"indicador","ALEMANIA","categoría","3 *","año",2010)/GETPIVOTDATA("dato",'[1]tabla dinámica nacionalidad-cat'!$A$4,"indicador","ALEMANIA","categoría","TOTAL","año",2010)</f>
        <v>0.25076923076923074</v>
      </c>
      <c r="G12" s="283">
        <f>GETPIVOTDATA("dato",'[1]tabla dinámica nacionalidad-cat'!$A$4,"indicador","ALEMANIA","categoría","2*","año",2010)/GETPIVOTDATA("dato",'[1]tabla dinámica nacionalidad-cat'!$A$4,"indicador","ALEMANIA","categoría","TOTAL","año",2010)</f>
        <v>0.42564102564102563</v>
      </c>
      <c r="H12" s="283">
        <f>GETPIVOTDATA("dato",'[1]tabla dinámica nacionalidad-cat'!$A$4,"indicador","ALEMANIA","categoría","1*","año",2010)/GETPIVOTDATA("dato",'[1]tabla dinámica nacionalidad-cat'!$A$4,"indicador","ALEMANIA","categoría","TOTAL","año",2010)</f>
        <v>0.15076923076923077</v>
      </c>
    </row>
    <row r="13" spans="2:8" ht="14.25" customHeight="1">
      <c r="B13" s="270" t="s">
        <v>161</v>
      </c>
      <c r="C13" s="283">
        <f>GETPIVOTDATA("dato",'[1]tabla dinámica nacionalidad-cat'!$A$4,"indicador","FRANCIA","categoría","TOTAL","año",2010)/GETPIVOTDATA("dato",'[1]tabla dinámica nacionalidad-cat'!$A$4,"indicador","FRANCIA","categoría","TOTAL","año",2010)</f>
        <v>1</v>
      </c>
      <c r="D13" s="283">
        <f>GETPIVOTDATA("dato",'[1]tabla dinámica nacionalidad-cat'!$A$4,"indicador","FRANCIA","categoría","Hoteleros","año",2010)/GETPIVOTDATA("dato",'[1]tabla dinámica nacionalidad-cat'!$A$4,"indicador","FRANCIA","categoría","TOTAL","año",2010)</f>
        <v>1</v>
      </c>
      <c r="E13" s="283">
        <f>GETPIVOTDATA("dato",'[1]tabla dinámica nacionalidad-cat'!$A$4,"indicador","FRANCIA","categoría","4* Y 5*","año",2010)/GETPIVOTDATA("dato",'[1]tabla dinámica nacionalidad-cat'!$A$4,"indicador","FRANCIA","categoría","TOTAL","año",2010)</f>
        <v>0.1389090909090909</v>
      </c>
      <c r="F13" s="283">
        <f>GETPIVOTDATA("dato",'[1]tabla dinámica nacionalidad-cat'!$A$4,"indicador","FRANCIA","categoría","3 *","año",2010)/GETPIVOTDATA("dato",'[1]tabla dinámica nacionalidad-cat'!$A$4,"indicador","FRANCIA","categoría","TOTAL","año",2010)</f>
        <v>0.28799999999999998</v>
      </c>
      <c r="G13" s="283">
        <f>GETPIVOTDATA("dato",'[1]tabla dinámica nacionalidad-cat'!$A$4,"indicador","FRANCIA","categoría","2*","año",2010)/GETPIVOTDATA("dato",'[1]tabla dinámica nacionalidad-cat'!$A$4,"indicador","FRANCIA","categoría","TOTAL","año",2010)</f>
        <v>0.36799999999999999</v>
      </c>
      <c r="H13" s="283">
        <f>GETPIVOTDATA("dato",'[1]tabla dinámica nacionalidad-cat'!$A$4,"indicador","FRANCIA","categoría","1*","año",2010)/GETPIVOTDATA("dato",'[1]tabla dinámica nacionalidad-cat'!$A$4,"indicador","FRANCIA","categoría","TOTAL","año",2010)</f>
        <v>0.2050909090909091</v>
      </c>
    </row>
    <row r="14" spans="2:8" ht="14.25" customHeight="1">
      <c r="B14" s="270" t="s">
        <v>162</v>
      </c>
      <c r="C14" s="283">
        <f>GETPIVOTDATA("dato",'[1]tabla dinámica nacionalidad-cat'!$A$4,"indicador","REINO UNIDO","categoría","TOTAL","año",2010)/GETPIVOTDATA("dato",'[1]tabla dinámica nacionalidad-cat'!$A$4,"indicador","REINO UNIDO","categoría","TOTAL","año",2010)</f>
        <v>1</v>
      </c>
      <c r="D14" s="283">
        <f>GETPIVOTDATA("dato",'[1]tabla dinámica nacionalidad-cat'!$A$4,"indicador","REINO UNIDO","categoría","Hoteleros","año",2010)/GETPIVOTDATA("dato",'[1]tabla dinámica nacionalidad-cat'!$A$4,"indicador","REINO UNIDO","categoría","TOTAL","año",2010)</f>
        <v>1</v>
      </c>
      <c r="E14" s="283">
        <f>GETPIVOTDATA("dato",'[1]tabla dinámica nacionalidad-cat'!$A$4,"indicador","REINO UNIDO","categoría","4* Y 5*","año",2010)/GETPIVOTDATA("dato",'[1]tabla dinámica nacionalidad-cat'!$A$4,"indicador","REINO UNIDO","categoría","TOTAL","año",2010)</f>
        <v>0.27896253602305476</v>
      </c>
      <c r="F14" s="283">
        <f>GETPIVOTDATA("dato",'[1]tabla dinámica nacionalidad-cat'!$A$4,"indicador","REINO UNIDO","categoría","3 *","año",2010)/GETPIVOTDATA("dato",'[1]tabla dinámica nacionalidad-cat'!$A$4,"indicador","REINO UNIDO","categoría","TOTAL","año",2010)</f>
        <v>0.3100864553314121</v>
      </c>
      <c r="G14" s="283">
        <f>GETPIVOTDATA("dato",'[1]tabla dinámica nacionalidad-cat'!$A$4,"indicador","REINO UNIDO","categoría","2*","año",2010)/GETPIVOTDATA("dato",'[1]tabla dinámica nacionalidad-cat'!$A$4,"indicador","REINO UNIDO","categoría","TOTAL","año",2010)</f>
        <v>0.36484149855907783</v>
      </c>
      <c r="H14" s="283">
        <f>GETPIVOTDATA("dato",'[1]tabla dinámica nacionalidad-cat'!$A$4,"indicador","REINO UNIDO","categoría","1*","año",2010)/GETPIVOTDATA("dato",'[1]tabla dinámica nacionalidad-cat'!$A$4,"indicador","REINO UNIDO","categoría","TOTAL","año",2010)</f>
        <v>4.6109510086455328E-2</v>
      </c>
    </row>
    <row r="15" spans="2:8" ht="14.25" customHeight="1">
      <c r="B15" s="270" t="s">
        <v>163</v>
      </c>
      <c r="C15" s="283">
        <f>GETPIVOTDATA("dato",'[1]tabla dinámica nacionalidad-cat'!$A$4,"indicador","IRLANDA","categoría","TOTAL","año",2010)/GETPIVOTDATA("dato",'[1]tabla dinámica nacionalidad-cat'!$A$4,"indicador","IRLANDA","categoría","TOTAL","año",2010)</f>
        <v>1</v>
      </c>
      <c r="D15" s="283">
        <f>GETPIVOTDATA("dato",'[1]tabla dinámica nacionalidad-cat'!$A$4,"indicador","IRLANDA","categoría","Hoteleros","año",2010)/GETPIVOTDATA("dato",'[1]tabla dinámica nacionalidad-cat'!$A$4,"indicador","IRLANDA","categoría","TOTAL","año",2010)</f>
        <v>1</v>
      </c>
      <c r="E15" s="283">
        <f>GETPIVOTDATA("dato",'[1]tabla dinámica nacionalidad-cat'!$A$4,"indicador","IRLANDA","categoría","4* Y 5*","año",2010)/GETPIVOTDATA("dato",'[1]tabla dinámica nacionalidad-cat'!$A$4,"indicador","IRLANDA","categoría","TOTAL","año",2010)</f>
        <v>0.1638655462184874</v>
      </c>
      <c r="F15" s="283">
        <f>GETPIVOTDATA("dato",'[1]tabla dinámica nacionalidad-cat'!$A$4,"indicador","IRLANDA","categoría","3 *","año",2010)/GETPIVOTDATA("dato",'[1]tabla dinámica nacionalidad-cat'!$A$4,"indicador","IRLANDA","categoría","TOTAL","año",2010)</f>
        <v>0.27731092436974791</v>
      </c>
      <c r="G15" s="283">
        <f>GETPIVOTDATA("dato",'[1]tabla dinámica nacionalidad-cat'!$A$4,"indicador","IRLANDA","categoría","2*","año",2010)/GETPIVOTDATA("dato",'[1]tabla dinámica nacionalidad-cat'!$A$4,"indicador","IRLANDA","categoría","TOTAL","año",2010)</f>
        <v>0.42016806722689076</v>
      </c>
      <c r="H15" s="283">
        <f>GETPIVOTDATA("dato",'[1]tabla dinámica nacionalidad-cat'!$A$4,"indicador","IRLANDA","categoría","1*","año",2010)/GETPIVOTDATA("dato",'[1]tabla dinámica nacionalidad-cat'!$A$4,"indicador","IRLANDA","categoría","TOTAL","año",2010)</f>
        <v>0.13865546218487396</v>
      </c>
    </row>
    <row r="16" spans="2:8" ht="14.25" customHeight="1">
      <c r="B16" s="270" t="s">
        <v>164</v>
      </c>
      <c r="C16" s="283">
        <f>GETPIVOTDATA("dato",'[1]tabla dinámica nacionalidad-cat'!$A$4,"indicador","ITALIA","categoría","TOTAL","año",2010)/GETPIVOTDATA("dato",'[1]tabla dinámica nacionalidad-cat'!$A$4,"indicador","ITALIA","categoría","TOTAL","año",2010)</f>
        <v>1</v>
      </c>
      <c r="D16" s="283">
        <f>GETPIVOTDATA("dato",'[1]tabla dinámica nacionalidad-cat'!$A$4,"indicador","ITALIA","categoría","Hoteleros","año",2010)/GETPIVOTDATA("dato",'[1]tabla dinámica nacionalidad-cat'!$A$4,"indicador","ITALIA","categoría","TOTAL","año",2010)</f>
        <v>1</v>
      </c>
      <c r="E16" s="283">
        <f>GETPIVOTDATA("dato",'[1]tabla dinámica nacionalidad-cat'!$A$4,"indicador","ITALIA","categoría","4* Y 5*","año",2010)/GETPIVOTDATA("dato",'[1]tabla dinámica nacionalidad-cat'!$A$4,"indicador","ITALIA","categoría","TOTAL","año",2010)</f>
        <v>0.11922304085733422</v>
      </c>
      <c r="F16" s="283">
        <f>GETPIVOTDATA("dato",'[1]tabla dinámica nacionalidad-cat'!$A$4,"indicador","ITALIA","categoría","3 *","año",2010)/GETPIVOTDATA("dato",'[1]tabla dinámica nacionalidad-cat'!$A$4,"indicador","ITALIA","categoría","TOTAL","año",2010)</f>
        <v>0.28198258539852644</v>
      </c>
      <c r="G16" s="283">
        <f>GETPIVOTDATA("dato",'[1]tabla dinámica nacionalidad-cat'!$A$4,"indicador","ITALIA","categoría","2*","año",2010)/GETPIVOTDATA("dato",'[1]tabla dinámica nacionalidad-cat'!$A$4,"indicador","ITALIA","categoría","TOTAL","año",2010)</f>
        <v>0.45077026121902208</v>
      </c>
      <c r="H16" s="283">
        <f>GETPIVOTDATA("dato",'[1]tabla dinámica nacionalidad-cat'!$A$4,"indicador","ITALIA","categoría","1*","año",2010)/GETPIVOTDATA("dato",'[1]tabla dinámica nacionalidad-cat'!$A$4,"indicador","ITALIA","categoría","TOTAL","año",2010)</f>
        <v>0.14802411252511721</v>
      </c>
    </row>
    <row r="17" spans="2:8" ht="14.25" customHeight="1">
      <c r="B17" s="268" t="s">
        <v>165</v>
      </c>
      <c r="C17" s="283">
        <f>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1</v>
      </c>
      <c r="D17" s="283">
        <f>(GETPIVOTDATA("dato",'[1]tabla dinámica nacionalidad-cat'!$A$4,"indicador","SUECIA","categoría","HOTELEROS","año",2010)+GETPIVOTDATA("dato",'[1]tabla dinámica nacionalidad-cat'!$A$4,"indicador","NORUEGA","categoría","HOTELEROS","año",2010)+GETPIVOTDATA("dato",'[1]tabla dinámica nacionalidad-cat'!$A$4,"indicador","DINAMARCA","categoría","HOTELEROS","año",2010)+GETPIVOTDATA("dato",'[1]tabla dinámica nacionalidad-cat'!$A$4,"indicador","FINLANDIA","categoría","HOTELEROS","año",2010))/(GETPIVOTDATA("dato",'[1]tabla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1</v>
      </c>
      <c r="E17" s="283">
        <f>(GETPIVOTDATA("dato",'[1]tabla dinámica nacionalidad-cat'!$A$4,"indicador","SUECIA","categoría","4* Y 5*","año",2010)+GETPIVOTDATA("dato",'[1]tabla dinámica nacionalidad-cat'!$A$4,"indicador","NORUEGA","categoría","4* Y 5*","año",2010)+GETPIVOTDATA("dato",'[1]tabla dinámica nacionalidad-cat'!$A$4,"indicador","DINAMARCA","categoría","4* Y 5*","año",2010)+GETPIVOTDATA("dato",'[1]tabla dinámica nacionalidad-cat'!$A$4,"indicador","FINLANDIA","categoría","4* Y 5*","año",2010))/(GETPIVOTDATA("dato",'[1]tabla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0.11777535441657579</v>
      </c>
      <c r="F17" s="283">
        <f>(GETPIVOTDATA("dato",'[1]tabla dinámica nacionalidad-cat'!$A$4,"indicador","SUECIA","categoría","3 *","año",2010)+GETPIVOTDATA("dato",'[1]tabla dinámica nacionalidad-cat'!$A$4,"indicador","NORUEGA","categoría","3 *","año",2010)+GETPIVOTDATA("dato",'[1]tabla dinámica nacionalidad-cat'!$A$4,"indicador","DINAMARCA","categoría","3 *","año",2010)+GETPIVOTDATA("dato",'[1]tabla dinámica nacionalidad-cat'!$A$4,"indicador","FINLANDIA","categoría","3 *","año",2010))/(GETPIVOTDATA("dato",'[1]tabla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0.25408942202835333</v>
      </c>
      <c r="G17" s="283">
        <f>(GETPIVOTDATA("dato",'[1]tabla dinámica nacionalidad-cat'!$A$4,"indicador","SUECIA","categoría","2*","año",2010)+GETPIVOTDATA("dato",'[1]tabla dinámica nacionalidad-cat'!$A$4,"indicador","NORUEGA","categoría","2*","año",2010)+GETPIVOTDATA("dato",'[1]tabla dinámica nacionalidad-cat'!$A$4,"indicador","DINAMARCA","categoría","2*","año",2010)+GETPIVOTDATA("dato",'[1]tabla dinámica nacionalidad-cat'!$A$4,"indicador","FINLANDIA","categoría","2*","año",2010))/(GETPIVOTDATA("dato",'[1]tabla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0.56161395856052343</v>
      </c>
      <c r="H17" s="283">
        <f>(GETPIVOTDATA("dato",'[1]tabla dinámica nacionalidad-cat'!$A$4,"indicador","SUECIA","categoría","1*","año",2010)+GETPIVOTDATA("dato",'[1]tabla dinámica nacionalidad-cat'!$A$4,"indicador","NORUEGA","categoría","1*","año",2010)+GETPIVOTDATA("dato",'[1]tabla dinámica nacionalidad-cat'!$A$4,"indicador","DINAMARCA","categoría","1*","año",2010)+GETPIVOTDATA("dato",'[1]tabla dinámica nacionalidad-cat'!$A$4,"indicador","FINLANDIA","categoría","1*","año",2010))/(GETPIVOTDATA("dato",'[1]tabla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6.6521264994547441E-2</v>
      </c>
    </row>
    <row r="18" spans="2:8" ht="14.25" customHeight="1">
      <c r="B18" s="271" t="s">
        <v>166</v>
      </c>
      <c r="C18" s="283">
        <f>GETPIVOTDATA("dato",'[1]tabla dinámica nacionalidad-cat'!$A$4,"indicador","SUECIA","categoría","TOTAL","año",2010)/GETPIVOTDATA("dato",'[1]tabla dinámica nacionalidad-cat'!$A$4,"indicador","SUECIA","categoría","TOTAL","año",2010)</f>
        <v>1</v>
      </c>
      <c r="D18" s="283">
        <f>GETPIVOTDATA("dato",'[1]tabla dinámica nacionalidad-cat'!$A$4,"indicador","SUECIA","categoría","Hoteleros","año",2010)/GETPIVOTDATA("dato",'[1]tabla dinámica nacionalidad-cat'!$A$4,"indicador","SUECIA","categoría","TOTAL","año",2010)</f>
        <v>1</v>
      </c>
      <c r="E18" s="283">
        <f>GETPIVOTDATA("dato",'[1]tabla dinámica nacionalidad-cat'!$A$4,"indicador","SUECIA","categoría","4* Y 5*","año",2010)/GETPIVOTDATA("dato",'[1]tabla dinámica nacionalidad-cat'!$A$4,"indicador","SUECIA","categoría","TOTAL","año",2010)</f>
        <v>0.16141732283464566</v>
      </c>
      <c r="F18" s="283">
        <f>GETPIVOTDATA("dato",'[1]tabla dinámica nacionalidad-cat'!$A$4,"indicador","SUECIA","categoría","3 *","año",2010)/GETPIVOTDATA("dato",'[1]tabla dinámica nacionalidad-cat'!$A$4,"indicador","SUECIA","categoría","TOTAL","año",2010)</f>
        <v>0.23228346456692914</v>
      </c>
      <c r="G18" s="283">
        <f>GETPIVOTDATA("dato",'[1]tabla dinámica nacionalidad-cat'!$A$4,"indicador","SUECIA","categoría","2*","año",2010)/GETPIVOTDATA("dato",'[1]tabla dinámica nacionalidad-cat'!$A$4,"indicador","SUECIA","categoría","TOTAL","año",2010)</f>
        <v>0.49606299212598426</v>
      </c>
      <c r="H18" s="283">
        <f>GETPIVOTDATA("dato",'[1]tabla dinámica nacionalidad-cat'!$A$4,"indicador","SUECIA","categoría","1*","año",2010)/GETPIVOTDATA("dato",'[1]tabla dinámica nacionalidad-cat'!$A$4,"indicador","SUECIA","categoría","TOTAL","año",2010)</f>
        <v>0.11023622047244094</v>
      </c>
    </row>
    <row r="19" spans="2:8" ht="14.25" customHeight="1">
      <c r="B19" s="271" t="s">
        <v>167</v>
      </c>
      <c r="C19" s="283">
        <f>GETPIVOTDATA("dato",'[1]tabla dinámica nacionalidad-cat'!$A$4,"indicador","NORUEGA","categoría","TOTAL","año",2010)/GETPIVOTDATA("dato",'[1]tabla dinámica nacionalidad-cat'!$A$4,"indicador","NORUEGA","categoría","TOTAL","año",2010)</f>
        <v>1</v>
      </c>
      <c r="D19" s="283">
        <f>GETPIVOTDATA("dato",'[1]tabla dinámica nacionalidad-cat'!$A$4,"indicador","NORUEGA","categoría","Hoteleros","año",2010)/GETPIVOTDATA("dato",'[1]tabla dinámica nacionalidad-cat'!$A$4,"indicador","NORUEGA","categoría","TOTAL","año",2010)</f>
        <v>1</v>
      </c>
      <c r="E19" s="283">
        <f>GETPIVOTDATA("dato",'[1]tabla dinámica nacionalidad-cat'!$A$4,"indicador","NORUEGA","categoría","4* Y 5*","año",2010)/GETPIVOTDATA("dato",'[1]tabla dinámica nacionalidad-cat'!$A$4,"indicador","NORUEGA","categoría","TOTAL","año",2010)</f>
        <v>0.19883040935672514</v>
      </c>
      <c r="F19" s="283">
        <f>GETPIVOTDATA("dato",'[1]tabla dinámica nacionalidad-cat'!$A$4,"indicador","NORUEGA","categoría","3 *","año",2010)/GETPIVOTDATA("dato",'[1]tabla dinámica nacionalidad-cat'!$A$4,"indicador","NORUEGA","categoría","TOTAL","año",2010)</f>
        <v>0.26315789473684209</v>
      </c>
      <c r="G19" s="283">
        <f>GETPIVOTDATA("dato",'[1]tabla dinámica nacionalidad-cat'!$A$4,"indicador","NORUEGA","categoría","2*","año",2010)/GETPIVOTDATA("dato",'[1]tabla dinámica nacionalidad-cat'!$A$4,"indicador","NORUEGA","categoría","TOTAL","año",2010)</f>
        <v>0.47368421052631576</v>
      </c>
      <c r="H19" s="283">
        <f>GETPIVOTDATA("dato",'[1]tabla dinámica nacionalidad-cat'!$A$4,"indicador","NORUEGA","categoría","1*","año",2010)/GETPIVOTDATA("dato",'[1]tabla dinámica nacionalidad-cat'!$A$4,"indicador","NORUEGA","categoría","TOTAL","año",2010)</f>
        <v>6.4327485380116955E-2</v>
      </c>
    </row>
    <row r="20" spans="2:8" ht="14.25" customHeight="1">
      <c r="B20" s="271" t="s">
        <v>168</v>
      </c>
      <c r="C20" s="283">
        <f>GETPIVOTDATA("dato",'[1]tabla dinámica nacionalidad-cat'!$A$4,"indicador","DINAMARCA","categoría","TOTAL","año",2010)/GETPIVOTDATA("dato",'[1]tabla dinámica nacionalidad-cat'!$A$4,"indicador","DINAMARCA","categoría","TOTAL","año",2010)</f>
        <v>1</v>
      </c>
      <c r="D20" s="283">
        <f>GETPIVOTDATA("dato",'[1]tabla dinámica nacionalidad-cat'!$A$4,"indicador","DINAMARCA","categoría","Hoteleros","año",2010)/GETPIVOTDATA("dato",'[1]tabla dinámica nacionalidad-cat'!$A$4,"indicador","DINAMARCA","categoría","TOTAL","año",2010)</f>
        <v>1</v>
      </c>
      <c r="E20" s="283">
        <f>GETPIVOTDATA("dato",'[1]tabla dinámica nacionalidad-cat'!$A$4,"indicador","DINAMARCA","categoría","4* Y 5*","año",2010)/GETPIVOTDATA("dato",'[1]tabla dinámica nacionalidad-cat'!$A$4,"indicador","DINAMARCA","categoría","TOTAL","año",2010)</f>
        <v>0.10047846889952153</v>
      </c>
      <c r="F20" s="283">
        <f>GETPIVOTDATA("dato",'[1]tabla dinámica nacionalidad-cat'!$A$4,"indicador","DINAMARCA","categoría","3 *","año",2010)/GETPIVOTDATA("dato",'[1]tabla dinámica nacionalidad-cat'!$A$4,"indicador","DINAMARCA","categoría","TOTAL","año",2010)</f>
        <v>0.34449760765550241</v>
      </c>
      <c r="G20" s="283">
        <f>GETPIVOTDATA("dato",'[1]tabla dinámica nacionalidad-cat'!$A$4,"indicador","DINAMARCA","categoría","2*","año",2010)/GETPIVOTDATA("dato",'[1]tabla dinámica nacionalidad-cat'!$A$4,"indicador","DINAMARCA","categoría","TOTAL","año",2010)</f>
        <v>0.49760765550239233</v>
      </c>
      <c r="H20" s="283">
        <f>GETPIVOTDATA("dato",'[1]tabla dinámica nacionalidad-cat'!$A$4,"indicador","DINAMARCA","categoría","1*","año",2010)/GETPIVOTDATA("dato",'[1]tabla dinámica nacionalidad-cat'!$A$4,"indicador","DINAMARCA","categoría","TOTAL","año",2010)</f>
        <v>5.7416267942583733E-2</v>
      </c>
    </row>
    <row r="21" spans="2:8" ht="14.25" customHeight="1">
      <c r="B21" s="271" t="s">
        <v>169</v>
      </c>
      <c r="C21" s="283">
        <f>GETPIVOTDATA("dato",'[1]tabla dinámica nacionalidad-cat'!$A$4,"indicador","FINLANDIA","categoría","TOTAL","año",2010)/GETPIVOTDATA("dato",'[1]tabla dinámica nacionalidad-cat'!$A$4,"indicador","FINLANDIA","categoría","TOTAL","año",2010)</f>
        <v>1</v>
      </c>
      <c r="D21" s="283">
        <f>GETPIVOTDATA("dato",'[1]tabla dinámica nacionalidad-cat'!$A$4,"indicador","FINLANDIA","categoría","Hoteleros","año",2010)/GETPIVOTDATA("dato",'[1]tabla dinámica nacionalidad-cat'!$A$4,"indicador","FINLANDIA","categoría","TOTAL","año",2010)</f>
        <v>1</v>
      </c>
      <c r="E21" s="283">
        <f>GETPIVOTDATA("dato",'[1]tabla dinámica nacionalidad-cat'!$A$4,"indicador","FINLANDIA","categoría","4* Y 5*","año",2010)/GETPIVOTDATA("dato",'[1]tabla dinámica nacionalidad-cat'!$A$4,"indicador","FINLANDIA","categoría","TOTAL","año",2010)</f>
        <v>4.2402826855123678E-2</v>
      </c>
      <c r="F21" s="283">
        <f>GETPIVOTDATA("dato",'[1]tabla dinámica nacionalidad-cat'!$A$4,"indicador","FINLANDIA","categoría","3 *","año",2010)/GETPIVOTDATA("dato",'[1]tabla dinámica nacionalidad-cat'!$A$4,"indicador","FINLANDIA","categoría","TOTAL","año",2010)</f>
        <v>0.20141342756183744</v>
      </c>
      <c r="G21" s="283">
        <f>GETPIVOTDATA("dato",'[1]tabla dinámica nacionalidad-cat'!$A$4,"indicador","FINLANDIA","categoría","2*","año",2010)/GETPIVOTDATA("dato",'[1]tabla dinámica nacionalidad-cat'!$A$4,"indicador","FINLANDIA","categoría","TOTAL","año",2010)</f>
        <v>0.72084805653710249</v>
      </c>
      <c r="H21" s="283">
        <f>GETPIVOTDATA("dato",'[1]tabla dinámica nacionalidad-cat'!$A$4,"indicador","FINLANDIA","categoría","1*","año",2010)/GETPIVOTDATA("dato",'[1]tabla dinámica nacionalidad-cat'!$A$4,"indicador","FINLANDIA","categoría","TOTAL","año",2010)</f>
        <v>3.5335689045936397E-2</v>
      </c>
    </row>
    <row r="22" spans="2:8" ht="14.25" customHeight="1">
      <c r="B22" s="268" t="s">
        <v>170</v>
      </c>
      <c r="C22" s="283">
        <f>GETPIVOTDATA("dato",'[1]tabla dinámica nacionalidad-cat'!$A$4,"indicador","SUIZA","categoría","TOTAL","año",2010)/GETPIVOTDATA("dato",'[1]tabla dinámica nacionalidad-cat'!$A$4,"indicador","SUIZA","categoría","TOTAL","año",2010)</f>
        <v>1</v>
      </c>
      <c r="D22" s="283">
        <f>GETPIVOTDATA("dato",'[1]tabla dinámica nacionalidad-cat'!$A$4,"indicador","SUIZA","categoría","Hoteleros","año",2010)/GETPIVOTDATA("dato",'[1]tabla dinámica nacionalidad-cat'!$A$4,"indicador","SUIZA","categoría","TOTAL","año",2010)</f>
        <v>1</v>
      </c>
      <c r="E22" s="283">
        <f>GETPIVOTDATA("dato",'[1]tabla dinámica nacionalidad-cat'!$A$4,"indicador","SUIZA","categoría","4* Y 5*","año",2010)/GETPIVOTDATA("dato",'[1]tabla dinámica nacionalidad-cat'!$A$4,"indicador","SUIZA","categoría","TOTAL","año",2010)</f>
        <v>0.18122977346278318</v>
      </c>
      <c r="F22" s="283">
        <f>GETPIVOTDATA("dato",'[1]tabla dinámica nacionalidad-cat'!$A$4,"indicador","SUIZA","categoría","3 *","año",2010)/GETPIVOTDATA("dato",'[1]tabla dinámica nacionalidad-cat'!$A$4,"indicador","SUIZA","categoría","TOTAL","año",2010)</f>
        <v>0.34627831715210355</v>
      </c>
      <c r="G22" s="283">
        <f>GETPIVOTDATA("dato",'[1]tabla dinámica nacionalidad-cat'!$A$4,"indicador","SUIZA","categoría","2*","año",2010)/GETPIVOTDATA("dato",'[1]tabla dinámica nacionalidad-cat'!$A$4,"indicador","SUIZA","categoría","TOTAL","año",2010)</f>
        <v>0.3818770226537217</v>
      </c>
      <c r="H22" s="283">
        <f>GETPIVOTDATA("dato",'[1]tabla dinámica nacionalidad-cat'!$A$4,"indicador","SUIZA","categoría","1*","año",2010)/GETPIVOTDATA("dato",'[1]tabla dinámica nacionalidad-cat'!$A$4,"indicador","SUIZA","categoría","TOTAL","año",2010)</f>
        <v>9.0614886731391592E-2</v>
      </c>
    </row>
    <row r="23" spans="2:8" ht="14.25" customHeight="1">
      <c r="B23" s="268" t="s">
        <v>171</v>
      </c>
      <c r="C23" s="283">
        <f>GETPIVOTDATA("dato",'[1]tabla dinámica nacionalidad-cat'!$A$4,"indicador","AUSTRIA","categoría","TOTAL","año",2010)/GETPIVOTDATA("dato",'[1]tabla dinámica nacionalidad-cat'!$A$4,"indicador","AUSTRIA","categoría","TOTAL","año",2010)</f>
        <v>1</v>
      </c>
      <c r="D23" s="283">
        <f>GETPIVOTDATA("dato",'[1]tabla dinámica nacionalidad-cat'!$A$4,"indicador","AUSTRIA","categoría","Hoteleros","año",2010)/GETPIVOTDATA("dato",'[1]tabla dinámica nacionalidad-cat'!$A$4,"indicador","AUSTRIA","categoría","TOTAL","año",2010)</f>
        <v>1</v>
      </c>
      <c r="E23" s="283">
        <f>GETPIVOTDATA("dato",'[1]tabla dinámica nacionalidad-cat'!$A$4,"indicador","AUSTRIA","categoría","4* Y 5*","año",2010)/GETPIVOTDATA("dato",'[1]tabla dinámica nacionalidad-cat'!$A$4,"indicador","AUSTRIA","categoría","TOTAL","año",2010)</f>
        <v>0.20895522388059701</v>
      </c>
      <c r="F23" s="283">
        <f>GETPIVOTDATA("dato",'[1]tabla dinámica nacionalidad-cat'!$A$4,"indicador","AUSTRIA","categoría","3 *","año",2010)/GETPIVOTDATA("dato",'[1]tabla dinámica nacionalidad-cat'!$A$4,"indicador","AUSTRIA","categoría","TOTAL","año",2010)</f>
        <v>0.29353233830845771</v>
      </c>
      <c r="G23" s="283">
        <f>GETPIVOTDATA("dato",'[1]tabla dinámica nacionalidad-cat'!$A$4,"indicador","AUSTRIA","categoría","2*","año",2010)/GETPIVOTDATA("dato",'[1]tabla dinámica nacionalidad-cat'!$A$4,"indicador","AUSTRIA","categoría","TOTAL","año",2010)</f>
        <v>0.4079601990049751</v>
      </c>
      <c r="H23" s="283">
        <f>GETPIVOTDATA("dato",'[1]tabla dinámica nacionalidad-cat'!$A$4,"indicador","AUSTRIA","categoría","1*","año",2010)/GETPIVOTDATA("dato",'[1]tabla dinámica nacionalidad-cat'!$A$4,"indicador","AUSTRIA","categoría","TOTAL","año",2010)</f>
        <v>8.9552238805970144E-2</v>
      </c>
    </row>
    <row r="24" spans="2:8" ht="14.25" customHeight="1">
      <c r="B24" s="268" t="s">
        <v>172</v>
      </c>
      <c r="C24" s="283">
        <f>GETPIVOTDATA("dato",'[1]tabla dinámica nacionalidad-cat'!$A$4,"indicador","RUSIA","categoría","TOTAL","año",2010)/GETPIVOTDATA("dato",'[1]tabla dinámica nacionalidad-cat'!$A$4,"indicador","RUSIA","categoría","TOTAL","año",2010)</f>
        <v>1</v>
      </c>
      <c r="D24" s="283">
        <f>GETPIVOTDATA("dato",'[1]tabla dinámica nacionalidad-cat'!$A$4,"indicador","RUSIA","categoría","Hoteleros","año",2010)/GETPIVOTDATA("dato",'[1]tabla dinámica nacionalidad-cat'!$A$4,"indicador","RUSIA","categoría","TOTAL","año",2010)</f>
        <v>1</v>
      </c>
      <c r="E24" s="283">
        <f>GETPIVOTDATA("dato",'[1]tabla dinámica nacionalidad-cat'!$A$4,"indicador","RUSIA","categoría","4* Y 5*","año",2010)/GETPIVOTDATA("dato",'[1]tabla dinámica nacionalidad-cat'!$A$4,"indicador","RUSIA","categoría","TOTAL","año",2010)</f>
        <v>0.16194331983805668</v>
      </c>
      <c r="F24" s="283">
        <f>GETPIVOTDATA("dato",'[1]tabla dinámica nacionalidad-cat'!$A$4,"indicador","RUSIA","categoría","3 *","año",2010)/GETPIVOTDATA("dato",'[1]tabla dinámica nacionalidad-cat'!$A$4,"indicador","RUSIA","categoría","TOTAL","año",2010)</f>
        <v>0.47773279352226722</v>
      </c>
      <c r="G24" s="283">
        <f>GETPIVOTDATA("dato",'[1]tabla dinámica nacionalidad-cat'!$A$4,"indicador","RUSIA","categoría","2*","año",2010)/GETPIVOTDATA("dato",'[1]tabla dinámica nacionalidad-cat'!$A$4,"indicador","RUSIA","categoría","TOTAL","año",2010)</f>
        <v>0.29554655870445345</v>
      </c>
      <c r="H24" s="283">
        <f>GETPIVOTDATA("dato",'[1]tabla dinámica nacionalidad-cat'!$A$4,"indicador","RUSIA","categoría","1*","año",2010)/GETPIVOTDATA("dato",'[1]tabla dinámica nacionalidad-cat'!$A$4,"indicador","RUSIA","categoría","TOTAL","año",2010)</f>
        <v>6.4777327935222673E-2</v>
      </c>
    </row>
    <row r="25" spans="2:8" ht="14.25" customHeight="1">
      <c r="B25" s="272" t="s">
        <v>173</v>
      </c>
      <c r="C25" s="283">
        <f>GETPIVOTDATA("dato",'[1]tabla dinámica nacionalidad-cat'!$A$4,"indicador","PAÍSES DEL ESTE","categoría","TOTAL","año",2010)/GETPIVOTDATA("dato",'[1]tabla dinámica nacionalidad-cat'!$A$4,"indicador","PAÍSES DEL ESTE","categoría","TOTAL","año",2010)</f>
        <v>1</v>
      </c>
      <c r="D25" s="283">
        <f>GETPIVOTDATA("dato",'[1]tabla dinámica nacionalidad-cat'!$A$4,"indicador","PAÍSES DEL ESTE","categoría","Hoteleros","año",2010)/GETPIVOTDATA("dato",'[1]tabla dinámica nacionalidad-cat'!$A$4,"indicador","PAÍSES DEL ESTE","categoría","TOTAL","año",2010)</f>
        <v>1</v>
      </c>
      <c r="E25" s="283">
        <f>GETPIVOTDATA("dato",'[1]tabla dinámica nacionalidad-cat'!$A$4,"indicador","PAÍSES DEL ESTE","categoría","4* Y 5*","año",2010)/GETPIVOTDATA("dato",'[1]tabla dinámica nacionalidad-cat'!$A$4,"indicador","PAÍSES DEL ESTE","categoría","TOTAL","año",2010)</f>
        <v>5.3418803418803416E-2</v>
      </c>
      <c r="F25" s="283">
        <f>GETPIVOTDATA("dato",'[1]tabla dinámica nacionalidad-cat'!$A$4,"indicador","PAÍSES DEL ESTE","categoría","3 *","año",2010)/GETPIVOTDATA("dato",'[1]tabla dinámica nacionalidad-cat'!$A$4,"indicador","PAÍSES DEL ESTE","categoría","TOTAL","año",2010)</f>
        <v>0.30128205128205127</v>
      </c>
      <c r="G25" s="283">
        <f>GETPIVOTDATA("dato",'[1]tabla dinámica nacionalidad-cat'!$A$4,"indicador","PAÍSES DEL ESTE","categoría","2*","año",2010)/GETPIVOTDATA("dato",'[1]tabla dinámica nacionalidad-cat'!$A$4,"indicador","PAÍSES DEL ESTE","categoría","TOTAL","año",2010)</f>
        <v>0.44871794871794873</v>
      </c>
      <c r="H25" s="283">
        <f>GETPIVOTDATA("dato",'[1]tabla dinámica nacionalidad-cat'!$A$4,"indicador","PAÍSES DEL ESTE","categoría","1*","año",2010)/GETPIVOTDATA("dato",'[1]tabla dinámica nacionalidad-cat'!$A$4,"indicador","PAÍSES DEL ESTE","categoría","TOTAL","año",2010)</f>
        <v>0.19658119658119658</v>
      </c>
    </row>
    <row r="26" spans="2:8" ht="14.25" customHeight="1">
      <c r="B26" s="272" t="s">
        <v>174</v>
      </c>
      <c r="C26" s="283">
        <f>GETPIVOTDATA("dato",'[1]tabla dinámica nacionalidad-cat'!$A$4,"indicador","RESTO DE EUROPA","categoría","TOTAL","año",2010)/GETPIVOTDATA("dato",'[1]tabla dinámica nacionalidad-cat'!$A$4,"indicador","RESTO DE EUROPA","categoría","TOTAL","año",2010)</f>
        <v>1</v>
      </c>
      <c r="D26" s="283">
        <f>GETPIVOTDATA("dato",'[1]tabla dinámica nacionalidad-cat'!$A$4,"indicador","RESTO DE EUROPA","categoría","Hoteleros","año",2010)/GETPIVOTDATA("dato",'[1]tabla dinámica nacionalidad-cat'!$A$4,"indicador","RESTO DE EUROPA","categoría","TOTAL","año",2010)</f>
        <v>1</v>
      </c>
      <c r="E26" s="283">
        <f>GETPIVOTDATA("dato",'[1]tabla dinámica nacionalidad-cat'!$A$4,"indicador","RESTO DE EUROPA","categoría","4* Y 5*","año",2010)/GETPIVOTDATA("dato",'[1]tabla dinámica nacionalidad-cat'!$A$4,"indicador","RESTO DE EUROPA","categoría","TOTAL","año",2010)</f>
        <v>0.11788617886178862</v>
      </c>
      <c r="F26" s="283">
        <f>GETPIVOTDATA("dato",'[1]tabla dinámica nacionalidad-cat'!$A$4,"indicador","RESTO DE EUROPA","categoría","3 *","año",2010)/GETPIVOTDATA("dato",'[1]tabla dinámica nacionalidad-cat'!$A$4,"indicador","RESTO DE EUROPA","categoría","TOTAL","año",2010)</f>
        <v>0.47967479674796748</v>
      </c>
      <c r="G26" s="283">
        <f>GETPIVOTDATA("dato",'[1]tabla dinámica nacionalidad-cat'!$A$4,"indicador","RESTO DE EUROPA","categoría","2*","año",2010)/GETPIVOTDATA("dato",'[1]tabla dinámica nacionalidad-cat'!$A$4,"indicador","RESTO DE EUROPA","categoría","TOTAL","año",2010)</f>
        <v>0.32215447154471544</v>
      </c>
      <c r="H26" s="283">
        <f>GETPIVOTDATA("dato",'[1]tabla dinámica nacionalidad-cat'!$A$4,"indicador","RESTO DE EUROPA","categoría","1*","año",2010)/GETPIVOTDATA("dato",'[1]tabla dinámica nacionalidad-cat'!$A$4,"indicador","RESTO DE EUROPA","categoría","TOTAL","año",2010)</f>
        <v>8.0284552845528462E-2</v>
      </c>
    </row>
    <row r="27" spans="2:8" ht="14.25" customHeight="1">
      <c r="B27" s="230" t="s">
        <v>175</v>
      </c>
      <c r="C27" s="283">
        <f>GETPIVOTDATA("dato",'[1]tabla dinámica nacionalidad-cat'!$A$4,"indicador","USA","categoría","TOTAL","año",2010)/GETPIVOTDATA("dato",'[1]tabla dinámica nacionalidad-cat'!$A$4,"indicador","USA","categoría","TOTAL","año",2010)</f>
        <v>1</v>
      </c>
      <c r="D27" s="283">
        <f>GETPIVOTDATA("dato",'[1]tabla dinámica nacionalidad-cat'!$A$4,"indicador","USA","categoría","Hoteleros","año",2010)/GETPIVOTDATA("dato",'[1]tabla dinámica nacionalidad-cat'!$A$4,"indicador","USA","categoría","TOTAL","año",2010)</f>
        <v>1</v>
      </c>
      <c r="E27" s="283">
        <f>GETPIVOTDATA("dato",'[1]tabla dinámica nacionalidad-cat'!$A$4,"indicador","USA","categoría","4* Y 5*","año",2010)/GETPIVOTDATA("dato",'[1]tabla dinámica nacionalidad-cat'!$A$4,"indicador","USA","categoría","TOTAL","año",2010)</f>
        <v>0.18320610687022901</v>
      </c>
      <c r="F27" s="283">
        <f>GETPIVOTDATA("dato",'[1]tabla dinámica nacionalidad-cat'!$A$4,"indicador","USA","categoría","3 *","año",2010)/GETPIVOTDATA("dato",'[1]tabla dinámica nacionalidad-cat'!$A$4,"indicador","USA","categoría","TOTAL","año",2010)</f>
        <v>0.45674300254452926</v>
      </c>
      <c r="G27" s="283">
        <f>GETPIVOTDATA("dato",'[1]tabla dinámica nacionalidad-cat'!$A$4,"indicador","USA","categoría","2*","año",2010)/GETPIVOTDATA("dato",'[1]tabla dinámica nacionalidad-cat'!$A$4,"indicador","USA","categoría","TOTAL","año",2010)</f>
        <v>0.32315521628498728</v>
      </c>
      <c r="H27" s="283">
        <f>GETPIVOTDATA("dato",'[1]tabla dinámica nacionalidad-cat'!$A$4,"indicador","USA","categoría","1*","año",2010)/GETPIVOTDATA("dato",'[1]tabla dinámica nacionalidad-cat'!$A$4,"indicador","USA","categoría","TOTAL","año",2010)</f>
        <v>3.689567430025445E-2</v>
      </c>
    </row>
    <row r="28" spans="2:8" ht="14.25" customHeight="1">
      <c r="B28" s="272" t="s">
        <v>176</v>
      </c>
      <c r="C28" s="283">
        <f>GETPIVOTDATA("dato",'[1]tabla dinámica nacionalidad-cat'!$A$4,"indicador","RESTO DE AMÉRICA","categoría","TOTAL","año",2010)/GETPIVOTDATA("dato",'[1]tabla dinámica nacionalidad-cat'!$A$4,"indicador","RESTO DE AMÉRICA","categoría","TOTAL","año",2010)</f>
        <v>1</v>
      </c>
      <c r="D28" s="283">
        <f>GETPIVOTDATA("dato",'[1]tabla dinámica nacionalidad-cat'!$A$4,"indicador","RESTO DE AMÉRICA","categoría","Hoteleros","año",2010)/GETPIVOTDATA("dato",'[1]tabla dinámica nacionalidad-cat'!$A$4,"indicador","RESTO DE AMÉRICA","categoría","TOTAL","año",2010)</f>
        <v>1</v>
      </c>
      <c r="E28" s="283">
        <f>GETPIVOTDATA("dato",'[1]tabla dinámica nacionalidad-cat'!$A$4,"indicador","RESTO DE AMÉRICA","categoría","4* Y 5*","año",2010)/GETPIVOTDATA("dato",'[1]tabla dinámica nacionalidad-cat'!$A$4,"indicador","RESTO DE AMÉRICA","categoría","TOTAL","año",2010)</f>
        <v>6.421014228383802E-2</v>
      </c>
      <c r="F28" s="283">
        <f>GETPIVOTDATA("dato",'[1]tabla dinámica nacionalidad-cat'!$A$4,"indicador","RESTO DE AMÉRICA","categoría","3 *","año",2010)/GETPIVOTDATA("dato",'[1]tabla dinámica nacionalidad-cat'!$A$4,"indicador","RESTO DE AMÉRICA","categoría","TOTAL","año",2010)</f>
        <v>0.47427946005107624</v>
      </c>
      <c r="G28" s="283">
        <f>GETPIVOTDATA("dato",'[1]tabla dinámica nacionalidad-cat'!$A$4,"indicador","RESTO DE AMÉRICA","categoría","2*","año",2010)/GETPIVOTDATA("dato",'[1]tabla dinámica nacionalidad-cat'!$A$4,"indicador","RESTO DE AMÉRICA","categoría","TOTAL","año",2010)</f>
        <v>0.37905873768697557</v>
      </c>
      <c r="H28" s="283">
        <f>GETPIVOTDATA("dato",'[1]tabla dinámica nacionalidad-cat'!$A$4,"indicador","RESTO DE AMÉRICA","categoría","1*","año",2010)/GETPIVOTDATA("dato",'[1]tabla dinámica nacionalidad-cat'!$A$4,"indicador","RESTO DE AMÉRICA","categoría","TOTAL","año",2010)</f>
        <v>8.2451659978110173E-2</v>
      </c>
    </row>
    <row r="29" spans="2:8" ht="14.25" customHeight="1">
      <c r="B29" s="272" t="s">
        <v>177</v>
      </c>
      <c r="C29" s="283">
        <f>GETPIVOTDATA("dato",'[1]tabla dinámica nacionalidad-cat'!$A$4,"indicador","RESTO DEL MUNDO","categoría","TOTAL","año",2010)/GETPIVOTDATA("dato",'[1]tabla dinámica nacionalidad-cat'!$A$4,"indicador","RESTO DEL MUNDO","categoría","TOTAL","año",2010)</f>
        <v>1</v>
      </c>
      <c r="D29" s="283">
        <f>GETPIVOTDATA("dato",'[1]tabla dinámica nacionalidad-cat'!$A$4,"indicador","RESTO DEL MUNDO","categoría","Hoteleros","año",2010)/GETPIVOTDATA("dato",'[1]tabla dinámica nacionalidad-cat'!$A$4,"indicador","RESTO DEL MUNDO","categoría","TOTAL","año",2010)</f>
        <v>1</v>
      </c>
      <c r="E29" s="283">
        <f>GETPIVOTDATA("dato",'[1]tabla dinámica nacionalidad-cat'!$A$4,"indicador","RESTO DEL MUNDO","categoría","4* Y 5*","año",2010)/GETPIVOTDATA("dato",'[1]tabla dinámica nacionalidad-cat'!$A$4,"indicador","RESTO DEL MUNDO","categoría","TOTAL","año",2010)</f>
        <v>0.14491407338597306</v>
      </c>
      <c r="F29" s="283">
        <f>GETPIVOTDATA("dato",'[1]tabla dinámica nacionalidad-cat'!$A$4,"indicador","RESTO DEL MUNDO","categoría","3 *","año",2010)/GETPIVOTDATA("dato",'[1]tabla dinámica nacionalidad-cat'!$A$4,"indicador","RESTO DEL MUNDO","categoría","TOTAL","año",2010)</f>
        <v>0.42777519739897818</v>
      </c>
      <c r="G29" s="283">
        <f>GETPIVOTDATA("dato",'[1]tabla dinámica nacionalidad-cat'!$A$4,"indicador","RESTO DEL MUNDO","categoría","2*","año",2010)/GETPIVOTDATA("dato",'[1]tabla dinámica nacionalidad-cat'!$A$4,"indicador","RESTO DEL MUNDO","categoría","TOTAL","año",2010)</f>
        <v>0.32094751509521596</v>
      </c>
      <c r="H29" s="283">
        <f>GETPIVOTDATA("dato",'[1]tabla dinámica nacionalidad-cat'!$A$4,"indicador","RESTO DEL MUNDO","categoría","1*","año",2010)/GETPIVOTDATA("dato",'[1]tabla dinámica nacionalidad-cat'!$A$4,"indicador","RESTO DEL MUNDO","categoría","TOTAL","año",2010)</f>
        <v>0.10636321411983279</v>
      </c>
    </row>
    <row r="30" spans="2:8" ht="14.25" customHeight="1">
      <c r="B30" s="274" t="s">
        <v>178</v>
      </c>
      <c r="C30" s="284">
        <f>(GETPIVOTDATA("dato",'[1]tabla dinámica nacionalidad-cat'!$A$4,"indicador","TOTAL","categoría","TOTAL","año",2010)-GETPIVOTDATA("dato",'[1]tabla dinámica nacionalidad-cat'!$A$4,"indicador","España","categoría","TOTAL","año",2010))/(GETPIVOTDATA("dato",'[1]tabla dinámica nacionalidad-cat'!$A$4,"indicador","TOTAL","categoría","TOTAL","año",2010)-GETPIVOTDATA("dato",'[1]tabla dinámica nacionalidad-cat'!$A$4,"indicador","España","categoría","TOTAL","año",2010))</f>
        <v>1</v>
      </c>
      <c r="D30" s="284">
        <f>(GETPIVOTDATA("dato",'[1]tabla dinámica nacionalidad-cat'!$A$4,"indicador","TOTAL","categoría","hoteleros","año",2010)-GETPIVOTDATA("dato",'[1]tabla dinámica nacionalidad-cat'!$A$4,"indicador","España","categoría","hoteleros","año",2010))/(GETPIVOTDATA("dato",'[1]tabla dinámica nacionalidad-cat'!$A$4,"indicador","TOTAL","categoría","TOTAL","año",2010)-GETPIVOTDATA("dato",'[1]tabla dinámica nacionalidad-cat'!$A$4,"indicador","España","categoría","TOTAL","año",2010))</f>
        <v>1</v>
      </c>
      <c r="E30" s="284">
        <f>(GETPIVOTDATA("dato",'[1]tabla dinámica nacionalidad-cat'!$A$4,"indicador","TOTAL","categoría","4* y 5*","año",2010)-GETPIVOTDATA("dato",'[1]tabla dinámica nacionalidad-cat'!$A$4,"indicador","España","categoría","4* y 5*","año",2010))/(GETPIVOTDATA("dato",'[1]tabla dinámica nacionalidad-cat'!$A$4,"indicador","TOTAL","categoría","TOTAL","año",2010)-GETPIVOTDATA("dato",'[1]tabla dinámica nacionalidad-cat'!$A$4,"indicador","España","categoría","TOTAL","año",2010))</f>
        <v>0.15045916195341483</v>
      </c>
      <c r="F30" s="284">
        <f>(GETPIVOTDATA("dato",'[1]tabla dinámica nacionalidad-cat'!$A$4,"indicador","TOTAL","categoría","3 *","año",2010)-GETPIVOTDATA("dato",'[1]tabla dinámica nacionalidad-cat'!$A$4,"indicador","España","categoría","3 *","año",2010))/(GETPIVOTDATA("dato",'[1]tabla dinámica nacionalidad-cat'!$A$4,"indicador","TOTAL","categoría","TOTAL","año",2010)-GETPIVOTDATA("dato",'[1]tabla dinámica nacionalidad-cat'!$A$4,"indicador","España","categoría","TOTAL","año",2010))</f>
        <v>0.34993614303959131</v>
      </c>
      <c r="G30" s="284">
        <f>(GETPIVOTDATA("dato",'[1]tabla dinámica nacionalidad-cat'!$A$4,"indicador","TOTAL","categoría","2*","año",2010)-GETPIVOTDATA("dato",'[1]tabla dinámica nacionalidad-cat'!$A$4,"indicador","España","categoría","2*","año",2010))/(GETPIVOTDATA("dato",'[1]tabla dinámica nacionalidad-cat'!$A$4,"indicador","TOTAL","categoría","TOTAL","año",2010)-GETPIVOTDATA("dato",'[1]tabla dinámica nacionalidad-cat'!$A$4,"indicador","España","categoría","TOTAL","año",2010))</f>
        <v>0.39116949461777045</v>
      </c>
      <c r="H30" s="284">
        <f>(GETPIVOTDATA("dato",'[1]tabla dinámica nacionalidad-cat'!$A$4,"indicador","TOTAL","categoría","1*","año",2010)-GETPIVOTDATA("dato",'[1]tabla dinámica nacionalidad-cat'!$A$4,"indicador","España","categoría","1*","año",2010))/(GETPIVOTDATA("dato",'[1]tabla dinámica nacionalidad-cat'!$A$4,"indicador","TOTAL","categoría","TOTAL","año",2010)-GETPIVOTDATA("dato",'[1]tabla dinámica nacionalidad-cat'!$A$4,"indicador","España","categoría","TOTAL","año",2010))</f>
        <v>0.10843520038922337</v>
      </c>
    </row>
    <row r="31" spans="2:8" ht="14.25" customHeight="1">
      <c r="B31" s="277" t="s">
        <v>105</v>
      </c>
      <c r="C31" s="285">
        <f>GETPIVOTDATA("dato",'[1]tabla dinámica nacionalidad-cat'!$A$4,"indicador","TOTAL","categoría","TOTAL","año",2010)/GETPIVOTDATA("dato",'[1]tabla dinámica nacionalidad-cat'!$A$4,"indicador","TOTAL","categoría","TOTAL","año",2010)</f>
        <v>1</v>
      </c>
      <c r="D31" s="285">
        <f>GETPIVOTDATA("dato",'[1]tabla dinámica nacionalidad-cat'!$A$4,"indicador","TOTAL","categoría","Hoteleros","año",2010)/GETPIVOTDATA("dato",'[1]tabla dinámica nacionalidad-cat'!$A$4,"indicador","TOTAL","categoría","TOTAL","año",2010)</f>
        <v>1</v>
      </c>
      <c r="E31" s="285">
        <f>GETPIVOTDATA("dato",'[1]tabla dinámica nacionalidad-cat'!$A$4,"indicador","TOTAL","categoría","4* Y 5*","año",2010)/GETPIVOTDATA("dato",'[1]tabla dinámica nacionalidad-cat'!$A$4,"indicador","TOTAL","categoría","TOTAL","año",2010)</f>
        <v>0.32758360627478023</v>
      </c>
      <c r="F31" s="285">
        <f>GETPIVOTDATA("dato",'[1]tabla dinámica nacionalidad-cat'!$A$4,"indicador","TOTAL","categoría","3 *","año",2010)/GETPIVOTDATA("dato",'[1]tabla dinámica nacionalidad-cat'!$A$4,"indicador","TOTAL","categoría","TOTAL","año",2010)</f>
        <v>0.29779348388208932</v>
      </c>
      <c r="G31" s="285">
        <f>GETPIVOTDATA("dato",'[1]tabla dinámica nacionalidad-cat'!$A$4,"indicador","TOTAL","categoría","2*","año",2010)/GETPIVOTDATA("dato",'[1]tabla dinámica nacionalidad-cat'!$A$4,"indicador","TOTAL","categoría","TOTAL","año",2010)</f>
        <v>0.32131313566626446</v>
      </c>
      <c r="H31" s="285">
        <f>GETPIVOTDATA("dato",'[1]tabla dinámica nacionalidad-cat'!$A$4,"indicador","TOTAL","categoría","1*","año",2010)/GETPIVOTDATA("dato",'[1]tabla dinámica nacionalidad-cat'!$A$4,"indicador","TOTAL","categoría","TOTAL","año",2010)</f>
        <v>5.3309774176866061E-2</v>
      </c>
    </row>
    <row r="32" spans="2:8" ht="14.25" customHeight="1">
      <c r="B32" s="279" t="s">
        <v>90</v>
      </c>
      <c r="C32" s="280"/>
      <c r="D32" s="280"/>
      <c r="E32" s="280"/>
      <c r="F32" s="280"/>
      <c r="G32" s="280"/>
      <c r="H32" s="281"/>
    </row>
  </sheetData>
  <mergeCells count="6">
    <mergeCell ref="B5:H5"/>
    <mergeCell ref="B6:H6"/>
    <mergeCell ref="B7:B8"/>
    <mergeCell ref="C7:C8"/>
    <mergeCell ref="D7:H7"/>
    <mergeCell ref="B32:H3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7:J34"/>
  <sheetViews>
    <sheetView showGridLines="0" showRowColHeaders="0" showOutlineSymbols="0" zoomScaleNormal="100" workbookViewId="0">
      <selection activeCell="I13" sqref="I13"/>
    </sheetView>
  </sheetViews>
  <sheetFormatPr baseColWidth="10" defaultRowHeight="12"/>
  <cols>
    <col min="1" max="1" width="11.42578125" style="259"/>
    <col min="2" max="2" width="17.140625" style="259" customWidth="1"/>
    <col min="3" max="3" width="8.7109375" style="259" customWidth="1"/>
    <col min="4" max="4" width="10.85546875" style="259" customWidth="1"/>
    <col min="5" max="5" width="12.5703125" style="259" customWidth="1"/>
    <col min="6" max="8" width="9.7109375" style="259" bestFit="1" customWidth="1"/>
    <col min="9" max="255" width="11.42578125" style="259"/>
    <col min="256" max="256" width="15.85546875" style="259" bestFit="1" customWidth="1"/>
    <col min="257" max="257" width="8.7109375" style="259" customWidth="1"/>
    <col min="258" max="258" width="10.85546875" style="259" customWidth="1"/>
    <col min="259" max="263" width="9.7109375" style="259" bestFit="1" customWidth="1"/>
    <col min="264" max="264" width="16.5703125" style="259" customWidth="1"/>
    <col min="265" max="511" width="11.42578125" style="259"/>
    <col min="512" max="512" width="15.85546875" style="259" bestFit="1" customWidth="1"/>
    <col min="513" max="513" width="8.7109375" style="259" customWidth="1"/>
    <col min="514" max="514" width="10.85546875" style="259" customWidth="1"/>
    <col min="515" max="519" width="9.7109375" style="259" bestFit="1" customWidth="1"/>
    <col min="520" max="520" width="16.5703125" style="259" customWidth="1"/>
    <col min="521" max="767" width="11.42578125" style="259"/>
    <col min="768" max="768" width="15.85546875" style="259" bestFit="1" customWidth="1"/>
    <col min="769" max="769" width="8.7109375" style="259" customWidth="1"/>
    <col min="770" max="770" width="10.85546875" style="259" customWidth="1"/>
    <col min="771" max="775" width="9.7109375" style="259" bestFit="1" customWidth="1"/>
    <col min="776" max="776" width="16.5703125" style="259" customWidth="1"/>
    <col min="777" max="1023" width="11.42578125" style="259"/>
    <col min="1024" max="1024" width="15.85546875" style="259" bestFit="1" customWidth="1"/>
    <col min="1025" max="1025" width="8.7109375" style="259" customWidth="1"/>
    <col min="1026" max="1026" width="10.85546875" style="259" customWidth="1"/>
    <col min="1027" max="1031" width="9.7109375" style="259" bestFit="1" customWidth="1"/>
    <col min="1032" max="1032" width="16.5703125" style="259" customWidth="1"/>
    <col min="1033" max="1279" width="11.42578125" style="259"/>
    <col min="1280" max="1280" width="15.85546875" style="259" bestFit="1" customWidth="1"/>
    <col min="1281" max="1281" width="8.7109375" style="259" customWidth="1"/>
    <col min="1282" max="1282" width="10.85546875" style="259" customWidth="1"/>
    <col min="1283" max="1287" width="9.7109375" style="259" bestFit="1" customWidth="1"/>
    <col min="1288" max="1288" width="16.5703125" style="259" customWidth="1"/>
    <col min="1289" max="1535" width="11.42578125" style="259"/>
    <col min="1536" max="1536" width="15.85546875" style="259" bestFit="1" customWidth="1"/>
    <col min="1537" max="1537" width="8.7109375" style="259" customWidth="1"/>
    <col min="1538" max="1538" width="10.85546875" style="259" customWidth="1"/>
    <col min="1539" max="1543" width="9.7109375" style="259" bestFit="1" customWidth="1"/>
    <col min="1544" max="1544" width="16.5703125" style="259" customWidth="1"/>
    <col min="1545" max="1791" width="11.42578125" style="259"/>
    <col min="1792" max="1792" width="15.85546875" style="259" bestFit="1" customWidth="1"/>
    <col min="1793" max="1793" width="8.7109375" style="259" customWidth="1"/>
    <col min="1794" max="1794" width="10.85546875" style="259" customWidth="1"/>
    <col min="1795" max="1799" width="9.7109375" style="259" bestFit="1" customWidth="1"/>
    <col min="1800" max="1800" width="16.5703125" style="259" customWidth="1"/>
    <col min="1801" max="2047" width="11.42578125" style="259"/>
    <col min="2048" max="2048" width="15.85546875" style="259" bestFit="1" customWidth="1"/>
    <col min="2049" max="2049" width="8.7109375" style="259" customWidth="1"/>
    <col min="2050" max="2050" width="10.85546875" style="259" customWidth="1"/>
    <col min="2051" max="2055" width="9.7109375" style="259" bestFit="1" customWidth="1"/>
    <col min="2056" max="2056" width="16.5703125" style="259" customWidth="1"/>
    <col min="2057" max="2303" width="11.42578125" style="259"/>
    <col min="2304" max="2304" width="15.85546875" style="259" bestFit="1" customWidth="1"/>
    <col min="2305" max="2305" width="8.7109375" style="259" customWidth="1"/>
    <col min="2306" max="2306" width="10.85546875" style="259" customWidth="1"/>
    <col min="2307" max="2311" width="9.7109375" style="259" bestFit="1" customWidth="1"/>
    <col min="2312" max="2312" width="16.5703125" style="259" customWidth="1"/>
    <col min="2313" max="2559" width="11.42578125" style="259"/>
    <col min="2560" max="2560" width="15.85546875" style="259" bestFit="1" customWidth="1"/>
    <col min="2561" max="2561" width="8.7109375" style="259" customWidth="1"/>
    <col min="2562" max="2562" width="10.85546875" style="259" customWidth="1"/>
    <col min="2563" max="2567" width="9.7109375" style="259" bestFit="1" customWidth="1"/>
    <col min="2568" max="2568" width="16.5703125" style="259" customWidth="1"/>
    <col min="2569" max="2815" width="11.42578125" style="259"/>
    <col min="2816" max="2816" width="15.85546875" style="259" bestFit="1" customWidth="1"/>
    <col min="2817" max="2817" width="8.7109375" style="259" customWidth="1"/>
    <col min="2818" max="2818" width="10.85546875" style="259" customWidth="1"/>
    <col min="2819" max="2823" width="9.7109375" style="259" bestFit="1" customWidth="1"/>
    <col min="2824" max="2824" width="16.5703125" style="259" customWidth="1"/>
    <col min="2825" max="3071" width="11.42578125" style="259"/>
    <col min="3072" max="3072" width="15.85546875" style="259" bestFit="1" customWidth="1"/>
    <col min="3073" max="3073" width="8.7109375" style="259" customWidth="1"/>
    <col min="3074" max="3074" width="10.85546875" style="259" customWidth="1"/>
    <col min="3075" max="3079" width="9.7109375" style="259" bestFit="1" customWidth="1"/>
    <col min="3080" max="3080" width="16.5703125" style="259" customWidth="1"/>
    <col min="3081" max="3327" width="11.42578125" style="259"/>
    <col min="3328" max="3328" width="15.85546875" style="259" bestFit="1" customWidth="1"/>
    <col min="3329" max="3329" width="8.7109375" style="259" customWidth="1"/>
    <col min="3330" max="3330" width="10.85546875" style="259" customWidth="1"/>
    <col min="3331" max="3335" width="9.7109375" style="259" bestFit="1" customWidth="1"/>
    <col min="3336" max="3336" width="16.5703125" style="259" customWidth="1"/>
    <col min="3337" max="3583" width="11.42578125" style="259"/>
    <col min="3584" max="3584" width="15.85546875" style="259" bestFit="1" customWidth="1"/>
    <col min="3585" max="3585" width="8.7109375" style="259" customWidth="1"/>
    <col min="3586" max="3586" width="10.85546875" style="259" customWidth="1"/>
    <col min="3587" max="3591" width="9.7109375" style="259" bestFit="1" customWidth="1"/>
    <col min="3592" max="3592" width="16.5703125" style="259" customWidth="1"/>
    <col min="3593" max="3839" width="11.42578125" style="259"/>
    <col min="3840" max="3840" width="15.85546875" style="259" bestFit="1" customWidth="1"/>
    <col min="3841" max="3841" width="8.7109375" style="259" customWidth="1"/>
    <col min="3842" max="3842" width="10.85546875" style="259" customWidth="1"/>
    <col min="3843" max="3847" width="9.7109375" style="259" bestFit="1" customWidth="1"/>
    <col min="3848" max="3848" width="16.5703125" style="259" customWidth="1"/>
    <col min="3849" max="4095" width="11.42578125" style="259"/>
    <col min="4096" max="4096" width="15.85546875" style="259" bestFit="1" customWidth="1"/>
    <col min="4097" max="4097" width="8.7109375" style="259" customWidth="1"/>
    <col min="4098" max="4098" width="10.85546875" style="259" customWidth="1"/>
    <col min="4099" max="4103" width="9.7109375" style="259" bestFit="1" customWidth="1"/>
    <col min="4104" max="4104" width="16.5703125" style="259" customWidth="1"/>
    <col min="4105" max="4351" width="11.42578125" style="259"/>
    <col min="4352" max="4352" width="15.85546875" style="259" bestFit="1" customWidth="1"/>
    <col min="4353" max="4353" width="8.7109375" style="259" customWidth="1"/>
    <col min="4354" max="4354" width="10.85546875" style="259" customWidth="1"/>
    <col min="4355" max="4359" width="9.7109375" style="259" bestFit="1" customWidth="1"/>
    <col min="4360" max="4360" width="16.5703125" style="259" customWidth="1"/>
    <col min="4361" max="4607" width="11.42578125" style="259"/>
    <col min="4608" max="4608" width="15.85546875" style="259" bestFit="1" customWidth="1"/>
    <col min="4609" max="4609" width="8.7109375" style="259" customWidth="1"/>
    <col min="4610" max="4610" width="10.85546875" style="259" customWidth="1"/>
    <col min="4611" max="4615" width="9.7109375" style="259" bestFit="1" customWidth="1"/>
    <col min="4616" max="4616" width="16.5703125" style="259" customWidth="1"/>
    <col min="4617" max="4863" width="11.42578125" style="259"/>
    <col min="4864" max="4864" width="15.85546875" style="259" bestFit="1" customWidth="1"/>
    <col min="4865" max="4865" width="8.7109375" style="259" customWidth="1"/>
    <col min="4866" max="4866" width="10.85546875" style="259" customWidth="1"/>
    <col min="4867" max="4871" width="9.7109375" style="259" bestFit="1" customWidth="1"/>
    <col min="4872" max="4872" width="16.5703125" style="259" customWidth="1"/>
    <col min="4873" max="5119" width="11.42578125" style="259"/>
    <col min="5120" max="5120" width="15.85546875" style="259" bestFit="1" customWidth="1"/>
    <col min="5121" max="5121" width="8.7109375" style="259" customWidth="1"/>
    <col min="5122" max="5122" width="10.85546875" style="259" customWidth="1"/>
    <col min="5123" max="5127" width="9.7109375" style="259" bestFit="1" customWidth="1"/>
    <col min="5128" max="5128" width="16.5703125" style="259" customWidth="1"/>
    <col min="5129" max="5375" width="11.42578125" style="259"/>
    <col min="5376" max="5376" width="15.85546875" style="259" bestFit="1" customWidth="1"/>
    <col min="5377" max="5377" width="8.7109375" style="259" customWidth="1"/>
    <col min="5378" max="5378" width="10.85546875" style="259" customWidth="1"/>
    <col min="5379" max="5383" width="9.7109375" style="259" bestFit="1" customWidth="1"/>
    <col min="5384" max="5384" width="16.5703125" style="259" customWidth="1"/>
    <col min="5385" max="5631" width="11.42578125" style="259"/>
    <col min="5632" max="5632" width="15.85546875" style="259" bestFit="1" customWidth="1"/>
    <col min="5633" max="5633" width="8.7109375" style="259" customWidth="1"/>
    <col min="5634" max="5634" width="10.85546875" style="259" customWidth="1"/>
    <col min="5635" max="5639" width="9.7109375" style="259" bestFit="1" customWidth="1"/>
    <col min="5640" max="5640" width="16.5703125" style="259" customWidth="1"/>
    <col min="5641" max="5887" width="11.42578125" style="259"/>
    <col min="5888" max="5888" width="15.85546875" style="259" bestFit="1" customWidth="1"/>
    <col min="5889" max="5889" width="8.7109375" style="259" customWidth="1"/>
    <col min="5890" max="5890" width="10.85546875" style="259" customWidth="1"/>
    <col min="5891" max="5895" width="9.7109375" style="259" bestFit="1" customWidth="1"/>
    <col min="5896" max="5896" width="16.5703125" style="259" customWidth="1"/>
    <col min="5897" max="6143" width="11.42578125" style="259"/>
    <col min="6144" max="6144" width="15.85546875" style="259" bestFit="1" customWidth="1"/>
    <col min="6145" max="6145" width="8.7109375" style="259" customWidth="1"/>
    <col min="6146" max="6146" width="10.85546875" style="259" customWidth="1"/>
    <col min="6147" max="6151" width="9.7109375" style="259" bestFit="1" customWidth="1"/>
    <col min="6152" max="6152" width="16.5703125" style="259" customWidth="1"/>
    <col min="6153" max="6399" width="11.42578125" style="259"/>
    <col min="6400" max="6400" width="15.85546875" style="259" bestFit="1" customWidth="1"/>
    <col min="6401" max="6401" width="8.7109375" style="259" customWidth="1"/>
    <col min="6402" max="6402" width="10.85546875" style="259" customWidth="1"/>
    <col min="6403" max="6407" width="9.7109375" style="259" bestFit="1" customWidth="1"/>
    <col min="6408" max="6408" width="16.5703125" style="259" customWidth="1"/>
    <col min="6409" max="6655" width="11.42578125" style="259"/>
    <col min="6656" max="6656" width="15.85546875" style="259" bestFit="1" customWidth="1"/>
    <col min="6657" max="6657" width="8.7109375" style="259" customWidth="1"/>
    <col min="6658" max="6658" width="10.85546875" style="259" customWidth="1"/>
    <col min="6659" max="6663" width="9.7109375" style="259" bestFit="1" customWidth="1"/>
    <col min="6664" max="6664" width="16.5703125" style="259" customWidth="1"/>
    <col min="6665" max="6911" width="11.42578125" style="259"/>
    <col min="6912" max="6912" width="15.85546875" style="259" bestFit="1" customWidth="1"/>
    <col min="6913" max="6913" width="8.7109375" style="259" customWidth="1"/>
    <col min="6914" max="6914" width="10.85546875" style="259" customWidth="1"/>
    <col min="6915" max="6919" width="9.7109375" style="259" bestFit="1" customWidth="1"/>
    <col min="6920" max="6920" width="16.5703125" style="259" customWidth="1"/>
    <col min="6921" max="7167" width="11.42578125" style="259"/>
    <col min="7168" max="7168" width="15.85546875" style="259" bestFit="1" customWidth="1"/>
    <col min="7169" max="7169" width="8.7109375" style="259" customWidth="1"/>
    <col min="7170" max="7170" width="10.85546875" style="259" customWidth="1"/>
    <col min="7171" max="7175" width="9.7109375" style="259" bestFit="1" customWidth="1"/>
    <col min="7176" max="7176" width="16.5703125" style="259" customWidth="1"/>
    <col min="7177" max="7423" width="11.42578125" style="259"/>
    <col min="7424" max="7424" width="15.85546875" style="259" bestFit="1" customWidth="1"/>
    <col min="7425" max="7425" width="8.7109375" style="259" customWidth="1"/>
    <col min="7426" max="7426" width="10.85546875" style="259" customWidth="1"/>
    <col min="7427" max="7431" width="9.7109375" style="259" bestFit="1" customWidth="1"/>
    <col min="7432" max="7432" width="16.5703125" style="259" customWidth="1"/>
    <col min="7433" max="7679" width="11.42578125" style="259"/>
    <col min="7680" max="7680" width="15.85546875" style="259" bestFit="1" customWidth="1"/>
    <col min="7681" max="7681" width="8.7109375" style="259" customWidth="1"/>
    <col min="7682" max="7682" width="10.85546875" style="259" customWidth="1"/>
    <col min="7683" max="7687" width="9.7109375" style="259" bestFit="1" customWidth="1"/>
    <col min="7688" max="7688" width="16.5703125" style="259" customWidth="1"/>
    <col min="7689" max="7935" width="11.42578125" style="259"/>
    <col min="7936" max="7936" width="15.85546875" style="259" bestFit="1" customWidth="1"/>
    <col min="7937" max="7937" width="8.7109375" style="259" customWidth="1"/>
    <col min="7938" max="7938" width="10.85546875" style="259" customWidth="1"/>
    <col min="7939" max="7943" width="9.7109375" style="259" bestFit="1" customWidth="1"/>
    <col min="7944" max="7944" width="16.5703125" style="259" customWidth="1"/>
    <col min="7945" max="8191" width="11.42578125" style="259"/>
    <col min="8192" max="8192" width="15.85546875" style="259" bestFit="1" customWidth="1"/>
    <col min="8193" max="8193" width="8.7109375" style="259" customWidth="1"/>
    <col min="8194" max="8194" width="10.85546875" style="259" customWidth="1"/>
    <col min="8195" max="8199" width="9.7109375" style="259" bestFit="1" customWidth="1"/>
    <col min="8200" max="8200" width="16.5703125" style="259" customWidth="1"/>
    <col min="8201" max="8447" width="11.42578125" style="259"/>
    <col min="8448" max="8448" width="15.85546875" style="259" bestFit="1" customWidth="1"/>
    <col min="8449" max="8449" width="8.7109375" style="259" customWidth="1"/>
    <col min="8450" max="8450" width="10.85546875" style="259" customWidth="1"/>
    <col min="8451" max="8455" width="9.7109375" style="259" bestFit="1" customWidth="1"/>
    <col min="8456" max="8456" width="16.5703125" style="259" customWidth="1"/>
    <col min="8457" max="8703" width="11.42578125" style="259"/>
    <col min="8704" max="8704" width="15.85546875" style="259" bestFit="1" customWidth="1"/>
    <col min="8705" max="8705" width="8.7109375" style="259" customWidth="1"/>
    <col min="8706" max="8706" width="10.85546875" style="259" customWidth="1"/>
    <col min="8707" max="8711" width="9.7109375" style="259" bestFit="1" customWidth="1"/>
    <col min="8712" max="8712" width="16.5703125" style="259" customWidth="1"/>
    <col min="8713" max="8959" width="11.42578125" style="259"/>
    <col min="8960" max="8960" width="15.85546875" style="259" bestFit="1" customWidth="1"/>
    <col min="8961" max="8961" width="8.7109375" style="259" customWidth="1"/>
    <col min="8962" max="8962" width="10.85546875" style="259" customWidth="1"/>
    <col min="8963" max="8967" width="9.7109375" style="259" bestFit="1" customWidth="1"/>
    <col min="8968" max="8968" width="16.5703125" style="259" customWidth="1"/>
    <col min="8969" max="9215" width="11.42578125" style="259"/>
    <col min="9216" max="9216" width="15.85546875" style="259" bestFit="1" customWidth="1"/>
    <col min="9217" max="9217" width="8.7109375" style="259" customWidth="1"/>
    <col min="9218" max="9218" width="10.85546875" style="259" customWidth="1"/>
    <col min="9219" max="9223" width="9.7109375" style="259" bestFit="1" customWidth="1"/>
    <col min="9224" max="9224" width="16.5703125" style="259" customWidth="1"/>
    <col min="9225" max="9471" width="11.42578125" style="259"/>
    <col min="9472" max="9472" width="15.85546875" style="259" bestFit="1" customWidth="1"/>
    <col min="9473" max="9473" width="8.7109375" style="259" customWidth="1"/>
    <col min="9474" max="9474" width="10.85546875" style="259" customWidth="1"/>
    <col min="9475" max="9479" width="9.7109375" style="259" bestFit="1" customWidth="1"/>
    <col min="9480" max="9480" width="16.5703125" style="259" customWidth="1"/>
    <col min="9481" max="9727" width="11.42578125" style="259"/>
    <col min="9728" max="9728" width="15.85546875" style="259" bestFit="1" customWidth="1"/>
    <col min="9729" max="9729" width="8.7109375" style="259" customWidth="1"/>
    <col min="9730" max="9730" width="10.85546875" style="259" customWidth="1"/>
    <col min="9731" max="9735" width="9.7109375" style="259" bestFit="1" customWidth="1"/>
    <col min="9736" max="9736" width="16.5703125" style="259" customWidth="1"/>
    <col min="9737" max="9983" width="11.42578125" style="259"/>
    <col min="9984" max="9984" width="15.85546875" style="259" bestFit="1" customWidth="1"/>
    <col min="9985" max="9985" width="8.7109375" style="259" customWidth="1"/>
    <col min="9986" max="9986" width="10.85546875" style="259" customWidth="1"/>
    <col min="9987" max="9991" width="9.7109375" style="259" bestFit="1" customWidth="1"/>
    <col min="9992" max="9992" width="16.5703125" style="259" customWidth="1"/>
    <col min="9993" max="10239" width="11.42578125" style="259"/>
    <col min="10240" max="10240" width="15.85546875" style="259" bestFit="1" customWidth="1"/>
    <col min="10241" max="10241" width="8.7109375" style="259" customWidth="1"/>
    <col min="10242" max="10242" width="10.85546875" style="259" customWidth="1"/>
    <col min="10243" max="10247" width="9.7109375" style="259" bestFit="1" customWidth="1"/>
    <col min="10248" max="10248" width="16.5703125" style="259" customWidth="1"/>
    <col min="10249" max="10495" width="11.42578125" style="259"/>
    <col min="10496" max="10496" width="15.85546875" style="259" bestFit="1" customWidth="1"/>
    <col min="10497" max="10497" width="8.7109375" style="259" customWidth="1"/>
    <col min="10498" max="10498" width="10.85546875" style="259" customWidth="1"/>
    <col min="10499" max="10503" width="9.7109375" style="259" bestFit="1" customWidth="1"/>
    <col min="10504" max="10504" width="16.5703125" style="259" customWidth="1"/>
    <col min="10505" max="10751" width="11.42578125" style="259"/>
    <col min="10752" max="10752" width="15.85546875" style="259" bestFit="1" customWidth="1"/>
    <col min="10753" max="10753" width="8.7109375" style="259" customWidth="1"/>
    <col min="10754" max="10754" width="10.85546875" style="259" customWidth="1"/>
    <col min="10755" max="10759" width="9.7109375" style="259" bestFit="1" customWidth="1"/>
    <col min="10760" max="10760" width="16.5703125" style="259" customWidth="1"/>
    <col min="10761" max="11007" width="11.42578125" style="259"/>
    <col min="11008" max="11008" width="15.85546875" style="259" bestFit="1" customWidth="1"/>
    <col min="11009" max="11009" width="8.7109375" style="259" customWidth="1"/>
    <col min="11010" max="11010" width="10.85546875" style="259" customWidth="1"/>
    <col min="11011" max="11015" width="9.7109375" style="259" bestFit="1" customWidth="1"/>
    <col min="11016" max="11016" width="16.5703125" style="259" customWidth="1"/>
    <col min="11017" max="11263" width="11.42578125" style="259"/>
    <col min="11264" max="11264" width="15.85546875" style="259" bestFit="1" customWidth="1"/>
    <col min="11265" max="11265" width="8.7109375" style="259" customWidth="1"/>
    <col min="11266" max="11266" width="10.85546875" style="259" customWidth="1"/>
    <col min="11267" max="11271" width="9.7109375" style="259" bestFit="1" customWidth="1"/>
    <col min="11272" max="11272" width="16.5703125" style="259" customWidth="1"/>
    <col min="11273" max="11519" width="11.42578125" style="259"/>
    <col min="11520" max="11520" width="15.85546875" style="259" bestFit="1" customWidth="1"/>
    <col min="11521" max="11521" width="8.7109375" style="259" customWidth="1"/>
    <col min="11522" max="11522" width="10.85546875" style="259" customWidth="1"/>
    <col min="11523" max="11527" width="9.7109375" style="259" bestFit="1" customWidth="1"/>
    <col min="11528" max="11528" width="16.5703125" style="259" customWidth="1"/>
    <col min="11529" max="11775" width="11.42578125" style="259"/>
    <col min="11776" max="11776" width="15.85546875" style="259" bestFit="1" customWidth="1"/>
    <col min="11777" max="11777" width="8.7109375" style="259" customWidth="1"/>
    <col min="11778" max="11778" width="10.85546875" style="259" customWidth="1"/>
    <col min="11779" max="11783" width="9.7109375" style="259" bestFit="1" customWidth="1"/>
    <col min="11784" max="11784" width="16.5703125" style="259" customWidth="1"/>
    <col min="11785" max="12031" width="11.42578125" style="259"/>
    <col min="12032" max="12032" width="15.85546875" style="259" bestFit="1" customWidth="1"/>
    <col min="12033" max="12033" width="8.7109375" style="259" customWidth="1"/>
    <col min="12034" max="12034" width="10.85546875" style="259" customWidth="1"/>
    <col min="12035" max="12039" width="9.7109375" style="259" bestFit="1" customWidth="1"/>
    <col min="12040" max="12040" width="16.5703125" style="259" customWidth="1"/>
    <col min="12041" max="12287" width="11.42578125" style="259"/>
    <col min="12288" max="12288" width="15.85546875" style="259" bestFit="1" customWidth="1"/>
    <col min="12289" max="12289" width="8.7109375" style="259" customWidth="1"/>
    <col min="12290" max="12290" width="10.85546875" style="259" customWidth="1"/>
    <col min="12291" max="12295" width="9.7109375" style="259" bestFit="1" customWidth="1"/>
    <col min="12296" max="12296" width="16.5703125" style="259" customWidth="1"/>
    <col min="12297" max="12543" width="11.42578125" style="259"/>
    <col min="12544" max="12544" width="15.85546875" style="259" bestFit="1" customWidth="1"/>
    <col min="12545" max="12545" width="8.7109375" style="259" customWidth="1"/>
    <col min="12546" max="12546" width="10.85546875" style="259" customWidth="1"/>
    <col min="12547" max="12551" width="9.7109375" style="259" bestFit="1" customWidth="1"/>
    <col min="12552" max="12552" width="16.5703125" style="259" customWidth="1"/>
    <col min="12553" max="12799" width="11.42578125" style="259"/>
    <col min="12800" max="12800" width="15.85546875" style="259" bestFit="1" customWidth="1"/>
    <col min="12801" max="12801" width="8.7109375" style="259" customWidth="1"/>
    <col min="12802" max="12802" width="10.85546875" style="259" customWidth="1"/>
    <col min="12803" max="12807" width="9.7109375" style="259" bestFit="1" customWidth="1"/>
    <col min="12808" max="12808" width="16.5703125" style="259" customWidth="1"/>
    <col min="12809" max="13055" width="11.42578125" style="259"/>
    <col min="13056" max="13056" width="15.85546875" style="259" bestFit="1" customWidth="1"/>
    <col min="13057" max="13057" width="8.7109375" style="259" customWidth="1"/>
    <col min="13058" max="13058" width="10.85546875" style="259" customWidth="1"/>
    <col min="13059" max="13063" width="9.7109375" style="259" bestFit="1" customWidth="1"/>
    <col min="13064" max="13064" width="16.5703125" style="259" customWidth="1"/>
    <col min="13065" max="13311" width="11.42578125" style="259"/>
    <col min="13312" max="13312" width="15.85546875" style="259" bestFit="1" customWidth="1"/>
    <col min="13313" max="13313" width="8.7109375" style="259" customWidth="1"/>
    <col min="13314" max="13314" width="10.85546875" style="259" customWidth="1"/>
    <col min="13315" max="13319" width="9.7109375" style="259" bestFit="1" customWidth="1"/>
    <col min="13320" max="13320" width="16.5703125" style="259" customWidth="1"/>
    <col min="13321" max="13567" width="11.42578125" style="259"/>
    <col min="13568" max="13568" width="15.85546875" style="259" bestFit="1" customWidth="1"/>
    <col min="13569" max="13569" width="8.7109375" style="259" customWidth="1"/>
    <col min="13570" max="13570" width="10.85546875" style="259" customWidth="1"/>
    <col min="13571" max="13575" width="9.7109375" style="259" bestFit="1" customWidth="1"/>
    <col min="13576" max="13576" width="16.5703125" style="259" customWidth="1"/>
    <col min="13577" max="13823" width="11.42578125" style="259"/>
    <col min="13824" max="13824" width="15.85546875" style="259" bestFit="1" customWidth="1"/>
    <col min="13825" max="13825" width="8.7109375" style="259" customWidth="1"/>
    <col min="13826" max="13826" width="10.85546875" style="259" customWidth="1"/>
    <col min="13827" max="13831" width="9.7109375" style="259" bestFit="1" customWidth="1"/>
    <col min="13832" max="13832" width="16.5703125" style="259" customWidth="1"/>
    <col min="13833" max="14079" width="11.42578125" style="259"/>
    <col min="14080" max="14080" width="15.85546875" style="259" bestFit="1" customWidth="1"/>
    <col min="14081" max="14081" width="8.7109375" style="259" customWidth="1"/>
    <col min="14082" max="14082" width="10.85546875" style="259" customWidth="1"/>
    <col min="14083" max="14087" width="9.7109375" style="259" bestFit="1" customWidth="1"/>
    <col min="14088" max="14088" width="16.5703125" style="259" customWidth="1"/>
    <col min="14089" max="14335" width="11.42578125" style="259"/>
    <col min="14336" max="14336" width="15.85546875" style="259" bestFit="1" customWidth="1"/>
    <col min="14337" max="14337" width="8.7109375" style="259" customWidth="1"/>
    <col min="14338" max="14338" width="10.85546875" style="259" customWidth="1"/>
    <col min="14339" max="14343" width="9.7109375" style="259" bestFit="1" customWidth="1"/>
    <col min="14344" max="14344" width="16.5703125" style="259" customWidth="1"/>
    <col min="14345" max="14591" width="11.42578125" style="259"/>
    <col min="14592" max="14592" width="15.85546875" style="259" bestFit="1" customWidth="1"/>
    <col min="14593" max="14593" width="8.7109375" style="259" customWidth="1"/>
    <col min="14594" max="14594" width="10.85546875" style="259" customWidth="1"/>
    <col min="14595" max="14599" width="9.7109375" style="259" bestFit="1" customWidth="1"/>
    <col min="14600" max="14600" width="16.5703125" style="259" customWidth="1"/>
    <col min="14601" max="14847" width="11.42578125" style="259"/>
    <col min="14848" max="14848" width="15.85546875" style="259" bestFit="1" customWidth="1"/>
    <col min="14849" max="14849" width="8.7109375" style="259" customWidth="1"/>
    <col min="14850" max="14850" width="10.85546875" style="259" customWidth="1"/>
    <col min="14851" max="14855" width="9.7109375" style="259" bestFit="1" customWidth="1"/>
    <col min="14856" max="14856" width="16.5703125" style="259" customWidth="1"/>
    <col min="14857" max="15103" width="11.42578125" style="259"/>
    <col min="15104" max="15104" width="15.85546875" style="259" bestFit="1" customWidth="1"/>
    <col min="15105" max="15105" width="8.7109375" style="259" customWidth="1"/>
    <col min="15106" max="15106" width="10.85546875" style="259" customWidth="1"/>
    <col min="15107" max="15111" width="9.7109375" style="259" bestFit="1" customWidth="1"/>
    <col min="15112" max="15112" width="16.5703125" style="259" customWidth="1"/>
    <col min="15113" max="15359" width="11.42578125" style="259"/>
    <col min="15360" max="15360" width="15.85546875" style="259" bestFit="1" customWidth="1"/>
    <col min="15361" max="15361" width="8.7109375" style="259" customWidth="1"/>
    <col min="15362" max="15362" width="10.85546875" style="259" customWidth="1"/>
    <col min="15363" max="15367" width="9.7109375" style="259" bestFit="1" customWidth="1"/>
    <col min="15368" max="15368" width="16.5703125" style="259" customWidth="1"/>
    <col min="15369" max="15615" width="11.42578125" style="259"/>
    <col min="15616" max="15616" width="15.85546875" style="259" bestFit="1" customWidth="1"/>
    <col min="15617" max="15617" width="8.7109375" style="259" customWidth="1"/>
    <col min="15618" max="15618" width="10.85546875" style="259" customWidth="1"/>
    <col min="15619" max="15623" width="9.7109375" style="259" bestFit="1" customWidth="1"/>
    <col min="15624" max="15624" width="16.5703125" style="259" customWidth="1"/>
    <col min="15625" max="15871" width="11.42578125" style="259"/>
    <col min="15872" max="15872" width="15.85546875" style="259" bestFit="1" customWidth="1"/>
    <col min="15873" max="15873" width="8.7109375" style="259" customWidth="1"/>
    <col min="15874" max="15874" width="10.85546875" style="259" customWidth="1"/>
    <col min="15875" max="15879" width="9.7109375" style="259" bestFit="1" customWidth="1"/>
    <col min="15880" max="15880" width="16.5703125" style="259" customWidth="1"/>
    <col min="15881" max="16127" width="11.42578125" style="259"/>
    <col min="16128" max="16128" width="15.85546875" style="259" bestFit="1" customWidth="1"/>
    <col min="16129" max="16129" width="8.7109375" style="259" customWidth="1"/>
    <col min="16130" max="16130" width="10.85546875" style="259" customWidth="1"/>
    <col min="16131" max="16135" width="9.7109375" style="259" bestFit="1" customWidth="1"/>
    <col min="16136" max="16136" width="16.5703125" style="259" customWidth="1"/>
    <col min="16137" max="16384" width="11.42578125" style="259"/>
  </cols>
  <sheetData>
    <row r="7" spans="2:8" ht="28.5" customHeight="1">
      <c r="B7" s="257" t="s">
        <v>193</v>
      </c>
      <c r="C7" s="258"/>
      <c r="D7" s="258"/>
      <c r="E7" s="258"/>
      <c r="F7" s="258"/>
      <c r="G7" s="258"/>
      <c r="H7" s="258"/>
    </row>
    <row r="8" spans="2:8" ht="12.75">
      <c r="B8" s="260" t="str">
        <f>actualizaciones!A2</f>
        <v xml:space="preserve">acumulado julio 2010 </v>
      </c>
      <c r="C8" s="261"/>
      <c r="D8" s="261"/>
      <c r="E8" s="261"/>
      <c r="F8" s="261"/>
      <c r="G8" s="261"/>
      <c r="H8" s="261"/>
    </row>
    <row r="9" spans="2:8" ht="13.5" customHeight="1">
      <c r="B9" s="262" t="s">
        <v>155</v>
      </c>
      <c r="C9" s="263" t="s">
        <v>92</v>
      </c>
      <c r="D9" s="263" t="s">
        <v>185</v>
      </c>
      <c r="E9" s="263"/>
      <c r="F9" s="263"/>
      <c r="G9" s="263"/>
      <c r="H9" s="263"/>
    </row>
    <row r="10" spans="2:8" ht="22.5" customHeight="1">
      <c r="B10" s="262"/>
      <c r="C10" s="264"/>
      <c r="D10" s="265" t="s">
        <v>186</v>
      </c>
      <c r="E10" s="265" t="s">
        <v>187</v>
      </c>
      <c r="F10" s="265" t="s">
        <v>188</v>
      </c>
      <c r="G10" s="265" t="s">
        <v>189</v>
      </c>
      <c r="H10" s="265" t="s">
        <v>190</v>
      </c>
    </row>
    <row r="11" spans="2:8" ht="12.75">
      <c r="B11" s="266" t="s">
        <v>156</v>
      </c>
      <c r="C11" s="286">
        <f>'Nacionalidad-Alojamiento(datos)'!C11/'Nacionalidad-Alojamiento(datos)'!$C$33</f>
        <v>0.82284304430270638</v>
      </c>
      <c r="D11" s="286">
        <f>'Nacionalidad-Alojamiento(datos)'!D11/'Nacionalidad-Alojamiento(datos)'!$D$33</f>
        <v>0.82284304430270638</v>
      </c>
      <c r="E11" s="286">
        <f>'Nacionalidad-Alojamiento(datos)'!E11/'Nacionalidad-Alojamiento(datos)'!$E$33</f>
        <v>0.91863180397960864</v>
      </c>
      <c r="F11" s="286">
        <f>'Nacionalidad-Alojamiento(datos)'!F11/'Nacionalidad-Alojamiento(datos)'!$F$33</f>
        <v>0.79182344428364693</v>
      </c>
      <c r="G11" s="286">
        <f>'Nacionalidad-Alojamiento(datos)'!G11/'Nacionalidad-Alojamiento(datos)'!$G$33</f>
        <v>0.7843275324414043</v>
      </c>
      <c r="H11" s="286">
        <f>'Nacionalidad-Alojamiento(datos)'!H11/'Nacionalidad-Alojamiento(datos)'!$H$33</f>
        <v>0.7843275324414043</v>
      </c>
    </row>
    <row r="12" spans="2:8" ht="12.75">
      <c r="B12" s="268" t="s">
        <v>158</v>
      </c>
      <c r="C12" s="287">
        <f>'Nacionalidad-Alojamiento(datos)'!C12/'Nacionalidad-Alojamiento(datos)'!$C$33</f>
        <v>5.4516462678848472E-3</v>
      </c>
      <c r="D12" s="287">
        <f>'Nacionalidad-Alojamiento(datos)'!D12/'Nacionalidad-Alojamiento(datos)'!$D$33</f>
        <v>5.4516462678848472E-3</v>
      </c>
      <c r="E12" s="287">
        <f>'Nacionalidad-Alojamiento(datos)'!E12/'Nacionalidad-Alojamiento(datos)'!$E$33</f>
        <v>3.8809406347640189E-3</v>
      </c>
      <c r="F12" s="287">
        <f>'Nacionalidad-Alojamiento(datos)'!F12/'Nacionalidad-Alojamiento(datos)'!$F$33</f>
        <v>2.0984081041968161E-3</v>
      </c>
      <c r="G12" s="287">
        <f>'Nacionalidad-Alojamiento(datos)'!G12/'Nacionalidad-Alojamiento(datos)'!$G$33</f>
        <v>9.3216644871407968E-3</v>
      </c>
      <c r="H12" s="287">
        <f>'Nacionalidad-Alojamiento(datos)'!H12/'Nacionalidad-Alojamiento(datos)'!$H$33</f>
        <v>9.3216644871407968E-3</v>
      </c>
    </row>
    <row r="13" spans="2:8" ht="12.75">
      <c r="B13" s="268" t="s">
        <v>159</v>
      </c>
      <c r="C13" s="287">
        <f>'Nacionalidad-Alojamiento(datos)'!C13/'Nacionalidad-Alojamiento(datos)'!$C$33</f>
        <v>3.6631615238751939E-3</v>
      </c>
      <c r="D13" s="287">
        <f>'Nacionalidad-Alojamiento(datos)'!D13/'Nacionalidad-Alojamiento(datos)'!$D$33</f>
        <v>3.6631615238751939E-3</v>
      </c>
      <c r="E13" s="287">
        <f>'Nacionalidad-Alojamiento(datos)'!E13/'Nacionalidad-Alojamiento(datos)'!$E$33</f>
        <v>3.5520473606314752E-3</v>
      </c>
      <c r="F13" s="287">
        <f>'Nacionalidad-Alojamiento(datos)'!F13/'Nacionalidad-Alojamiento(datos)'!$F$33</f>
        <v>2.7496382054992764E-3</v>
      </c>
      <c r="G13" s="287">
        <f>'Nacionalidad-Alojamiento(datos)'!G13/'Nacionalidad-Alojamiento(datos)'!$G$33</f>
        <v>3.7890218958521946E-3</v>
      </c>
      <c r="H13" s="287">
        <f>'Nacionalidad-Alojamiento(datos)'!H13/'Nacionalidad-Alojamiento(datos)'!$H$33</f>
        <v>3.7890218958521946E-3</v>
      </c>
    </row>
    <row r="14" spans="2:8" ht="12.75">
      <c r="B14" s="268" t="s">
        <v>160</v>
      </c>
      <c r="C14" s="287">
        <f>'Nacionalidad-Alojamiento(datos)'!C14/'Nacionalidad-Alojamiento(datos)'!$C$33</f>
        <v>2.1009308739872435E-2</v>
      </c>
      <c r="D14" s="287">
        <f>'Nacionalidad-Alojamiento(datos)'!D14/'Nacionalidad-Alojamiento(datos)'!$D$33</f>
        <v>2.1009308739872435E-2</v>
      </c>
      <c r="E14" s="287">
        <f>'Nacionalidad-Alojamiento(datos)'!E14/'Nacionalidad-Alojamiento(datos)'!$E$33</f>
        <v>1.1083703338266733E-2</v>
      </c>
      <c r="F14" s="287">
        <f>'Nacionalidad-Alojamiento(datos)'!F14/'Nacionalidad-Alojamiento(datos)'!$F$33</f>
        <v>1.7691751085383501E-2</v>
      </c>
      <c r="G14" s="287">
        <f>'Nacionalidad-Alojamiento(datos)'!G14/'Nacionalidad-Alojamiento(datos)'!$G$33</f>
        <v>2.7830868792542669E-2</v>
      </c>
      <c r="H14" s="287">
        <f>'Nacionalidad-Alojamiento(datos)'!H14/'Nacionalidad-Alojamiento(datos)'!$H$33</f>
        <v>2.7830868792542669E-2</v>
      </c>
    </row>
    <row r="15" spans="2:8" ht="12.75">
      <c r="B15" s="270" t="s">
        <v>161</v>
      </c>
      <c r="C15" s="287">
        <f>'Nacionalidad-Alojamiento(datos)'!C15/'Nacionalidad-Alojamiento(datos)'!$C$33</f>
        <v>1.4814256162730563E-2</v>
      </c>
      <c r="D15" s="287">
        <f>'Nacionalidad-Alojamiento(datos)'!D15/'Nacionalidad-Alojamiento(datos)'!$D$33</f>
        <v>1.4814256162730563E-2</v>
      </c>
      <c r="E15" s="287">
        <f>'Nacionalidad-Alojamiento(datos)'!E15/'Nacionalidad-Alojamiento(datos)'!$E$33</f>
        <v>6.2818615359315905E-3</v>
      </c>
      <c r="F15" s="287">
        <f>'Nacionalidad-Alojamiento(datos)'!F15/'Nacionalidad-Alojamiento(datos)'!$F$33</f>
        <v>1.4327062228654125E-2</v>
      </c>
      <c r="G15" s="287">
        <f>'Nacionalidad-Alojamiento(datos)'!G15/'Nacionalidad-Alojamiento(datos)'!$G$33</f>
        <v>1.6966770613285047E-2</v>
      </c>
      <c r="H15" s="287">
        <f>'Nacionalidad-Alojamiento(datos)'!H15/'Nacionalidad-Alojamiento(datos)'!$H$33</f>
        <v>1.6966770613285047E-2</v>
      </c>
    </row>
    <row r="16" spans="2:8" ht="12.75">
      <c r="B16" s="270" t="s">
        <v>162</v>
      </c>
      <c r="C16" s="287">
        <f>'Nacionalidad-Alojamiento(datos)'!C16/'Nacionalidad-Alojamiento(datos)'!$C$33</f>
        <v>1.8692897776245474E-2</v>
      </c>
      <c r="D16" s="287">
        <f>'Nacionalidad-Alojamiento(datos)'!D16/'Nacionalidad-Alojamiento(datos)'!$D$33</f>
        <v>1.8692897776245474E-2</v>
      </c>
      <c r="E16" s="287">
        <f>'Nacionalidad-Alojamiento(datos)'!E16/'Nacionalidad-Alojamiento(datos)'!$E$33</f>
        <v>1.5918434468015129E-2</v>
      </c>
      <c r="F16" s="287">
        <f>'Nacionalidad-Alojamiento(datos)'!F16/'Nacionalidad-Alojamiento(datos)'!$F$33</f>
        <v>1.9464544138929087E-2</v>
      </c>
      <c r="G16" s="287">
        <f>'Nacionalidad-Alojamiento(datos)'!G16/'Nacionalidad-Alojamiento(datos)'!$G$33</f>
        <v>2.1225228850216275E-2</v>
      </c>
      <c r="H16" s="287">
        <f>'Nacionalidad-Alojamiento(datos)'!H16/'Nacionalidad-Alojamiento(datos)'!$H$33</f>
        <v>2.1225228850216275E-2</v>
      </c>
    </row>
    <row r="17" spans="2:10" ht="12.75">
      <c r="B17" s="270" t="s">
        <v>163</v>
      </c>
      <c r="C17" s="287">
        <f>'Nacionalidad-Alojamiento(datos)'!C17/'Nacionalidad-Alojamiento(datos)'!$C$33</f>
        <v>2.5642130667126359E-3</v>
      </c>
      <c r="D17" s="287">
        <f>'Nacionalidad-Alojamiento(datos)'!D17/'Nacionalidad-Alojamiento(datos)'!$D$33</f>
        <v>2.5642130667126359E-3</v>
      </c>
      <c r="E17" s="287">
        <f>'Nacionalidad-Alojamiento(datos)'!E17/'Nacionalidad-Alojamiento(datos)'!$E$33</f>
        <v>1.2826837691169216E-3</v>
      </c>
      <c r="F17" s="287">
        <f>'Nacionalidad-Alojamiento(datos)'!F17/'Nacionalidad-Alojamiento(datos)'!$F$33</f>
        <v>2.3878437047756872E-3</v>
      </c>
      <c r="G17" s="287">
        <f>'Nacionalidad-Alojamiento(datos)'!G17/'Nacionalidad-Alojamiento(datos)'!$G$33</f>
        <v>3.3531167219930927E-3</v>
      </c>
      <c r="H17" s="287">
        <f>'Nacionalidad-Alojamiento(datos)'!H17/'Nacionalidad-Alojamiento(datos)'!$H$33</f>
        <v>3.3531167219930927E-3</v>
      </c>
    </row>
    <row r="18" spans="2:10" ht="12.75">
      <c r="B18" s="270" t="s">
        <v>164</v>
      </c>
      <c r="C18" s="287">
        <f>'Nacionalidad-Alojamiento(datos)'!C18/'Nacionalidad-Alojamiento(datos)'!$C$33</f>
        <v>1.6085588691604896E-2</v>
      </c>
      <c r="D18" s="287">
        <f>'Nacionalidad-Alojamiento(datos)'!D18/'Nacionalidad-Alojamiento(datos)'!$D$33</f>
        <v>1.6085588691604896E-2</v>
      </c>
      <c r="E18" s="287">
        <f>'Nacionalidad-Alojamiento(datos)'!E18/'Nacionalidad-Alojamiento(datos)'!$E$33</f>
        <v>5.8543002795592826E-3</v>
      </c>
      <c r="F18" s="287">
        <f>'Nacionalidad-Alojamiento(datos)'!F18/'Nacionalidad-Alojamiento(datos)'!$F$33</f>
        <v>1.5231548480463097E-2</v>
      </c>
      <c r="G18" s="287">
        <f>'Nacionalidad-Alojamiento(datos)'!G18/'Nacionalidad-Alojamiento(datos)'!$G$33</f>
        <v>2.2566475539013513E-2</v>
      </c>
      <c r="H18" s="287">
        <f>'Nacionalidad-Alojamiento(datos)'!H18/'Nacionalidad-Alojamiento(datos)'!$H$33</f>
        <v>2.2566475539013513E-2</v>
      </c>
    </row>
    <row r="19" spans="2:10" ht="12.75">
      <c r="B19" s="268" t="s">
        <v>165</v>
      </c>
      <c r="C19" s="287">
        <f>'Nacionalidad-Alojamiento(datos)'!C19/'Nacionalidad-Alojamiento(datos)'!$C$33</f>
        <v>9.8797621099810384E-3</v>
      </c>
      <c r="D19" s="287">
        <f>'Nacionalidad-Alojamiento(datos)'!D19/'Nacionalidad-Alojamiento(datos)'!$D$33</f>
        <v>9.8797621099810384E-3</v>
      </c>
      <c r="E19" s="287">
        <f>'Nacionalidad-Alojamiento(datos)'!E19/'Nacionalidad-Alojamiento(datos)'!$E$33</f>
        <v>3.5520473606314752E-3</v>
      </c>
      <c r="F19" s="287">
        <f>'Nacionalidad-Alojamiento(datos)'!F19/'Nacionalidad-Alojamiento(datos)'!$F$33</f>
        <v>8.4298118668596229E-3</v>
      </c>
      <c r="G19" s="287">
        <f>'Nacionalidad-Alojamiento(datos)'!G19/'Nacionalidad-Alojamiento(datos)'!$G$33</f>
        <v>1.7268551118264426E-2</v>
      </c>
      <c r="H19" s="287">
        <f>'Nacionalidad-Alojamiento(datos)'!H19/'Nacionalidad-Alojamiento(datos)'!$H$33</f>
        <v>1.7268551118264426E-2</v>
      </c>
    </row>
    <row r="20" spans="2:10" ht="12.75">
      <c r="B20" s="271" t="s">
        <v>166</v>
      </c>
      <c r="C20" s="287">
        <f>'Nacionalidad-Alojamiento(datos)'!C20/'Nacionalidad-Alojamiento(datos)'!$C$33</f>
        <v>2.7365971384244094E-3</v>
      </c>
      <c r="D20" s="287">
        <f>'Nacionalidad-Alojamiento(datos)'!D20/'Nacionalidad-Alojamiento(datos)'!$D$33</f>
        <v>2.7365971384244094E-3</v>
      </c>
      <c r="E20" s="287">
        <f>'Nacionalidad-Alojamiento(datos)'!E20/'Nacionalidad-Alojamiento(datos)'!$E$33</f>
        <v>1.3484624239434304E-3</v>
      </c>
      <c r="F20" s="287">
        <f>'Nacionalidad-Alojamiento(datos)'!F20/'Nacionalidad-Alojamiento(datos)'!$F$33</f>
        <v>2.1345875542691751E-3</v>
      </c>
      <c r="G20" s="287">
        <f>'Nacionalidad-Alojamiento(datos)'!G20/'Nacionalidad-Alojamiento(datos)'!$G$33</f>
        <v>4.2249270697112965E-3</v>
      </c>
      <c r="H20" s="287">
        <f>'Nacionalidad-Alojamiento(datos)'!H20/'Nacionalidad-Alojamiento(datos)'!$H$33</f>
        <v>4.2249270697112965E-3</v>
      </c>
    </row>
    <row r="21" spans="2:10" ht="12.75">
      <c r="B21" s="271" t="s">
        <v>167</v>
      </c>
      <c r="C21" s="287">
        <f>'Nacionalidad-Alojamiento(datos)'!C21/'Nacionalidad-Alojamiento(datos)'!$C$33</f>
        <v>1.8423547664195828E-3</v>
      </c>
      <c r="D21" s="287">
        <f>'Nacionalidad-Alojamiento(datos)'!D21/'Nacionalidad-Alojamiento(datos)'!$D$33</f>
        <v>1.8423547664195828E-3</v>
      </c>
      <c r="E21" s="287">
        <f>'Nacionalidad-Alojamiento(datos)'!E21/'Nacionalidad-Alojamiento(datos)'!$E$33</f>
        <v>1.1182371320506495E-3</v>
      </c>
      <c r="F21" s="287">
        <f>'Nacionalidad-Alojamiento(datos)'!F21/'Nacionalidad-Alojamiento(datos)'!$F$33</f>
        <v>1.6280752532561505E-3</v>
      </c>
      <c r="G21" s="287">
        <f>'Nacionalidad-Alojamiento(datos)'!G21/'Nacionalidad-Alojamiento(datos)'!$G$33</f>
        <v>2.716024544814405E-3</v>
      </c>
      <c r="H21" s="287">
        <f>'Nacionalidad-Alojamiento(datos)'!H21/'Nacionalidad-Alojamiento(datos)'!$H$33</f>
        <v>2.716024544814405E-3</v>
      </c>
    </row>
    <row r="22" spans="2:10" ht="12.75">
      <c r="B22" s="271" t="s">
        <v>168</v>
      </c>
      <c r="C22" s="287">
        <f>'Nacionalidad-Alojamiento(datos)'!C22/'Nacionalidad-Alojamiento(datos)'!$C$33</f>
        <v>2.2517669367350455E-3</v>
      </c>
      <c r="D22" s="287">
        <f>'Nacionalidad-Alojamiento(datos)'!D22/'Nacionalidad-Alojamiento(datos)'!$D$33</f>
        <v>2.2517669367350455E-3</v>
      </c>
      <c r="E22" s="287">
        <f>'Nacionalidad-Alojamiento(datos)'!E22/'Nacionalidad-Alojamiento(datos)'!$E$33</f>
        <v>6.9067587567834242E-4</v>
      </c>
      <c r="F22" s="287">
        <f>'Nacionalidad-Alojamiento(datos)'!F22/'Nacionalidad-Alojamiento(datos)'!$F$33</f>
        <v>2.6049204052098407E-3</v>
      </c>
      <c r="G22" s="287">
        <f>'Nacionalidad-Alojamiento(datos)'!G22/'Nacionalidad-Alojamiento(datos)'!$G$33</f>
        <v>3.4872413908728162E-3</v>
      </c>
      <c r="H22" s="287">
        <f>'Nacionalidad-Alojamiento(datos)'!H22/'Nacionalidad-Alojamiento(datos)'!$H$33</f>
        <v>3.4872413908728162E-3</v>
      </c>
    </row>
    <row r="23" spans="2:10" ht="12.75">
      <c r="B23" s="271" t="s">
        <v>169</v>
      </c>
      <c r="C23" s="287">
        <f>'Nacionalidad-Alojamiento(datos)'!C23/'Nacionalidad-Alojamiento(datos)'!$C$33</f>
        <v>3.0490432684019998E-3</v>
      </c>
      <c r="D23" s="287">
        <f>'Nacionalidad-Alojamiento(datos)'!D23/'Nacionalidad-Alojamiento(datos)'!$D$33</f>
        <v>3.0490432684019998E-3</v>
      </c>
      <c r="E23" s="287">
        <f>'Nacionalidad-Alojamiento(datos)'!E23/'Nacionalidad-Alojamiento(datos)'!$E$33</f>
        <v>3.9467192895905278E-4</v>
      </c>
      <c r="F23" s="287">
        <f>'Nacionalidad-Alojamiento(datos)'!F23/'Nacionalidad-Alojamiento(datos)'!$F$33</f>
        <v>2.0622286541244574E-3</v>
      </c>
      <c r="G23" s="287">
        <f>'Nacionalidad-Alojamiento(datos)'!G23/'Nacionalidad-Alojamiento(datos)'!$G$33</f>
        <v>6.8403581128659088E-3</v>
      </c>
      <c r="H23" s="287">
        <f>'Nacionalidad-Alojamiento(datos)'!H23/'Nacionalidad-Alojamiento(datos)'!$H$33</f>
        <v>6.8403581128659088E-3</v>
      </c>
    </row>
    <row r="24" spans="2:10" ht="12.75">
      <c r="B24" s="268" t="s">
        <v>170</v>
      </c>
      <c r="C24" s="287">
        <f>'Nacionalidad-Alojamiento(datos)'!C24/'Nacionalidad-Alojamiento(datos)'!$C$33</f>
        <v>3.3291673849336323E-3</v>
      </c>
      <c r="D24" s="287">
        <f>'Nacionalidad-Alojamiento(datos)'!D24/'Nacionalidad-Alojamiento(datos)'!$D$33</f>
        <v>3.3291673849336323E-3</v>
      </c>
      <c r="E24" s="287">
        <f>'Nacionalidad-Alojamiento(datos)'!E24/'Nacionalidad-Alojamiento(datos)'!$E$33</f>
        <v>1.8418023351422464E-3</v>
      </c>
      <c r="F24" s="287">
        <f>'Nacionalidad-Alojamiento(datos)'!F24/'Nacionalidad-Alojamiento(datos)'!$F$33</f>
        <v>3.8712011577424024E-3</v>
      </c>
      <c r="G24" s="287">
        <f>'Nacionalidad-Alojamiento(datos)'!G24/'Nacionalidad-Alojamiento(datos)'!$G$33</f>
        <v>3.9566777319518494E-3</v>
      </c>
      <c r="H24" s="287">
        <f>'Nacionalidad-Alojamiento(datos)'!H24/'Nacionalidad-Alojamiento(datos)'!$H$33</f>
        <v>3.9566777319518494E-3</v>
      </c>
    </row>
    <row r="25" spans="2:10" ht="12.75">
      <c r="B25" s="268" t="s">
        <v>171</v>
      </c>
      <c r="C25" s="287">
        <f>'Nacionalidad-Alojamiento(datos)'!C25/'Nacionalidad-Alojamiento(datos)'!$C$33</f>
        <v>2.1655749008791586E-3</v>
      </c>
      <c r="D25" s="287">
        <f>'Nacionalidad-Alojamiento(datos)'!D25/'Nacionalidad-Alojamiento(datos)'!$D$33</f>
        <v>2.1655749008791586E-3</v>
      </c>
      <c r="E25" s="287">
        <f>'Nacionalidad-Alojamiento(datos)'!E25/'Nacionalidad-Alojamiento(datos)'!$E$33</f>
        <v>1.3813517513566848E-3</v>
      </c>
      <c r="F25" s="287">
        <f>'Nacionalidad-Alojamiento(datos)'!F25/'Nacionalidad-Alojamiento(datos)'!$F$33</f>
        <v>2.1345875542691751E-3</v>
      </c>
      <c r="G25" s="287">
        <f>'Nacionalidad-Alojamiento(datos)'!G25/'Nacionalidad-Alojamiento(datos)'!$G$33</f>
        <v>2.7495557120343359E-3</v>
      </c>
      <c r="H25" s="287">
        <f>'Nacionalidad-Alojamiento(datos)'!H25/'Nacionalidad-Alojamiento(datos)'!$H$33</f>
        <v>2.7495557120343359E-3</v>
      </c>
    </row>
    <row r="26" spans="2:10" ht="12.75">
      <c r="B26" s="268" t="s">
        <v>172</v>
      </c>
      <c r="C26" s="287">
        <f>'Nacionalidad-Alojamiento(datos)'!C26/'Nacionalidad-Alojamiento(datos)'!$C$33</f>
        <v>2.6611791070505087E-3</v>
      </c>
      <c r="D26" s="287">
        <f>'Nacionalidad-Alojamiento(datos)'!D26/'Nacionalidad-Alojamiento(datos)'!$D$33</f>
        <v>2.6611791070505087E-3</v>
      </c>
      <c r="E26" s="287">
        <f>'Nacionalidad-Alojamiento(datos)'!E26/'Nacionalidad-Alojamiento(datos)'!$E$33</f>
        <v>1.315573096530176E-3</v>
      </c>
      <c r="F26" s="287">
        <f>'Nacionalidad-Alojamiento(datos)'!F26/'Nacionalidad-Alojamiento(datos)'!$F$33</f>
        <v>4.2691751085383502E-3</v>
      </c>
      <c r="G26" s="287">
        <f>'Nacionalidad-Alojamiento(datos)'!G26/'Nacionalidad-Alojamiento(datos)'!$G$33</f>
        <v>2.4477752070549575E-3</v>
      </c>
      <c r="H26" s="287">
        <f>'Nacionalidad-Alojamiento(datos)'!H26/'Nacionalidad-Alojamiento(datos)'!$H$33</f>
        <v>2.4477752070549575E-3</v>
      </c>
    </row>
    <row r="27" spans="2:10" ht="12.75">
      <c r="B27" s="272" t="s">
        <v>173</v>
      </c>
      <c r="C27" s="287">
        <f>'Nacionalidad-Alojamiento(datos)'!C27/'Nacionalidad-Alojamiento(datos)'!$C$33</f>
        <v>5.0422340975693845E-3</v>
      </c>
      <c r="D27" s="287">
        <f>'Nacionalidad-Alojamiento(datos)'!D27/'Nacionalidad-Alojamiento(datos)'!$D$33</f>
        <v>5.0422340975693845E-3</v>
      </c>
      <c r="E27" s="287">
        <f>'Nacionalidad-Alojamiento(datos)'!E27/'Nacionalidad-Alojamiento(datos)'!$E$33</f>
        <v>8.2223318533135997E-4</v>
      </c>
      <c r="F27" s="287">
        <f>'Nacionalidad-Alojamiento(datos)'!F27/'Nacionalidad-Alojamiento(datos)'!$F$33</f>
        <v>5.1013024602026046E-3</v>
      </c>
      <c r="G27" s="287">
        <f>'Nacionalidad-Alojamiento(datos)'!G27/'Nacionalidad-Alojamiento(datos)'!$G$33</f>
        <v>7.0415451161854941E-3</v>
      </c>
      <c r="H27" s="287">
        <f>'Nacionalidad-Alojamiento(datos)'!H27/'Nacionalidad-Alojamiento(datos)'!$H$33</f>
        <v>7.0415451161854941E-3</v>
      </c>
    </row>
    <row r="28" spans="2:10" ht="12.75">
      <c r="B28" s="272" t="s">
        <v>174</v>
      </c>
      <c r="C28" s="287">
        <f>'Nacionalidad-Alojamiento(datos)'!C28/'Nacionalidad-Alojamiento(datos)'!$C$33</f>
        <v>1.060162041027409E-2</v>
      </c>
      <c r="D28" s="287">
        <f>'Nacionalidad-Alojamiento(datos)'!D28/'Nacionalidad-Alojamiento(datos)'!$D$33</f>
        <v>1.060162041027409E-2</v>
      </c>
      <c r="E28" s="287">
        <f>'Nacionalidad-Alojamiento(datos)'!E28/'Nacionalidad-Alojamiento(datos)'!$E$33</f>
        <v>3.8151619799375101E-3</v>
      </c>
      <c r="F28" s="287">
        <f>'Nacionalidad-Alojamiento(datos)'!F28/'Nacionalidad-Alojamiento(datos)'!$F$33</f>
        <v>1.7076700434153401E-2</v>
      </c>
      <c r="G28" s="287">
        <f>'Nacionalidad-Alojamiento(datos)'!G28/'Nacionalidad-Alojamiento(datos)'!$G$33</f>
        <v>1.0629380008718103E-2</v>
      </c>
      <c r="H28" s="287">
        <f>'Nacionalidad-Alojamiento(datos)'!H28/'Nacionalidad-Alojamiento(datos)'!$H$33</f>
        <v>1.0629380008718103E-2</v>
      </c>
    </row>
    <row r="29" spans="2:10" ht="12.75">
      <c r="B29" s="272" t="s">
        <v>175</v>
      </c>
      <c r="C29" s="287">
        <f>'Nacionalidad-Alojamiento(datos)'!C29/'Nacionalidad-Alojamiento(datos)'!$C$33</f>
        <v>8.4683675228408896E-3</v>
      </c>
      <c r="D29" s="287">
        <f>'Nacionalidad-Alojamiento(datos)'!D29/'Nacionalidad-Alojamiento(datos)'!$D$33</f>
        <v>8.4683675228408896E-3</v>
      </c>
      <c r="E29" s="287">
        <f>'Nacionalidad-Alojamiento(datos)'!E29/'Nacionalidad-Alojamiento(datos)'!$E$33</f>
        <v>4.7360631475086333E-3</v>
      </c>
      <c r="F29" s="287">
        <f>'Nacionalidad-Alojamiento(datos)'!F29/'Nacionalidad-Alojamiento(datos)'!$F$33</f>
        <v>1.2988422575976846E-2</v>
      </c>
      <c r="G29" s="287">
        <f>'Nacionalidad-Alojamiento(datos)'!G29/'Nacionalidad-Alojamiento(datos)'!$G$33</f>
        <v>8.5169164738624556E-3</v>
      </c>
      <c r="H29" s="287">
        <f>'Nacionalidad-Alojamiento(datos)'!H29/'Nacionalidad-Alojamiento(datos)'!$H$33</f>
        <v>8.5169164738624556E-3</v>
      </c>
    </row>
    <row r="30" spans="2:10" ht="12.75">
      <c r="B30" s="272" t="s">
        <v>176</v>
      </c>
      <c r="C30" s="287">
        <f>'Nacionalidad-Alojamiento(datos)'!C30/'Nacionalidad-Alojamiento(datos)'!$C$33</f>
        <v>2.9531546285123254E-2</v>
      </c>
      <c r="D30" s="287">
        <f>'Nacionalidad-Alojamiento(datos)'!D30/'Nacionalidad-Alojamiento(datos)'!$D$33</f>
        <v>2.9531546285123254E-2</v>
      </c>
      <c r="E30" s="287">
        <f>'Nacionalidad-Alojamiento(datos)'!E30/'Nacionalidad-Alojamiento(datos)'!$E$33</f>
        <v>5.7885216247327738E-3</v>
      </c>
      <c r="F30" s="287">
        <f>'Nacionalidad-Alojamiento(datos)'!F30/'Nacionalidad-Alojamiento(datos)'!$F$33</f>
        <v>4.7033285094066568E-2</v>
      </c>
      <c r="G30" s="287">
        <f>'Nacionalidad-Alojamiento(datos)'!G30/'Nacionalidad-Alojamiento(datos)'!$G$33</f>
        <v>3.4838882741508231E-2</v>
      </c>
      <c r="H30" s="287">
        <f>'Nacionalidad-Alojamiento(datos)'!H30/'Nacionalidad-Alojamiento(datos)'!$H$33</f>
        <v>3.4838882741508231E-2</v>
      </c>
      <c r="I30" s="273"/>
      <c r="J30" s="273"/>
    </row>
    <row r="31" spans="2:10" ht="12.75">
      <c r="B31" s="272" t="s">
        <v>177</v>
      </c>
      <c r="C31" s="287">
        <f>'Nacionalidad-Alojamiento(datos)'!C31/'Nacionalidad-Alojamiento(datos)'!$C$33</f>
        <v>2.3196431649715566E-2</v>
      </c>
      <c r="D31" s="287">
        <f>'Nacionalidad-Alojamiento(datos)'!D31/'Nacionalidad-Alojamiento(datos)'!$D$33</f>
        <v>2.3196431649715566E-2</v>
      </c>
      <c r="E31" s="287">
        <f>'Nacionalidad-Alojamiento(datos)'!E31/'Nacionalidad-Alojamiento(datos)'!$E$33</f>
        <v>1.0261470152935373E-2</v>
      </c>
      <c r="F31" s="287">
        <f>'Nacionalidad-Alojamiento(datos)'!F31/'Nacionalidad-Alojamiento(datos)'!$F$33</f>
        <v>3.3321273516642547E-2</v>
      </c>
      <c r="G31" s="287">
        <f>'Nacionalidad-Alojamiento(datos)'!G31/'Nacionalidad-Alojamiento(datos)'!$G$33</f>
        <v>2.3170036548972268E-2</v>
      </c>
      <c r="H31" s="287">
        <f>'Nacionalidad-Alojamiento(datos)'!H31/'Nacionalidad-Alojamiento(datos)'!$H$33</f>
        <v>2.3170036548972268E-2</v>
      </c>
    </row>
    <row r="32" spans="2:10" s="276" customFormat="1" ht="12.75">
      <c r="B32" s="274" t="s">
        <v>178</v>
      </c>
      <c r="C32" s="288">
        <f>'Nacionalidad-Alojamiento(datos)'!C32/'Nacionalidad-Alojamiento(datos)'!$C$33</f>
        <v>0.17715695569729356</v>
      </c>
      <c r="D32" s="288">
        <f>'Nacionalidad-Alojamiento(datos)'!D32/'Nacionalidad-Alojamiento(datos)'!$D$33</f>
        <v>0.17715695569729356</v>
      </c>
      <c r="E32" s="288">
        <f>'Nacionalidad-Alojamiento(datos)'!E32/'Nacionalidad-Alojamiento(datos)'!$E$33</f>
        <v>8.1368196020391387E-2</v>
      </c>
      <c r="F32" s="288">
        <f>'Nacionalidad-Alojamiento(datos)'!F32/'Nacionalidad-Alojamiento(datos)'!$F$33</f>
        <v>0.2081765557163531</v>
      </c>
      <c r="G32" s="288">
        <f>'Nacionalidad-Alojamiento(datos)'!G32/'Nacionalidad-Alojamiento(datos)'!$G$33</f>
        <v>0.2156724675585957</v>
      </c>
      <c r="H32" s="288">
        <f>'Nacionalidad-Alojamiento(datos)'!H32/'Nacionalidad-Alojamiento(datos)'!$H$33</f>
        <v>0.2156724675585957</v>
      </c>
      <c r="I32" s="259"/>
    </row>
    <row r="33" spans="2:8" ht="12.75">
      <c r="B33" s="277" t="s">
        <v>105</v>
      </c>
      <c r="C33" s="289">
        <f>'Nacionalidad-Alojamiento(datos)'!C33/'Nacionalidad-Alojamiento(datos)'!$C$33</f>
        <v>1</v>
      </c>
      <c r="D33" s="289">
        <f>'Nacionalidad-Alojamiento(datos)'!D33/'Nacionalidad-Alojamiento(datos)'!$D$33</f>
        <v>1</v>
      </c>
      <c r="E33" s="289">
        <f>'Nacionalidad-Alojamiento(datos)'!E33/'Nacionalidad-Alojamiento(datos)'!$E$33</f>
        <v>1</v>
      </c>
      <c r="F33" s="289">
        <f>'Nacionalidad-Alojamiento(datos)'!F33/'Nacionalidad-Alojamiento(datos)'!$F$33</f>
        <v>1</v>
      </c>
      <c r="G33" s="289">
        <f>'Nacionalidad-Alojamiento(datos)'!G33/'Nacionalidad-Alojamiento(datos)'!$G$33</f>
        <v>1</v>
      </c>
      <c r="H33" s="289">
        <f>'Nacionalidad-Alojamiento(datos)'!H33/'Nacionalidad-Alojamiento(datos)'!$H$33</f>
        <v>1</v>
      </c>
    </row>
    <row r="34" spans="2:8">
      <c r="B34" s="279" t="s">
        <v>90</v>
      </c>
      <c r="C34" s="280"/>
      <c r="D34" s="280"/>
      <c r="E34" s="280"/>
      <c r="F34" s="280"/>
      <c r="G34" s="280"/>
      <c r="H34" s="281"/>
    </row>
  </sheetData>
  <mergeCells count="6">
    <mergeCell ref="B7:H7"/>
    <mergeCell ref="B8:H8"/>
    <mergeCell ref="B9:B10"/>
    <mergeCell ref="C9:C10"/>
    <mergeCell ref="D9:H9"/>
    <mergeCell ref="B34:H3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71"/>
  <sheetViews>
    <sheetView showGridLines="0" showRowColHeaders="0" zoomScaleNormal="100" workbookViewId="0">
      <pane xSplit="2" ySplit="15" topLeftCell="C16" activePane="bottomRight" state="frozen"/>
      <selection activeCell="I13" sqref="I13"/>
      <selection pane="topRight" activeCell="I13" sqref="I13"/>
      <selection pane="bottomLeft" activeCell="I13" sqref="I13"/>
      <selection pane="bottomRight" activeCell="I13" sqref="I13"/>
    </sheetView>
  </sheetViews>
  <sheetFormatPr baseColWidth="10" defaultColWidth="15.85546875" defaultRowHeight="15" outlineLevelRow="1"/>
  <cols>
    <col min="1" max="1" width="15.85546875" style="194"/>
    <col min="2" max="2" width="15.5703125" style="194" customWidth="1"/>
    <col min="3" max="25" width="9.85546875" customWidth="1"/>
    <col min="27" max="16384" width="15.85546875" style="194"/>
  </cols>
  <sheetData>
    <row r="5" spans="2:26" ht="15.75" customHeight="1">
      <c r="B5" s="290" t="s">
        <v>194</v>
      </c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</row>
    <row r="6" spans="2:26" s="201" customFormat="1" ht="25.5">
      <c r="B6" s="195" t="s">
        <v>155</v>
      </c>
      <c r="C6" s="196" t="s">
        <v>156</v>
      </c>
      <c r="D6" s="196" t="s">
        <v>158</v>
      </c>
      <c r="E6" s="196" t="s">
        <v>159</v>
      </c>
      <c r="F6" s="196" t="s">
        <v>160</v>
      </c>
      <c r="G6" s="197" t="s">
        <v>161</v>
      </c>
      <c r="H6" s="197" t="s">
        <v>162</v>
      </c>
      <c r="I6" s="197" t="s">
        <v>163</v>
      </c>
      <c r="J6" s="197" t="s">
        <v>164</v>
      </c>
      <c r="K6" s="196" t="s">
        <v>165</v>
      </c>
      <c r="L6" s="198" t="s">
        <v>166</v>
      </c>
      <c r="M6" s="198" t="s">
        <v>167</v>
      </c>
      <c r="N6" s="198" t="s">
        <v>168</v>
      </c>
      <c r="O6" s="198" t="s">
        <v>169</v>
      </c>
      <c r="P6" s="196" t="s">
        <v>170</v>
      </c>
      <c r="Q6" s="196" t="s">
        <v>171</v>
      </c>
      <c r="R6" s="196" t="s">
        <v>172</v>
      </c>
      <c r="S6" s="199" t="s">
        <v>173</v>
      </c>
      <c r="T6" s="199" t="s">
        <v>174</v>
      </c>
      <c r="U6" s="199" t="s">
        <v>175</v>
      </c>
      <c r="V6" s="199" t="s">
        <v>176</v>
      </c>
      <c r="W6" s="199" t="s">
        <v>177</v>
      </c>
      <c r="X6" s="199" t="s">
        <v>178</v>
      </c>
      <c r="Y6" s="195" t="s">
        <v>105</v>
      </c>
      <c r="Z6"/>
    </row>
    <row r="7" spans="2:26" hidden="1">
      <c r="B7" s="51" t="s">
        <v>38</v>
      </c>
      <c r="C7" s="203" t="e">
        <f>GETPIVOTDATA("dato",'[1]evolucion mensual nacionali'!$A$4,"indicador","España","mes",12,"año",2010)/GETPIVOTDATA("dato",'[1]evolucion mensual nacionali'!$A$4,"indicador","TOTAL","mes",12,"año",2010)</f>
        <v>#REF!</v>
      </c>
      <c r="D7" s="203" t="e">
        <f>GETPIVOTDATA("dato",'[1]evolucion mensual nacionali'!$A$4,"indicador","HOLANDA","mes",12,"año",2010)/GETPIVOTDATA("dato",'[1]evolucion mensual nacionali'!$A$4,"indicador","TOTAL","mes",12,"año",2010)</f>
        <v>#REF!</v>
      </c>
      <c r="E7" s="203" t="e">
        <f>GETPIVOTDATA("dato",'[1]evolucion mensual nacionali'!$A$4,"indicador","BÉLGICA","mes",12,"año",2010)/GETPIVOTDATA("dato",'[1]evolucion mensual nacionali'!$A$4,"indicador","TOTAL","mes",12,"año",2010)</f>
        <v>#REF!</v>
      </c>
      <c r="F7" s="203" t="e">
        <f>GETPIVOTDATA("dato",'[1]evolucion mensual nacionali'!$A$4,"indicador","ALEMANIA","mes",12,"año",2010)/GETPIVOTDATA("dato",'[1]evolucion mensual nacionali'!$A$4,"indicador","TOTAL","mes",12,"año",2010)</f>
        <v>#REF!</v>
      </c>
      <c r="G7" s="203" t="e">
        <f>GETPIVOTDATA("dato",'[1]evolucion mensual nacionali'!$A$4,"indicador","FRANCIA","mes",12,"año",2010)/GETPIVOTDATA("dato",'[1]evolucion mensual nacionali'!$A$4,"indicador","TOTAL","mes",12,"año",2010)</f>
        <v>#REF!</v>
      </c>
      <c r="H7" s="203" t="e">
        <f>GETPIVOTDATA("dato",'[1]evolucion mensual nacionali'!$A$4,"indicador","REINO UNIDO","mes",12,"año",2010)/GETPIVOTDATA("dato",'[1]evolucion mensual nacionali'!$A$4,"indicador","TOTAL","mes",12,"año",2010)</f>
        <v>#REF!</v>
      </c>
      <c r="I7" s="203" t="e">
        <f>GETPIVOTDATA("dato",'[1]evolucion mensual nacionali'!$A$4,"indicador","IRLANDA","mes",12,"año",2010)/GETPIVOTDATA("dato",'[1]evolucion mensual nacionali'!$A$4,"indicador","TOTAL","mes",12,"año",2010)</f>
        <v>#REF!</v>
      </c>
      <c r="J7" s="203" t="e">
        <f>GETPIVOTDATA("dato",'[1]evolucion mensual nacionali'!$A$4,"indicador","ITALIA","mes",12,"año",2010)/GETPIVOTDATA("dato",'[1]evolucion mensual nacionali'!$A$4,"indicador","TOTAL","mes",12,"año",2010)</f>
        <v>#REF!</v>
      </c>
      <c r="K7" s="203" t="e">
        <f>(GETPIVOTDATA("dato",'[1]evolucion mensual nacionali'!$A$4,"indicador","SUECIA","mes",12,"año",2010)+GETPIVOTDATA("dato",'[1]evolucion mensual nacionali'!$A$4,"indicador","NORUEGA","mes",12,"año",2010)+GETPIVOTDATA("dato",'[1]evolucion mensual nacionali'!$A$4,"indicador","DINAMARCA","mes",12,"año",2010)+GETPIVOTDATA("dato",'[1]evolucion mensual nacionali'!$A$4,"indicador","FINLANDIA","mes",12,"año",2010))/GETPIVOTDATA("dato",'[1]evolucion mensual nacionali'!$A$4,"indicador","TOTAL","mes",12,"año",2010)</f>
        <v>#REF!</v>
      </c>
      <c r="L7" s="203" t="e">
        <f>GETPIVOTDATA("dato",'[1]evolucion mensual nacionali'!$A$4,"indicador","SUECIA","mes",12,"año",2010)/GETPIVOTDATA("dato",'[1]evolucion mensual nacionali'!$A$4,"indicador","TOTAL","mes",12,"año",2010)</f>
        <v>#REF!</v>
      </c>
      <c r="M7" s="203" t="e">
        <f>GETPIVOTDATA("dato",'[1]evolucion mensual nacionali'!$A$4,"indicador","NORUEGA","mes",12,"año",2010)/GETPIVOTDATA("dato",'[1]evolucion mensual nacionali'!$A$4,"indicador","TOTAL","mes",12,"año",2010)</f>
        <v>#REF!</v>
      </c>
      <c r="N7" s="203" t="e">
        <f>GETPIVOTDATA("dato",'[1]evolucion mensual nacionali'!$A$4,"indicador","DINAMARCA","mes",12,"año",2010)/GETPIVOTDATA("dato",'[1]evolucion mensual nacionali'!$A$4,"indicador","TOTAL","mes",12,"año",2010)</f>
        <v>#REF!</v>
      </c>
      <c r="O7" s="203" t="e">
        <f>GETPIVOTDATA("dato",'[1]evolucion mensual nacionali'!$A$4,"indicador","FINLANDIA","mes",12,"año",2010)/GETPIVOTDATA("dato",'[1]evolucion mensual nacionali'!$A$4,"indicador","TOTAL","mes",12,"año",2010)</f>
        <v>#REF!</v>
      </c>
      <c r="P7" s="203" t="e">
        <f>GETPIVOTDATA("dato",'[1]evolucion mensual nacionali'!$A$4,"indicador","SUIZA","mes",12,"año",2010)/GETPIVOTDATA("dato",'[1]evolucion mensual nacionali'!$A$4,"indicador","TOTAL","mes",12,"año",2010)</f>
        <v>#REF!</v>
      </c>
      <c r="Q7" s="203" t="e">
        <f>GETPIVOTDATA("dato",'[1]evolucion mensual nacionali'!$A$4,"indicador","AUSTRIA","mes",12,"año",2010)/GETPIVOTDATA("dato",'[1]evolucion mensual nacionali'!$A$4,"indicador","TOTAL","mes",12,"año",2010)</f>
        <v>#REF!</v>
      </c>
      <c r="R7" s="203" t="e">
        <f>GETPIVOTDATA("dato",'[1]evolucion mensual nacionali'!$A$4,"indicador","RUSIA","mes",12,"año",2010)/GETPIVOTDATA("dato",'[1]evolucion mensual nacionali'!$A$4,"indicador","TOTAL","mes",12,"año",2010)</f>
        <v>#REF!</v>
      </c>
      <c r="S7" s="203" t="e">
        <f>GETPIVOTDATA("dato",'[1]evolucion mensual nacionali'!$A$4,"indicador","PAÍSES DEL ESTE","mes",12,"año",2010)/GETPIVOTDATA("dato",'[1]evolucion mensual nacionali'!$A$4,"indicador","TOTAL","mes",12,"año",2010)</f>
        <v>#REF!</v>
      </c>
      <c r="T7" s="203" t="e">
        <f>GETPIVOTDATA("dato",'[1]evolucion mensual nacionali'!$A$4,"indicador","RESTO DE EUROPA","mes",12,"año",2010)/GETPIVOTDATA("dato",'[1]evolucion mensual nacionali'!$A$4,"indicador","TOTAL","mes",12,"año",2010)</f>
        <v>#REF!</v>
      </c>
      <c r="U7" s="203" t="e">
        <f>GETPIVOTDATA("dato",'[1]evolucion mensual nacionali'!$A$4,"indicador","USA","mes",12,"año",2010)/GETPIVOTDATA("dato",'[1]evolucion mensual nacionali'!$A$4,"indicador","TOTAL","mes",12,"año",2010)</f>
        <v>#REF!</v>
      </c>
      <c r="V7" s="203" t="e">
        <f>GETPIVOTDATA("dato",'[1]evolucion mensual nacionali'!$A$4,"indicador","RESTO DE AMÉRICA","mes",12,"año",2010)/GETPIVOTDATA("dato",'[1]evolucion mensual nacionali'!$A$4,"indicador","TOTAL","mes",12,"año",2010)</f>
        <v>#REF!</v>
      </c>
      <c r="W7" s="203" t="e">
        <f>GETPIVOTDATA("dato",'[1]evolucion mensual nacionali'!$A$4,"indicador","RESTO DEL MUNDO","mes",12,"año",2010)/GETPIVOTDATA("dato",'[1]evolucion mensual nacionali'!$A$4,"indicador","TOTAL","mes",12,"año",2010)</f>
        <v>#REF!</v>
      </c>
      <c r="X7" s="203" t="e">
        <f>(GETPIVOTDATA("dato",'[1]evolucion mensual nacionali'!$A$4,"indicador","TOTAL","mes",12,"año",2010)-GETPIVOTDATA("dato",'[1]evolucion mensual nacionali'!$A$4,"indicador","España","mes",12,"año",2010))/GETPIVOTDATA("dato",'[1]evolucion mensual nacionali'!$A$4,"indicador","TOTAL","mes",12,"año",2010)</f>
        <v>#REF!</v>
      </c>
      <c r="Y7" s="205" t="e">
        <f>GETPIVOTDATA("dato",'[1]evolucion mensual nacionali'!$A$4,"indicador","TOTAL","mes",12,"año",2010)/GETPIVOTDATA("dato",'[1]evolucion mensual nacionali'!$A$4,"indicador","TOTAL","mes",12,"año",2010)</f>
        <v>#REF!</v>
      </c>
    </row>
    <row r="8" spans="2:26" hidden="1">
      <c r="B8" s="51" t="s">
        <v>39</v>
      </c>
      <c r="C8" s="203" t="e">
        <f>GETPIVOTDATA("dato",'[1]evolucion mensual nacionali'!$A$4,"indicador","España","mes",11,"año",2010)/GETPIVOTDATA("dato",'[1]evolucion mensual nacionali'!$A$4,"indicador","TOTAL","mes",11,"año",2010)</f>
        <v>#REF!</v>
      </c>
      <c r="D8" s="203" t="e">
        <f>GETPIVOTDATA("dato",'[1]evolucion mensual nacionali'!$A$4,"indicador","HOLANDA","mes",11,"año",2010)/GETPIVOTDATA("dato",'[1]evolucion mensual nacionali'!$A$4,"indicador","TOTAL","mes",11,"año",2010)</f>
        <v>#REF!</v>
      </c>
      <c r="E8" s="203" t="e">
        <f>GETPIVOTDATA("dato",'[1]evolucion mensual nacionali'!$A$4,"indicador","BÉLGICA","mes",11,"año",2010)/GETPIVOTDATA("dato",'[1]evolucion mensual nacionali'!$A$4,"indicador","TOTAL","mes",11,"año",2010)</f>
        <v>#REF!</v>
      </c>
      <c r="F8" s="203" t="e">
        <f>GETPIVOTDATA("dato",'[1]evolucion mensual nacionali'!$A$4,"indicador","ALEMANIA","mes",11,"año",2010)/GETPIVOTDATA("dato",'[1]evolucion mensual nacionali'!$A$4,"indicador","TOTAL","mes",11,"año",2010)</f>
        <v>#REF!</v>
      </c>
      <c r="G8" s="203" t="e">
        <f>GETPIVOTDATA("dato",'[1]evolucion mensual nacionali'!$A$4,"indicador","FRANCIA","mes",11,"año",2010)/GETPIVOTDATA("dato",'[1]evolucion mensual nacionali'!$A$4,"indicador","TOTAL","mes",11,"año",2010)</f>
        <v>#REF!</v>
      </c>
      <c r="H8" s="203" t="e">
        <f>GETPIVOTDATA("dato",'[1]evolucion mensual nacionali'!$A$4,"indicador","REINO UNIDO","mes",11,"año",2010)/GETPIVOTDATA("dato",'[1]evolucion mensual nacionali'!$A$4,"indicador","TOTAL","mes",11,"año",2010)</f>
        <v>#REF!</v>
      </c>
      <c r="I8" s="203" t="e">
        <f>GETPIVOTDATA("dato",'[1]evolucion mensual nacionali'!$A$4,"indicador","IRLANDA","mes",11,"año",2010)/GETPIVOTDATA("dato",'[1]evolucion mensual nacionali'!$A$4,"indicador","TOTAL","mes",11,"año",2010)</f>
        <v>#REF!</v>
      </c>
      <c r="J8" s="203" t="e">
        <f>GETPIVOTDATA("dato",'[1]evolucion mensual nacionali'!$A$4,"indicador","ITALIA","mes",11,"año",2010)/GETPIVOTDATA("dato",'[1]evolucion mensual nacionali'!$A$4,"indicador","TOTAL","mes",11,"año",2010)</f>
        <v>#REF!</v>
      </c>
      <c r="K8" s="203" t="e">
        <f>(GETPIVOTDATA("dato",'[1]evolucion mensual nacionali'!$A$4,"indicador","SUECIA","mes",11,"año",2010)+GETPIVOTDATA("dato",'[1]evolucion mensual nacionali'!$A$4,"indicador","NORUEGA","mes",11,"año",2010)+GETPIVOTDATA("dato",'[1]evolucion mensual nacionali'!$A$4,"indicador","DINAMARCA","mes",11,"año",2010)+GETPIVOTDATA("dato",'[1]evolucion mensual nacionali'!$A$4,"indicador","FINLANDIA","mes",11,"año",2010))/GETPIVOTDATA("dato",'[1]evolucion mensual nacionali'!$A$4,"indicador","TOTAL","mes",11,"año",2010)</f>
        <v>#REF!</v>
      </c>
      <c r="L8" s="203" t="e">
        <f>GETPIVOTDATA("dato",'[1]evolucion mensual nacionali'!$A$4,"indicador","SUECIA","mes",11,"año",2010)/GETPIVOTDATA("dato",'[1]evolucion mensual nacionali'!$A$4,"indicador","TOTAL","mes",11,"año",2010)</f>
        <v>#REF!</v>
      </c>
      <c r="M8" s="203" t="e">
        <f>GETPIVOTDATA("dato",'[1]evolucion mensual nacionali'!$A$4,"indicador","NORUEGA","mes",11,"año",2010)/GETPIVOTDATA("dato",'[1]evolucion mensual nacionali'!$A$4,"indicador","TOTAL","mes",11,"año",2010)</f>
        <v>#REF!</v>
      </c>
      <c r="N8" s="203" t="e">
        <f>GETPIVOTDATA("dato",'[1]evolucion mensual nacionali'!$A$4,"indicador","DINAMARCA","mes",11,"año",2010)/GETPIVOTDATA("dato",'[1]evolucion mensual nacionali'!$A$4,"indicador","TOTAL","mes",11,"año",2010)</f>
        <v>#REF!</v>
      </c>
      <c r="O8" s="203" t="e">
        <f>GETPIVOTDATA("dato",'[1]evolucion mensual nacionali'!$A$4,"indicador","FINLANDIA","mes",11,"año",2010)/GETPIVOTDATA("dato",'[1]evolucion mensual nacionali'!$A$4,"indicador","TOTAL","mes",11,"año",2010)</f>
        <v>#REF!</v>
      </c>
      <c r="P8" s="203" t="e">
        <f>GETPIVOTDATA("dato",'[1]evolucion mensual nacionali'!$A$4,"indicador","SUIZA","mes",11,"año",2010)/GETPIVOTDATA("dato",'[1]evolucion mensual nacionali'!$A$4,"indicador","TOTAL","mes",11,"año",2010)</f>
        <v>#REF!</v>
      </c>
      <c r="Q8" s="203" t="e">
        <f>GETPIVOTDATA("dato",'[1]evolucion mensual nacionali'!$A$4,"indicador","AUSTRIA","mes",11,"año",2010)/GETPIVOTDATA("dato",'[1]evolucion mensual nacionali'!$A$4,"indicador","TOTAL","mes",11,"año",2010)</f>
        <v>#REF!</v>
      </c>
      <c r="R8" s="203" t="e">
        <f>GETPIVOTDATA("dato",'[1]evolucion mensual nacionali'!$A$4,"indicador","RUSIA","mes",11,"año",2010)/GETPIVOTDATA("dato",'[1]evolucion mensual nacionali'!$A$4,"indicador","TOTAL","mes",11,"año",2010)</f>
        <v>#REF!</v>
      </c>
      <c r="S8" s="203" t="e">
        <f>GETPIVOTDATA("dato",'[1]evolucion mensual nacionali'!$A$4,"indicador","PAÍSES DEL ESTE","mes",11,"año",2010)/GETPIVOTDATA("dato",'[1]evolucion mensual nacionali'!$A$4,"indicador","TOTAL","mes",11,"año",2010)</f>
        <v>#REF!</v>
      </c>
      <c r="T8" s="203" t="e">
        <f>GETPIVOTDATA("dato",'[1]evolucion mensual nacionali'!$A$4,"indicador","RESTO DE EUROPA","mes",11,"año",2010)/GETPIVOTDATA("dato",'[1]evolucion mensual nacionali'!$A$4,"indicador","TOTAL","mes",11,"año",2010)</f>
        <v>#REF!</v>
      </c>
      <c r="U8" s="203" t="e">
        <f>GETPIVOTDATA("dato",'[1]evolucion mensual nacionali'!$A$4,"indicador","USA","mes",11,"año",2010)/GETPIVOTDATA("dato",'[1]evolucion mensual nacionali'!$A$4,"indicador","TOTAL","mes",11,"año",2010)</f>
        <v>#REF!</v>
      </c>
      <c r="V8" s="203" t="e">
        <f>GETPIVOTDATA("dato",'[1]evolucion mensual nacionali'!$A$4,"indicador","RESTO DE AMÉRICA","mes",11,"año",2010)/GETPIVOTDATA("dato",'[1]evolucion mensual nacionali'!$A$4,"indicador","TOTAL","mes",11,"año",2010)</f>
        <v>#REF!</v>
      </c>
      <c r="W8" s="203" t="e">
        <f>GETPIVOTDATA("dato",'[1]evolucion mensual nacionali'!$A$4,"indicador","RESTO DEL MUNDO","mes",11,"año",2010)/GETPIVOTDATA("dato",'[1]evolucion mensual nacionali'!$A$4,"indicador","TOTAL","mes",11,"año",2010)</f>
        <v>#REF!</v>
      </c>
      <c r="X8" s="203" t="e">
        <f>(GETPIVOTDATA("dato",'[1]evolucion mensual nacionali'!$A$4,"indicador","TOTAL","mes",11,"año",2010)-GETPIVOTDATA("dato",'[1]evolucion mensual nacionali'!$A$4,"indicador","España","mes",11,"año",2010))/GETPIVOTDATA("dato",'[1]evolucion mensual nacionali'!$A$4,"indicador","TOTAL","mes",11,"año",2010)</f>
        <v>#REF!</v>
      </c>
      <c r="Y8" s="205" t="e">
        <f>GETPIVOTDATA("dato",'[1]evolucion mensual nacionali'!$A$4,"indicador","TOTAL","mes",11,"año",2010)/GETPIVOTDATA("dato",'[1]evolucion mensual nacionali'!$A$4,"indicador","TOTAL","mes",11,"año",2010)</f>
        <v>#REF!</v>
      </c>
    </row>
    <row r="9" spans="2:26" hidden="1">
      <c r="B9" s="51" t="s">
        <v>40</v>
      </c>
      <c r="C9" s="203" t="e">
        <f>GETPIVOTDATA("dato",'[1]evolucion mensual nacionali'!$A$4,"indicador","España","mes",10,"año",2010)/GETPIVOTDATA("dato",'[1]evolucion mensual nacionali'!$A$4,"indicador","TOTAL","mes",10,"año",2010)</f>
        <v>#REF!</v>
      </c>
      <c r="D9" s="203" t="e">
        <f>GETPIVOTDATA("dato",'[1]evolucion mensual nacionali'!$A$4,"indicador","HOLANDA","mes",10,"año",2010)/GETPIVOTDATA("dato",'[1]evolucion mensual nacionali'!$A$4,"indicador","TOTAL","mes",10,"año",2010)</f>
        <v>#REF!</v>
      </c>
      <c r="E9" s="203" t="e">
        <f>GETPIVOTDATA("dato",'[1]evolucion mensual nacionali'!$A$4,"indicador","BÉLGICA","mes",10,"año",2010)/GETPIVOTDATA("dato",'[1]evolucion mensual nacionali'!$A$4,"indicador","TOTAL","mes",10,"año",2010)</f>
        <v>#REF!</v>
      </c>
      <c r="F9" s="203" t="e">
        <f>GETPIVOTDATA("dato",'[1]evolucion mensual nacionali'!$A$4,"indicador","ALEMANIA","mes",10,"año",2010)/GETPIVOTDATA("dato",'[1]evolucion mensual nacionali'!$A$4,"indicador","TOTAL","mes",10,"año",2010)</f>
        <v>#REF!</v>
      </c>
      <c r="G9" s="203" t="e">
        <f>GETPIVOTDATA("dato",'[1]evolucion mensual nacionali'!$A$4,"indicador","FRANCIA","mes",10,"año",2010)/GETPIVOTDATA("dato",'[1]evolucion mensual nacionali'!$A$4,"indicador","TOTAL","mes",10,"año",2010)</f>
        <v>#REF!</v>
      </c>
      <c r="H9" s="203" t="e">
        <f>GETPIVOTDATA("dato",'[1]evolucion mensual nacionali'!$A$4,"indicador","REINO UNIDO","mes",10,"año",2010)/GETPIVOTDATA("dato",'[1]evolucion mensual nacionali'!$A$4,"indicador","TOTAL","mes",10,"año",2010)</f>
        <v>#REF!</v>
      </c>
      <c r="I9" s="203" t="e">
        <f>GETPIVOTDATA("dato",'[1]evolucion mensual nacionali'!$A$4,"indicador","IRLANDA","mes",10,"año",2010)/GETPIVOTDATA("dato",'[1]evolucion mensual nacionali'!$A$4,"indicador","TOTAL","mes",10,"año",2010)</f>
        <v>#REF!</v>
      </c>
      <c r="J9" s="203" t="e">
        <f>GETPIVOTDATA("dato",'[1]evolucion mensual nacionali'!$A$4,"indicador","ITALIA","mes",10,"año",2010)/GETPIVOTDATA("dato",'[1]evolucion mensual nacionali'!$A$4,"indicador","TOTAL","mes",10,"año",2010)</f>
        <v>#REF!</v>
      </c>
      <c r="K9" s="203" t="e">
        <f>(GETPIVOTDATA("dato",'[1]evolucion mensual nacionali'!$A$4,"indicador","SUECIA","mes",10,"año",2010)+GETPIVOTDATA("dato",'[1]evolucion mensual nacionali'!$A$4,"indicador","NORUEGA","mes",10,"año",2010)+GETPIVOTDATA("dato",'[1]evolucion mensual nacionali'!$A$4,"indicador","DINAMARCA","mes",10,"año",2010)+GETPIVOTDATA("dato",'[1]evolucion mensual nacionali'!$A$4,"indicador","FINLANDIA","mes",10,"año",2010))/GETPIVOTDATA("dato",'[1]evolucion mensual nacionali'!$A$4,"indicador","TOTAL","mes",10,"año",2010)</f>
        <v>#REF!</v>
      </c>
      <c r="L9" s="203" t="e">
        <f>GETPIVOTDATA("dato",'[1]evolucion mensual nacionali'!$A$4,"indicador","SUECIA","mes",10,"año",2010)/GETPIVOTDATA("dato",'[1]evolucion mensual nacionali'!$A$4,"indicador","TOTAL","mes",10,"año",2010)</f>
        <v>#REF!</v>
      </c>
      <c r="M9" s="203" t="e">
        <f>GETPIVOTDATA("dato",'[1]evolucion mensual nacionali'!$A$4,"indicador","NORUEGA","mes",10,"año",2010)/GETPIVOTDATA("dato",'[1]evolucion mensual nacionali'!$A$4,"indicador","TOTAL","mes",10,"año",2010)</f>
        <v>#REF!</v>
      </c>
      <c r="N9" s="203" t="e">
        <f>GETPIVOTDATA("dato",'[1]evolucion mensual nacionali'!$A$4,"indicador","DINAMARCA","mes",10,"año",2010)/GETPIVOTDATA("dato",'[1]evolucion mensual nacionali'!$A$4,"indicador","TOTAL","mes",10,"año",2010)</f>
        <v>#REF!</v>
      </c>
      <c r="O9" s="203" t="e">
        <f>GETPIVOTDATA("dato",'[1]evolucion mensual nacionali'!$A$4,"indicador","FINLANDIA","mes",10,"año",2010)/GETPIVOTDATA("dato",'[1]evolucion mensual nacionali'!$A$4,"indicador","TOTAL","mes",10,"año",2010)</f>
        <v>#REF!</v>
      </c>
      <c r="P9" s="203" t="e">
        <f>GETPIVOTDATA("dato",'[1]evolucion mensual nacionali'!$A$4,"indicador","SUIZA","mes",10,"año",2010)/GETPIVOTDATA("dato",'[1]evolucion mensual nacionali'!$A$4,"indicador","TOTAL","mes",10,"año",2010)</f>
        <v>#REF!</v>
      </c>
      <c r="Q9" s="203" t="e">
        <f>GETPIVOTDATA("dato",'[1]evolucion mensual nacionali'!$A$4,"indicador","AUSTRIA","mes",10,"año",2010)/GETPIVOTDATA("dato",'[1]evolucion mensual nacionali'!$A$4,"indicador","TOTAL","mes",10,"año",2010)</f>
        <v>#REF!</v>
      </c>
      <c r="R9" s="203" t="e">
        <f>GETPIVOTDATA("dato",'[1]evolucion mensual nacionali'!$A$4,"indicador","RUSIA","mes",10,"año",2010)/GETPIVOTDATA("dato",'[1]evolucion mensual nacionali'!$A$4,"indicador","TOTAL","mes",10,"año",2010)</f>
        <v>#REF!</v>
      </c>
      <c r="S9" s="203" t="e">
        <f>GETPIVOTDATA("dato",'[1]evolucion mensual nacionali'!$A$4,"indicador","PAÍSES DEL ESTE","mes",10,"año",2010)/GETPIVOTDATA("dato",'[1]evolucion mensual nacionali'!$A$4,"indicador","TOTAL","mes",10,"año",2010)</f>
        <v>#REF!</v>
      </c>
      <c r="T9" s="203" t="e">
        <f>GETPIVOTDATA("dato",'[1]evolucion mensual nacionali'!$A$4,"indicador","RESTO DE EUROPA","mes",10,"año",2010)/GETPIVOTDATA("dato",'[1]evolucion mensual nacionali'!$A$4,"indicador","TOTAL","mes",10,"año",2010)</f>
        <v>#REF!</v>
      </c>
      <c r="U9" s="203" t="e">
        <f>GETPIVOTDATA("dato",'[1]evolucion mensual nacionali'!$A$4,"indicador","USA","mes",10,"año",2010)/GETPIVOTDATA("dato",'[1]evolucion mensual nacionali'!$A$4,"indicador","TOTAL","mes",10,"año",2010)</f>
        <v>#REF!</v>
      </c>
      <c r="V9" s="203" t="e">
        <f>GETPIVOTDATA("dato",'[1]evolucion mensual nacionali'!$A$4,"indicador","RESTO DE AMÉRICA","mes",10,"año",2010)/GETPIVOTDATA("dato",'[1]evolucion mensual nacionali'!$A$4,"indicador","TOTAL","mes",10,"año",2010)</f>
        <v>#REF!</v>
      </c>
      <c r="W9" s="203" t="e">
        <f>GETPIVOTDATA("dato",'[1]evolucion mensual nacionali'!$A$4,"indicador","RESTO DEL MUNDO","mes",10,"año",2010)/GETPIVOTDATA("dato",'[1]evolucion mensual nacionali'!$A$4,"indicador","TOTAL","mes",10,"año",2010)</f>
        <v>#REF!</v>
      </c>
      <c r="X9" s="203" t="e">
        <f>(GETPIVOTDATA("dato",'[1]evolucion mensual nacionali'!$A$4,"indicador","TOTAL","mes",10,"año",2010)-GETPIVOTDATA("dato",'[1]evolucion mensual nacionali'!$A$4,"indicador","España","mes",10,"año",2010))/GETPIVOTDATA("dato",'[1]evolucion mensual nacionali'!$A$4,"indicador","TOTAL","mes",10,"año",2010)</f>
        <v>#REF!</v>
      </c>
      <c r="Y9" s="205" t="e">
        <f>GETPIVOTDATA("dato",'[1]evolucion mensual nacionali'!$A$4,"indicador","TOTAL","mes",10,"año",2010)/GETPIVOTDATA("dato",'[1]evolucion mensual nacionali'!$A$4,"indicador","TOTAL","mes",10,"año",2010)</f>
        <v>#REF!</v>
      </c>
    </row>
    <row r="10" spans="2:26" hidden="1">
      <c r="B10" s="51" t="s">
        <v>41</v>
      </c>
      <c r="C10" s="203" t="e">
        <f>GETPIVOTDATA("dato",'[1]evolucion mensual nacionali'!$A$4,"indicador","España","mes",9,"año",2010)/GETPIVOTDATA("dato",'[1]evolucion mensual nacionali'!$A$4,"indicador","TOTAL","mes",9,"año",2010)</f>
        <v>#REF!</v>
      </c>
      <c r="D10" s="203" t="e">
        <f>GETPIVOTDATA("dato",'[1]evolucion mensual nacionali'!$A$4,"indicador","HOLANDA","mes",9,"año",2010)/GETPIVOTDATA("dato",'[1]evolucion mensual nacionali'!$A$4,"indicador","TOTAL","mes",9,"año",2010)</f>
        <v>#REF!</v>
      </c>
      <c r="E10" s="203" t="e">
        <f>GETPIVOTDATA("dato",'[1]evolucion mensual nacionali'!$A$4,"indicador","BÉLGICA","mes",9,"año",2010)/GETPIVOTDATA("dato",'[1]evolucion mensual nacionali'!$A$4,"indicador","TOTAL","mes",9,"año",2010)</f>
        <v>#REF!</v>
      </c>
      <c r="F10" s="203" t="e">
        <f>GETPIVOTDATA("dato",'[1]evolucion mensual nacionali'!$A$4,"indicador","ALEMANIA","mes",9,"año",2010)/GETPIVOTDATA("dato",'[1]evolucion mensual nacionali'!$A$4,"indicador","TOTAL","mes",9,"año",2010)</f>
        <v>#REF!</v>
      </c>
      <c r="G10" s="203" t="e">
        <f>GETPIVOTDATA("dato",'[1]evolucion mensual nacionali'!$A$4,"indicador","FRANCIA","mes",9,"año",2010)/GETPIVOTDATA("dato",'[1]evolucion mensual nacionali'!$A$4,"indicador","TOTAL","mes",9,"año",2010)</f>
        <v>#REF!</v>
      </c>
      <c r="H10" s="203" t="e">
        <f>GETPIVOTDATA("dato",'[1]evolucion mensual nacionali'!$A$4,"indicador","REINO UNIDO","mes",9,"año",2010)/GETPIVOTDATA("dato",'[1]evolucion mensual nacionali'!$A$4,"indicador","TOTAL","mes",9,"año",2010)</f>
        <v>#REF!</v>
      </c>
      <c r="I10" s="203" t="e">
        <f>GETPIVOTDATA("dato",'[1]evolucion mensual nacionali'!$A$4,"indicador","IRLANDA","mes",9,"año",2010)/GETPIVOTDATA("dato",'[1]evolucion mensual nacionali'!$A$4,"indicador","TOTAL","mes",9,"año",2010)</f>
        <v>#REF!</v>
      </c>
      <c r="J10" s="203" t="e">
        <f>GETPIVOTDATA("dato",'[1]evolucion mensual nacionali'!$A$4,"indicador","ITALIA","mes",9,"año",2010)/GETPIVOTDATA("dato",'[1]evolucion mensual nacionali'!$A$4,"indicador","TOTAL","mes",9,"año",2010)</f>
        <v>#REF!</v>
      </c>
      <c r="K10" s="203" t="e">
        <f>(GETPIVOTDATA("dato",'[1]evolucion mensual nacionali'!$A$4,"indicador","SUECIA","mes",9,"año",2010)+GETPIVOTDATA("dato",'[1]evolucion mensual nacionali'!$A$4,"indicador","NORUEGA","mes",9,"año",2010)+GETPIVOTDATA("dato",'[1]evolucion mensual nacionali'!$A$4,"indicador","DINAMARCA","mes",9,"año",2010)+GETPIVOTDATA("dato",'[1]evolucion mensual nacionali'!$A$4,"indicador","FINLANDIA","mes",9,"año",2010))/GETPIVOTDATA("dato",'[1]evolucion mensual nacionali'!$A$4,"indicador","TOTAL","mes",9,"año",2010)</f>
        <v>#REF!</v>
      </c>
      <c r="L10" s="203" t="e">
        <f>GETPIVOTDATA("dato",'[1]evolucion mensual nacionali'!$A$4,"indicador","SUECIA","mes",9,"año",2010)/GETPIVOTDATA("dato",'[1]evolucion mensual nacionali'!$A$4,"indicador","TOTAL","mes",9,"año",2010)</f>
        <v>#REF!</v>
      </c>
      <c r="M10" s="203" t="e">
        <f>GETPIVOTDATA("dato",'[1]evolucion mensual nacionali'!$A$4,"indicador","NORUEGA","mes",9,"año",2010)/GETPIVOTDATA("dato",'[1]evolucion mensual nacionali'!$A$4,"indicador","TOTAL","mes",9,"año",2010)</f>
        <v>#REF!</v>
      </c>
      <c r="N10" s="203" t="e">
        <f>GETPIVOTDATA("dato",'[1]evolucion mensual nacionali'!$A$4,"indicador","DINAMARCA","mes",9,"año",2010)/GETPIVOTDATA("dato",'[1]evolucion mensual nacionali'!$A$4,"indicador","TOTAL","mes",9,"año",2010)</f>
        <v>#REF!</v>
      </c>
      <c r="O10" s="203" t="e">
        <f>GETPIVOTDATA("dato",'[1]evolucion mensual nacionali'!$A$4,"indicador","FINLANDIA","mes",9,"año",2010)/GETPIVOTDATA("dato",'[1]evolucion mensual nacionali'!$A$4,"indicador","TOTAL","mes",9,"año",2010)</f>
        <v>#REF!</v>
      </c>
      <c r="P10" s="203" t="e">
        <f>GETPIVOTDATA("dato",'[1]evolucion mensual nacionali'!$A$4,"indicador","SUIZA","mes",9,"año",2010)/GETPIVOTDATA("dato",'[1]evolucion mensual nacionali'!$A$4,"indicador","TOTAL","mes",9,"año",2010)</f>
        <v>#REF!</v>
      </c>
      <c r="Q10" s="203" t="e">
        <f>GETPIVOTDATA("dato",'[1]evolucion mensual nacionali'!$A$4,"indicador","AUSTRIA","mes",9,"año",2010)/GETPIVOTDATA("dato",'[1]evolucion mensual nacionali'!$A$4,"indicador","TOTAL","mes",9,"año",2010)</f>
        <v>#REF!</v>
      </c>
      <c r="R10" s="203" t="e">
        <f>GETPIVOTDATA("dato",'[1]evolucion mensual nacionali'!$A$4,"indicador","RUSIA","mes",9,"año",2010)/GETPIVOTDATA("dato",'[1]evolucion mensual nacionali'!$A$4,"indicador","TOTAL","mes",9,"año",2010)</f>
        <v>#REF!</v>
      </c>
      <c r="S10" s="203" t="e">
        <f>GETPIVOTDATA("dato",'[1]evolucion mensual nacionali'!$A$4,"indicador","PAÍSES DEL ESTE","mes",9,"año",2010)/GETPIVOTDATA("dato",'[1]evolucion mensual nacionali'!$A$4,"indicador","TOTAL","mes",9,"año",2010)</f>
        <v>#REF!</v>
      </c>
      <c r="T10" s="203" t="e">
        <f>GETPIVOTDATA("dato",'[1]evolucion mensual nacionali'!$A$4,"indicador","RESTO DE EUROPA","mes",9,"año",2010)/GETPIVOTDATA("dato",'[1]evolucion mensual nacionali'!$A$4,"indicador","TOTAL","mes",9,"año",2010)</f>
        <v>#REF!</v>
      </c>
      <c r="U10" s="203" t="e">
        <f>GETPIVOTDATA("dato",'[1]evolucion mensual nacionali'!$A$4,"indicador","USA","mes",9,"año",2010)/GETPIVOTDATA("dato",'[1]evolucion mensual nacionali'!$A$4,"indicador","TOTAL","mes",9,"año",2010)</f>
        <v>#REF!</v>
      </c>
      <c r="V10" s="203" t="e">
        <f>GETPIVOTDATA("dato",'[1]evolucion mensual nacionali'!$A$4,"indicador","RESTO DE AMÉRICA","mes",9,"año",2010)/GETPIVOTDATA("dato",'[1]evolucion mensual nacionali'!$A$4,"indicador","TOTAL","mes",9,"año",2010)</f>
        <v>#REF!</v>
      </c>
      <c r="W10" s="203" t="e">
        <f>GETPIVOTDATA("dato",'[1]evolucion mensual nacionali'!$A$4,"indicador","RESTO DEL MUNDO","mes",9,"año",2010)/GETPIVOTDATA("dato",'[1]evolucion mensual nacionali'!$A$4,"indicador","TOTAL","mes",9,"año",2010)</f>
        <v>#REF!</v>
      </c>
      <c r="X10" s="203" t="e">
        <f>(GETPIVOTDATA("dato",'[1]evolucion mensual nacionali'!$A$4,"indicador","TOTAL","mes",9,"año",2010)-GETPIVOTDATA("dato",'[1]evolucion mensual nacionali'!$A$4,"indicador","España","mes",9,"año",2010))/GETPIVOTDATA("dato",'[1]evolucion mensual nacionali'!$A$4,"indicador","TOTAL","mes",9,"año",2010)</f>
        <v>#REF!</v>
      </c>
      <c r="Y10" s="205" t="e">
        <f>GETPIVOTDATA("dato",'[1]evolucion mensual nacionali'!$A$4,"indicador","TOTAL","mes",9,"año",2010)/GETPIVOTDATA("dato",'[1]evolucion mensual nacionali'!$A$4,"indicador","TOTAL","mes",9,"año",2010)</f>
        <v>#REF!</v>
      </c>
    </row>
    <row r="11" spans="2:26" hidden="1">
      <c r="B11" s="51" t="s">
        <v>42</v>
      </c>
      <c r="C11" s="203" t="e">
        <f>GETPIVOTDATA("dato",'[1]evolucion mensual nacionali'!$A$4,"indicador","España","mes",8,"año",2010)/GETPIVOTDATA("dato",'[1]evolucion mensual nacionali'!$A$4,"indicador","TOTAL","mes",8,"año",2010)</f>
        <v>#REF!</v>
      </c>
      <c r="D11" s="203" t="e">
        <f>GETPIVOTDATA("dato",'[1]evolucion mensual nacionali'!$A$4,"indicador","HOLANDA","mes",8,"año",2010)/GETPIVOTDATA("dato",'[1]evolucion mensual nacionali'!$A$4,"indicador","TOTAL","mes",8,"año",2010)</f>
        <v>#REF!</v>
      </c>
      <c r="E11" s="203" t="e">
        <f>GETPIVOTDATA("dato",'[1]evolucion mensual nacionali'!$A$4,"indicador","BÉLGICA","mes",8,"año",2010)/GETPIVOTDATA("dato",'[1]evolucion mensual nacionali'!$A$4,"indicador","TOTAL","mes",8,"año",2010)</f>
        <v>#REF!</v>
      </c>
      <c r="F11" s="203" t="e">
        <f>GETPIVOTDATA("dato",'[1]evolucion mensual nacionali'!$A$4,"indicador","ALEMANIA","mes",8,"año",2010)/GETPIVOTDATA("dato",'[1]evolucion mensual nacionali'!$A$4,"indicador","TOTAL","mes",8,"año",2010)</f>
        <v>#REF!</v>
      </c>
      <c r="G11" s="203" t="e">
        <f>GETPIVOTDATA("dato",'[1]evolucion mensual nacionali'!$A$4,"indicador","FRANCIA","mes",8,"año",2010)/GETPIVOTDATA("dato",'[1]evolucion mensual nacionali'!$A$4,"indicador","TOTAL","mes",8,"año",2010)</f>
        <v>#REF!</v>
      </c>
      <c r="H11" s="203" t="e">
        <f>GETPIVOTDATA("dato",'[1]evolucion mensual nacionali'!$A$4,"indicador","REINO UNIDO","mes",8,"año",2010)/GETPIVOTDATA("dato",'[1]evolucion mensual nacionali'!$A$4,"indicador","TOTAL","mes",8,"año",2010)</f>
        <v>#REF!</v>
      </c>
      <c r="I11" s="203" t="e">
        <f>GETPIVOTDATA("dato",'[1]evolucion mensual nacionali'!$A$4,"indicador","IRLANDA","mes",8,"año",2010)/GETPIVOTDATA("dato",'[1]evolucion mensual nacionali'!$A$4,"indicador","TOTAL","mes",8,"año",2010)</f>
        <v>#REF!</v>
      </c>
      <c r="J11" s="203" t="e">
        <f>GETPIVOTDATA("dato",'[1]evolucion mensual nacionali'!$A$4,"indicador","ITALIA","mes",8,"año",2010)/GETPIVOTDATA("dato",'[1]evolucion mensual nacionali'!$A$4,"indicador","TOTAL","mes",8,"año",2010)</f>
        <v>#REF!</v>
      </c>
      <c r="K11" s="203" t="e">
        <f>(GETPIVOTDATA("dato",'[1]evolucion mensual nacionali'!$A$4,"indicador","SUECIA","mes",8,"año",2010)+GETPIVOTDATA("dato",'[1]evolucion mensual nacionali'!$A$4,"indicador","NORUEGA","mes",8,"año",2010)+GETPIVOTDATA("dato",'[1]evolucion mensual nacionali'!$A$4,"indicador","DINAMARCA","mes",8,"año",2010)+GETPIVOTDATA("dato",'[1]evolucion mensual nacionali'!$A$4,"indicador","FINLANDIA","mes",8,"año",2010))/GETPIVOTDATA("dato",'[1]evolucion mensual nacionali'!$A$4,"indicador","TOTAL","mes",8,"año",2010)</f>
        <v>#REF!</v>
      </c>
      <c r="L11" s="203" t="e">
        <f>GETPIVOTDATA("dato",'[1]evolucion mensual nacionali'!$A$4,"indicador","SUECIA","mes",8,"año",2010)/GETPIVOTDATA("dato",'[1]evolucion mensual nacionali'!$A$4,"indicador","TOTAL","mes",8,"año",2010)</f>
        <v>#REF!</v>
      </c>
      <c r="M11" s="203" t="e">
        <f>GETPIVOTDATA("dato",'[1]evolucion mensual nacionali'!$A$4,"indicador","NORUEGA","mes",8,"año",2010)/GETPIVOTDATA("dato",'[1]evolucion mensual nacionali'!$A$4,"indicador","TOTAL","mes",8,"año",2010)</f>
        <v>#REF!</v>
      </c>
      <c r="N11" s="203" t="e">
        <f>GETPIVOTDATA("dato",'[1]evolucion mensual nacionali'!$A$4,"indicador","DINAMARCA","mes",8,"año",2010)/GETPIVOTDATA("dato",'[1]evolucion mensual nacionali'!$A$4,"indicador","TOTAL","mes",8,"año",2010)</f>
        <v>#REF!</v>
      </c>
      <c r="O11" s="203" t="e">
        <f>GETPIVOTDATA("dato",'[1]evolucion mensual nacionali'!$A$4,"indicador","FINLANDIA","mes",8,"año",2010)/GETPIVOTDATA("dato",'[1]evolucion mensual nacionali'!$A$4,"indicador","TOTAL","mes",8,"año",2010)</f>
        <v>#REF!</v>
      </c>
      <c r="P11" s="203" t="e">
        <f>GETPIVOTDATA("dato",'[1]evolucion mensual nacionali'!$A$4,"indicador","SUIZA","mes",8,"año",2010)/GETPIVOTDATA("dato",'[1]evolucion mensual nacionali'!$A$4,"indicador","TOTAL","mes",8,"año",2010)</f>
        <v>#REF!</v>
      </c>
      <c r="Q11" s="203" t="e">
        <f>GETPIVOTDATA("dato",'[1]evolucion mensual nacionali'!$A$4,"indicador","AUSTRIA","mes",8,"año",2010)/GETPIVOTDATA("dato",'[1]evolucion mensual nacionali'!$A$4,"indicador","TOTAL","mes",8,"año",2010)</f>
        <v>#REF!</v>
      </c>
      <c r="R11" s="203" t="e">
        <f>GETPIVOTDATA("dato",'[1]evolucion mensual nacionali'!$A$4,"indicador","RUSIA","mes",8,"año",2010)/GETPIVOTDATA("dato",'[1]evolucion mensual nacionali'!$A$4,"indicador","TOTAL","mes",8,"año",2010)</f>
        <v>#REF!</v>
      </c>
      <c r="S11" s="203" t="e">
        <f>GETPIVOTDATA("dato",'[1]evolucion mensual nacionali'!$A$4,"indicador","PAÍSES DEL ESTE","mes",8,"año",2010)/GETPIVOTDATA("dato",'[1]evolucion mensual nacionali'!$A$4,"indicador","TOTAL","mes",8,"año",2010)</f>
        <v>#REF!</v>
      </c>
      <c r="T11" s="203" t="e">
        <f>GETPIVOTDATA("dato",'[1]evolucion mensual nacionali'!$A$4,"indicador","RESTO DE EUROPA","mes",8,"año",2010)/GETPIVOTDATA("dato",'[1]evolucion mensual nacionali'!$A$4,"indicador","TOTAL","mes",8,"año",2010)</f>
        <v>#REF!</v>
      </c>
      <c r="U11" s="203" t="e">
        <f>GETPIVOTDATA("dato",'[1]evolucion mensual nacionali'!$A$4,"indicador","USA","mes",8,"año",2010)/GETPIVOTDATA("dato",'[1]evolucion mensual nacionali'!$A$4,"indicador","TOTAL","mes",8,"año",2010)</f>
        <v>#REF!</v>
      </c>
      <c r="V11" s="203" t="e">
        <f>GETPIVOTDATA("dato",'[1]evolucion mensual nacionali'!$A$4,"indicador","RESTO DE AMÉRICA","mes",8,"año",2010)/GETPIVOTDATA("dato",'[1]evolucion mensual nacionali'!$A$4,"indicador","TOTAL","mes",8,"año",2010)</f>
        <v>#REF!</v>
      </c>
      <c r="W11" s="203" t="e">
        <f>GETPIVOTDATA("dato",'[1]evolucion mensual nacionali'!$A$4,"indicador","RESTO DEL MUNDO","mes",8,"año",2010)/GETPIVOTDATA("dato",'[1]evolucion mensual nacionali'!$A$4,"indicador","TOTAL","mes",8,"año",2010)</f>
        <v>#REF!</v>
      </c>
      <c r="X11" s="203" t="e">
        <f>(GETPIVOTDATA("dato",'[1]evolucion mensual nacionali'!$A$4,"indicador","TOTAL","mes",8,"año",2010)-GETPIVOTDATA("dato",'[1]evolucion mensual nacionali'!$A$4,"indicador","España","mes",8,"año",2010))/GETPIVOTDATA("dato",'[1]evolucion mensual nacionali'!$A$4,"indicador","TOTAL","mes",8,"año",2010)</f>
        <v>#REF!</v>
      </c>
      <c r="Y11" s="205" t="e">
        <f>GETPIVOTDATA("dato",'[1]evolucion mensual nacionali'!$A$4,"indicador","TOTAL","mes",8,"año",2010)/GETPIVOTDATA("dato",'[1]evolucion mensual nacionali'!$A$4,"indicador","TOTAL","mes",8,"año",2010)</f>
        <v>#REF!</v>
      </c>
    </row>
    <row r="12" spans="2:26" hidden="1">
      <c r="B12" s="51" t="s">
        <v>43</v>
      </c>
      <c r="C12" s="203">
        <f>GETPIVOTDATA("dato",'[1]evolucion mensual nacionali'!$A$4,"indicador","España","mes",7,"año",2010)/GETPIVOTDATA("dato",'[1]evolucion mensual nacionali'!$A$4,"indicador","TOTAL","mes",7,"año",2010)</f>
        <v>0.82452172274055224</v>
      </c>
      <c r="D12" s="203">
        <f>GETPIVOTDATA("dato",'[1]evolucion mensual nacionali'!$A$4,"indicador","HOLANDA","mes",7,"año",2010)/GETPIVOTDATA("dato",'[1]evolucion mensual nacionali'!$A$4,"indicador","TOTAL","mes",7,"año",2010)</f>
        <v>5.0890585241730284E-3</v>
      </c>
      <c r="E12" s="203">
        <f>GETPIVOTDATA("dato",'[1]evolucion mensual nacionali'!$A$4,"indicador","BÉLGICA","mes",7,"año",2010)/GETPIVOTDATA("dato",'[1]evolucion mensual nacionali'!$A$4,"indicador","TOTAL","mes",7,"año",2010)</f>
        <v>3.5811893318254641E-3</v>
      </c>
      <c r="F12" s="203">
        <f>GETPIVOTDATA("dato",'[1]evolucion mensual nacionali'!$A$4,"indicador","ALEMANIA","mes",7,"año",2010)/GETPIVOTDATA("dato",'[1]evolucion mensual nacionali'!$A$4,"indicador","TOTAL","mes",7,"año",2010)</f>
        <v>1.5644142870605976E-2</v>
      </c>
      <c r="G12" s="203">
        <f>GETPIVOTDATA("dato",'[1]evolucion mensual nacionali'!$A$4,"indicador","FRANCIA","mes",7,"año",2010)/GETPIVOTDATA("dato",'[1]evolucion mensual nacionali'!$A$4,"indicador","TOTAL","mes",7,"año",2010)</f>
        <v>1.3665064555649798E-2</v>
      </c>
      <c r="H12" s="203">
        <f>GETPIVOTDATA("dato",'[1]evolucion mensual nacionali'!$A$4,"indicador","REINO UNIDO","mes",7,"año",2010)/GETPIVOTDATA("dato",'[1]evolucion mensual nacionali'!$A$4,"indicador","TOTAL","mes",7,"año",2010)</f>
        <v>1.1780228065215342E-2</v>
      </c>
      <c r="I12" s="203">
        <f>GETPIVOTDATA("dato",'[1]evolucion mensual nacionali'!$A$4,"indicador","IRLANDA","mes",7,"año",2010)/GETPIVOTDATA("dato",'[1]evolucion mensual nacionali'!$A$4,"indicador","TOTAL","mes",7,"año",2010)</f>
        <v>1.6021110168692866E-3</v>
      </c>
      <c r="J12" s="203">
        <f>GETPIVOTDATA("dato",'[1]evolucion mensual nacionali'!$A$4,"indicador","ITALIA","mes",7,"año",2010)/GETPIVOTDATA("dato",'[1]evolucion mensual nacionali'!$A$4,"indicador","TOTAL","mes",7,"año",2010)</f>
        <v>1.8188672132692488E-2</v>
      </c>
      <c r="K12" s="203">
        <f>(GETPIVOTDATA("dato",'[1]evolucion mensual nacionali'!$A$4,"indicador","SUECIA","mes",7,"año",2010)+GETPIVOTDATA("dato",'[1]evolucion mensual nacionali'!$A$4,"indicador","NORUEGA","mes",7,"año",2010)+GETPIVOTDATA("dato",'[1]evolucion mensual nacionali'!$A$4,"indicador","DINAMARCA","mes",7,"año",2010)+GETPIVOTDATA("dato",'[1]evolucion mensual nacionali'!$A$4,"indicador","FINLANDIA","mes",7,"año",2010))/GETPIVOTDATA("dato",'[1]evolucion mensual nacionali'!$A$4,"indicador","TOTAL","mes",7,"año",2010)</f>
        <v>8.4817642069550461E-3</v>
      </c>
      <c r="L12" s="203">
        <f>GETPIVOTDATA("dato",'[1]evolucion mensual nacionali'!$A$4,"indicador","SUECIA","mes",7,"año",2010)/GETPIVOTDATA("dato",'[1]evolucion mensual nacionali'!$A$4,"indicador","TOTAL","mes",7,"año",2010)</f>
        <v>1.1309018942606728E-3</v>
      </c>
      <c r="M12" s="203">
        <f>GETPIVOTDATA("dato",'[1]evolucion mensual nacionali'!$A$4,"indicador","NORUEGA","mes",7,"año",2010)/GETPIVOTDATA("dato",'[1]evolucion mensual nacionali'!$A$4,"indicador","TOTAL","mes",7,"año",2010)</f>
        <v>2.1675619639996229E-3</v>
      </c>
      <c r="N12" s="203">
        <f>GETPIVOTDATA("dato",'[1]evolucion mensual nacionali'!$A$4,"indicador","DINAMARCA","mes",7,"año",2010)/GETPIVOTDATA("dato",'[1]evolucion mensual nacionali'!$A$4,"indicador","TOTAL","mes",7,"año",2010)</f>
        <v>2.1675619639996229E-3</v>
      </c>
      <c r="O12" s="203">
        <f>GETPIVOTDATA("dato",'[1]evolucion mensual nacionali'!$A$4,"indicador","FINLANDIA","mes",7,"año",2010)/GETPIVOTDATA("dato",'[1]evolucion mensual nacionali'!$A$4,"indicador","TOTAL","mes",7,"año",2010)</f>
        <v>3.0157383846951278E-3</v>
      </c>
      <c r="P12" s="203">
        <f>GETPIVOTDATA("dato",'[1]evolucion mensual nacionali'!$A$4,"indicador","SUIZA","mes",7,"año",2010)/GETPIVOTDATA("dato",'[1]evolucion mensual nacionali'!$A$4,"indicador","TOTAL","mes",7,"año",2010)</f>
        <v>2.8272547356516823E-3</v>
      </c>
      <c r="Q12" s="203">
        <f>GETPIVOTDATA("dato",'[1]evolucion mensual nacionali'!$A$4,"indicador","AUSTRIA","mes",7,"año",2010)/GETPIVOTDATA("dato",'[1]evolucion mensual nacionali'!$A$4,"indicador","TOTAL","mes",7,"año",2010)</f>
        <v>2.0733201394779002E-3</v>
      </c>
      <c r="R12" s="203">
        <f>GETPIVOTDATA("dato",'[1]evolucion mensual nacionali'!$A$4,"indicador","RUSIA","mes",7,"año",2010)/GETPIVOTDATA("dato",'[1]evolucion mensual nacionali'!$A$4,"indicador","TOTAL","mes",7,"año",2010)</f>
        <v>1.3193855433041185E-3</v>
      </c>
      <c r="S12" s="203">
        <f>GETPIVOTDATA("dato",'[1]evolucion mensual nacionali'!$A$4,"indicador","PAÍSES DEL ESTE","mes",7,"año",2010)/GETPIVOTDATA("dato",'[1]evolucion mensual nacionali'!$A$4,"indicador","TOTAL","mes",7,"año",2010)</f>
        <v>4.1466402789558003E-3</v>
      </c>
      <c r="T12" s="203">
        <f>GETPIVOTDATA("dato",'[1]evolucion mensual nacionali'!$A$4,"indicador","RESTO DE EUROPA","mes",7,"año",2010)/GETPIVOTDATA("dato",'[1]evolucion mensual nacionali'!$A$4,"indicador","TOTAL","mes",7,"año",2010)</f>
        <v>8.2932805579116007E-3</v>
      </c>
      <c r="U12" s="203">
        <f>GETPIVOTDATA("dato",'[1]evolucion mensual nacionali'!$A$4,"indicador","USA","mes",7,"año",2010)/GETPIVOTDATA("dato",'[1]evolucion mensual nacionali'!$A$4,"indicador","TOTAL","mes",7,"año",2010)</f>
        <v>1.1497502591650175E-2</v>
      </c>
      <c r="V12" s="203">
        <f>GETPIVOTDATA("dato",'[1]evolucion mensual nacionali'!$A$4,"indicador","RESTO DE AMÉRICA","mes",7,"año",2010)/GETPIVOTDATA("dato",'[1]evolucion mensual nacionali'!$A$4,"indicador","TOTAL","mes",7,"año",2010)</f>
        <v>4.052398454434078E-2</v>
      </c>
      <c r="W12" s="203">
        <f>GETPIVOTDATA("dato",'[1]evolucion mensual nacionali'!$A$4,"indicador","RESTO DEL MUNDO","mes",7,"año",2010)/GETPIVOTDATA("dato",'[1]evolucion mensual nacionali'!$A$4,"indicador","TOTAL","mes",7,"año",2010)</f>
        <v>2.6764678164169258E-2</v>
      </c>
      <c r="X12" s="203">
        <f>(GETPIVOTDATA("dato",'[1]evolucion mensual nacionali'!$A$4,"indicador","TOTAL","mes",7,"año",2010)-GETPIVOTDATA("dato",'[1]evolucion mensual nacionali'!$A$4,"indicador","España","mes",7,"año",2010))/GETPIVOTDATA("dato",'[1]evolucion mensual nacionali'!$A$4,"indicador","TOTAL","mes",7,"año",2010)</f>
        <v>0.17547827725944773</v>
      </c>
      <c r="Y12" s="205">
        <f>GETPIVOTDATA("dato",'[1]evolucion mensual nacionali'!$A$4,"indicador","TOTAL","mes",7,"año",2010)/GETPIVOTDATA("dato",'[1]evolucion mensual nacionali'!$A$4,"indicador","TOTAL","mes",7,"año",2010)</f>
        <v>1</v>
      </c>
    </row>
    <row r="13" spans="2:26">
      <c r="B13" s="51" t="s">
        <v>44</v>
      </c>
      <c r="C13" s="203">
        <f>GETPIVOTDATA("dato",'[1]evolucion mensual nacionali'!$A$4,"indicador","España","mes",6,"año",2010)/GETPIVOTDATA("dato",'[1]evolucion mensual nacionali'!$A$4,"indicador","TOTAL","mes",6,"año",2010)</f>
        <v>0.8561741050307522</v>
      </c>
      <c r="D13" s="203">
        <f>GETPIVOTDATA("dato",'[1]evolucion mensual nacionali'!$A$4,"indicador","HOLANDA","mes",6,"año",2010)/GETPIVOTDATA("dato",'[1]evolucion mensual nacionali'!$A$4,"indicador","TOTAL","mes",6,"año",2010)</f>
        <v>2.7598170635546445E-3</v>
      </c>
      <c r="E13" s="203">
        <f>GETPIVOTDATA("dato",'[1]evolucion mensual nacionali'!$A$4,"indicador","BÉLGICA","mes",6,"año",2010)/GETPIVOTDATA("dato",'[1]evolucion mensual nacionali'!$A$4,"indicador","TOTAL","mes",6,"año",2010)</f>
        <v>3.0752247279608896E-3</v>
      </c>
      <c r="F13" s="203">
        <f>GETPIVOTDATA("dato",'[1]evolucion mensual nacionali'!$A$4,"indicador","ALEMANIA","mes",6,"año",2010)/GETPIVOTDATA("dato",'[1]evolucion mensual nacionali'!$A$4,"indicador","TOTAL","mes",6,"año",2010)</f>
        <v>1.174893549913263E-2</v>
      </c>
      <c r="G13" s="203">
        <f>GETPIVOTDATA("dato",'[1]evolucion mensual nacionali'!$A$4,"indicador","FRANCIA","mes",6,"año",2010)/GETPIVOTDATA("dato",'[1]evolucion mensual nacionali'!$A$4,"indicador","TOTAL","mes",6,"año",2010)</f>
        <v>8.9891184355779842E-3</v>
      </c>
      <c r="H13" s="203">
        <f>GETPIVOTDATA("dato",'[1]evolucion mensual nacionali'!$A$4,"indicador","REINO UNIDO","mes",6,"año",2010)/GETPIVOTDATA("dato",'[1]evolucion mensual nacionali'!$A$4,"indicador","TOTAL","mes",6,"año",2010)</f>
        <v>1.427219681438259E-2</v>
      </c>
      <c r="I13" s="203">
        <f>GETPIVOTDATA("dato",'[1]evolucion mensual nacionali'!$A$4,"indicador","IRLANDA","mes",6,"año",2010)/GETPIVOTDATA("dato",'[1]evolucion mensual nacionali'!$A$4,"indicador","TOTAL","mes",6,"año",2010)</f>
        <v>2.1290017347421544E-3</v>
      </c>
      <c r="J13" s="203">
        <f>GETPIVOTDATA("dato",'[1]evolucion mensual nacionali'!$A$4,"indicador","ITALIA","mes",6,"año",2010)/GETPIVOTDATA("dato",'[1]evolucion mensual nacionali'!$A$4,"indicador","TOTAL","mes",6,"año",2010)</f>
        <v>1.3247121905062293E-2</v>
      </c>
      <c r="K13" s="203">
        <f>(GETPIVOTDATA("dato",'[1]evolucion mensual nacionali'!$A$4,"indicador","SUECIA","mes",6,"año",2010)+GETPIVOTDATA("dato",'[1]evolucion mensual nacionali'!$A$4,"indicador","NORUEGA","mes",6,"año",2010)+GETPIVOTDATA("dato",'[1]evolucion mensual nacionali'!$A$4,"indicador","DINAMARCA","mes",6,"año",2010)+GETPIVOTDATA("dato",'[1]evolucion mensual nacionali'!$A$4,"indicador","FINLANDIA","mes",6,"año",2010))/GETPIVOTDATA("dato",'[1]evolucion mensual nacionali'!$A$4,"indicador","TOTAL","mes",6,"año",2010)</f>
        <v>3.3906323923671346E-3</v>
      </c>
      <c r="L13" s="203">
        <f>GETPIVOTDATA("dato",'[1]evolucion mensual nacionali'!$A$4,"indicador","SUECIA","mes",6,"año",2010)/GETPIVOTDATA("dato",'[1]evolucion mensual nacionali'!$A$4,"indicador","TOTAL","mes",6,"año",2010)</f>
        <v>5.5196341271092884E-4</v>
      </c>
      <c r="M13" s="203">
        <f>GETPIVOTDATA("dato",'[1]evolucion mensual nacionali'!$A$4,"indicador","NORUEGA","mes",6,"año",2010)/GETPIVOTDATA("dato",'[1]evolucion mensual nacionali'!$A$4,"indicador","TOTAL","mes",6,"año",2010)</f>
        <v>7.0966724491405137E-4</v>
      </c>
      <c r="N13" s="203">
        <f>GETPIVOTDATA("dato",'[1]evolucion mensual nacionali'!$A$4,"indicador","DINAMARCA","mes",6,"año",2010)/GETPIVOTDATA("dato",'[1]evolucion mensual nacionali'!$A$4,"indicador","TOTAL","mes",6,"año",2010)</f>
        <v>1.1039268254218577E-3</v>
      </c>
      <c r="O13" s="203">
        <f>GETPIVOTDATA("dato",'[1]evolucion mensual nacionali'!$A$4,"indicador","FINLANDIA","mes",6,"año",2010)/GETPIVOTDATA("dato",'[1]evolucion mensual nacionali'!$A$4,"indicador","TOTAL","mes",6,"año",2010)</f>
        <v>1.0250749093202965E-3</v>
      </c>
      <c r="P13" s="203">
        <f>GETPIVOTDATA("dato",'[1]evolucion mensual nacionali'!$A$4,"indicador","SUIZA","mes",6,"año",2010)/GETPIVOTDATA("dato",'[1]evolucion mensual nacionali'!$A$4,"indicador","TOTAL","mes",6,"año",2010)</f>
        <v>2.7598170635546445E-3</v>
      </c>
      <c r="Q13" s="203">
        <f>GETPIVOTDATA("dato",'[1]evolucion mensual nacionali'!$A$4,"indicador","AUSTRIA","mes",6,"año",2010)/GETPIVOTDATA("dato",'[1]evolucion mensual nacionali'!$A$4,"indicador","TOTAL","mes",6,"año",2010)</f>
        <v>3.9425958050780632E-4</v>
      </c>
      <c r="R13" s="203">
        <f>GETPIVOTDATA("dato",'[1]evolucion mensual nacionali'!$A$4,"indicador","RUSIA","mes",6,"año",2010)/GETPIVOTDATA("dato",'[1]evolucion mensual nacionali'!$A$4,"indicador","TOTAL","mes",6,"año",2010)</f>
        <v>1.2616306576249802E-3</v>
      </c>
      <c r="S13" s="203">
        <f>GETPIVOTDATA("dato",'[1]evolucion mensual nacionali'!$A$4,"indicador","PAÍSES DEL ESTE","mes",6,"año",2010)/GETPIVOTDATA("dato",'[1]evolucion mensual nacionali'!$A$4,"indicador","TOTAL","mes",6,"año",2010)</f>
        <v>3.6271881406718183E-3</v>
      </c>
      <c r="T13" s="203">
        <f>GETPIVOTDATA("dato",'[1]evolucion mensual nacionali'!$A$4,"indicador","RESTO DE EUROPA","mes",6,"año",2010)/GETPIVOTDATA("dato",'[1]evolucion mensual nacionali'!$A$4,"indicador","TOTAL","mes",6,"año",2010)</f>
        <v>1.2300898911843558E-2</v>
      </c>
      <c r="U13" s="203">
        <f>GETPIVOTDATA("dato",'[1]evolucion mensual nacionali'!$A$4,"indicador","USA","mes",6,"año",2010)/GETPIVOTDATA("dato",'[1]evolucion mensual nacionali'!$A$4,"indicador","TOTAL","mes",6,"año",2010)</f>
        <v>8.358303106765495E-3</v>
      </c>
      <c r="V13" s="203">
        <f>GETPIVOTDATA("dato",'[1]evolucion mensual nacionali'!$A$4,"indicador","RESTO DE AMÉRICA","mes",6,"año",2010)/GETPIVOTDATA("dato",'[1]evolucion mensual nacionali'!$A$4,"indicador","TOTAL","mes",6,"año",2010)</f>
        <v>3.1777322188929188E-2</v>
      </c>
      <c r="W13" s="203">
        <f>GETPIVOTDATA("dato",'[1]evolucion mensual nacionali'!$A$4,"indicador","RESTO DEL MUNDO","mes",6,"año",2010)/GETPIVOTDATA("dato",'[1]evolucion mensual nacionali'!$A$4,"indicador","TOTAL","mes",6,"año",2010)</f>
        <v>2.3734426746569941E-2</v>
      </c>
      <c r="X13" s="203">
        <f>(GETPIVOTDATA("dato",'[1]evolucion mensual nacionali'!$A$4,"indicador","TOTAL","mes",6,"año",2010)-GETPIVOTDATA("dato",'[1]evolucion mensual nacionali'!$A$4,"indicador","España","mes",6,"año",2010))/GETPIVOTDATA("dato",'[1]evolucion mensual nacionali'!$A$4,"indicador","TOTAL","mes",6,"año",2010)</f>
        <v>0.14382589496924775</v>
      </c>
      <c r="Y13" s="205">
        <f>GETPIVOTDATA("dato",'[1]evolucion mensual nacionali'!$A$4,"indicador","TOTAL","mes",6,"año",2010)/GETPIVOTDATA("dato",'[1]evolucion mensual nacionali'!$A$4,"indicador","TOTAL","mes",6,"año",2010)</f>
        <v>1</v>
      </c>
    </row>
    <row r="14" spans="2:26">
      <c r="B14" s="51" t="s">
        <v>45</v>
      </c>
      <c r="C14" s="203">
        <f>GETPIVOTDATA("dato",'[1]evolucion mensual nacionali'!$A$4,"indicador","España","mes",5,"año",2010)/GETPIVOTDATA("dato",'[1]evolucion mensual nacionali'!$A$4,"indicador","TOTAL","mes",5,"año",2010)</f>
        <v>0.85669380188603206</v>
      </c>
      <c r="D14" s="203">
        <f>GETPIVOTDATA("dato",'[1]evolucion mensual nacionali'!$A$4,"indicador","HOLANDA","mes",5,"año",2010)/GETPIVOTDATA("dato",'[1]evolucion mensual nacionali'!$A$4,"indicador","TOTAL","mes",5,"año",2010)</f>
        <v>4.271782058515354E-3</v>
      </c>
      <c r="E14" s="203">
        <f>GETPIVOTDATA("dato",'[1]evolucion mensual nacionali'!$A$4,"indicador","BÉLGICA","mes",5,"año",2010)/GETPIVOTDATA("dato",'[1]evolucion mensual nacionali'!$A$4,"indicador","TOTAL","mes",5,"año",2010)</f>
        <v>4.9971790118481501E-3</v>
      </c>
      <c r="F14" s="203">
        <f>GETPIVOTDATA("dato",'[1]evolucion mensual nacionali'!$A$4,"indicador","ALEMANIA","mes",5,"año",2010)/GETPIVOTDATA("dato",'[1]evolucion mensual nacionali'!$A$4,"indicador","TOTAL","mes",5,"año",2010)</f>
        <v>1.5475135004432981E-2</v>
      </c>
      <c r="G14" s="203">
        <f>GETPIVOTDATA("dato",'[1]evolucion mensual nacionali'!$A$4,"indicador","FRANCIA","mes",5,"año",2010)/GETPIVOTDATA("dato",'[1]evolucion mensual nacionali'!$A$4,"indicador","TOTAL","mes",5,"año",2010)</f>
        <v>1.1445151930361892E-2</v>
      </c>
      <c r="H14" s="203">
        <f>GETPIVOTDATA("dato",'[1]evolucion mensual nacionali'!$A$4,"indicador","REINO UNIDO","mes",5,"año",2010)/GETPIVOTDATA("dato",'[1]evolucion mensual nacionali'!$A$4,"indicador","TOTAL","mes",5,"año",2010)</f>
        <v>1.1606351253324735E-2</v>
      </c>
      <c r="I14" s="203">
        <f>GETPIVOTDATA("dato",'[1]evolucion mensual nacionali'!$A$4,"indicador","IRLANDA","mes",5,"año",2010)/GETPIVOTDATA("dato",'[1]evolucion mensual nacionali'!$A$4,"indicador","TOTAL","mes",5,"año",2010)</f>
        <v>1.6119932296284356E-3</v>
      </c>
      <c r="J14" s="203">
        <f>GETPIVOTDATA("dato",'[1]evolucion mensual nacionali'!$A$4,"indicador","ITALIA","mes",5,"año",2010)/GETPIVOTDATA("dato",'[1]evolucion mensual nacionali'!$A$4,"indicador","TOTAL","mes",5,"año",2010)</f>
        <v>1.2089949222213266E-2</v>
      </c>
      <c r="K14" s="203">
        <f>(GETPIVOTDATA("dato",'[1]evolucion mensual nacionali'!$A$4,"indicador","SUECIA","mes",5,"año",2010)+GETPIVOTDATA("dato",'[1]evolucion mensual nacionali'!$A$4,"indicador","NORUEGA","mes",5,"año",2010)+GETPIVOTDATA("dato",'[1]evolucion mensual nacionali'!$A$4,"indicador","DINAMARCA","mes",5,"año",2010)+GETPIVOTDATA("dato",'[1]evolucion mensual nacionali'!$A$4,"indicador","FINLANDIA","mes",5,"año",2010))/GETPIVOTDATA("dato",'[1]evolucion mensual nacionali'!$A$4,"indicador","TOTAL","mes",5,"año",2010)</f>
        <v>6.9315708874022729E-3</v>
      </c>
      <c r="L14" s="203">
        <f>GETPIVOTDATA("dato",'[1]evolucion mensual nacionali'!$A$4,"indicador","SUECIA","mes",5,"año",2010)/GETPIVOTDATA("dato",'[1]evolucion mensual nacionali'!$A$4,"indicador","TOTAL","mes",5,"año",2010)</f>
        <v>2.3373901829612316E-3</v>
      </c>
      <c r="M14" s="203">
        <f>GETPIVOTDATA("dato",'[1]evolucion mensual nacionali'!$A$4,"indicador","NORUEGA","mes",5,"año",2010)/GETPIVOTDATA("dato",'[1]evolucion mensual nacionali'!$A$4,"indicador","TOTAL","mes",5,"año",2010)</f>
        <v>2.0149915370355443E-3</v>
      </c>
      <c r="N14" s="203">
        <f>GETPIVOTDATA("dato",'[1]evolucion mensual nacionali'!$A$4,"indicador","DINAMARCA","mes",5,"año",2010)/GETPIVOTDATA("dato",'[1]evolucion mensual nacionali'!$A$4,"indicador","TOTAL","mes",5,"año",2010)</f>
        <v>8.0599661481421778E-4</v>
      </c>
      <c r="O14" s="203">
        <f>GETPIVOTDATA("dato",'[1]evolucion mensual nacionali'!$A$4,"indicador","FINLANDIA","mes",5,"año",2010)/GETPIVOTDATA("dato",'[1]evolucion mensual nacionali'!$A$4,"indicador","TOTAL","mes",5,"año",2010)</f>
        <v>1.7731925525912792E-3</v>
      </c>
      <c r="P14" s="203">
        <f>GETPIVOTDATA("dato",'[1]evolucion mensual nacionali'!$A$4,"indicador","SUIZA","mes",5,"año",2010)/GETPIVOTDATA("dato",'[1]evolucion mensual nacionali'!$A$4,"indicador","TOTAL","mes",5,"año",2010)</f>
        <v>2.7403884903683404E-3</v>
      </c>
      <c r="Q14" s="203">
        <f>GETPIVOTDATA("dato",'[1]evolucion mensual nacionali'!$A$4,"indicador","AUSTRIA","mes",5,"año",2010)/GETPIVOTDATA("dato",'[1]evolucion mensual nacionali'!$A$4,"indicador","TOTAL","mes",5,"año",2010)</f>
        <v>1.3701942451841702E-3</v>
      </c>
      <c r="R14" s="203">
        <f>GETPIVOTDATA("dato",'[1]evolucion mensual nacionali'!$A$4,"indicador","RUSIA","mes",5,"año",2010)/GETPIVOTDATA("dato",'[1]evolucion mensual nacionali'!$A$4,"indicador","TOTAL","mes",5,"año",2010)</f>
        <v>2.6597888288869185E-3</v>
      </c>
      <c r="S14" s="203">
        <f>GETPIVOTDATA("dato",'[1]evolucion mensual nacionali'!$A$4,"indicador","PAÍSES DEL ESTE","mes",5,"año",2010)/GETPIVOTDATA("dato",'[1]evolucion mensual nacionali'!$A$4,"indicador","TOTAL","mes",5,"año",2010)</f>
        <v>4.1911823970339325E-3</v>
      </c>
      <c r="T14" s="203">
        <f>GETPIVOTDATA("dato",'[1]evolucion mensual nacionali'!$A$4,"indicador","RESTO DE EUROPA","mes",5,"año",2010)/GETPIVOTDATA("dato",'[1]evolucion mensual nacionali'!$A$4,"indicador","TOTAL","mes",5,"año",2010)</f>
        <v>1.6281131619247199E-2</v>
      </c>
      <c r="U14" s="203">
        <f>GETPIVOTDATA("dato",'[1]evolucion mensual nacionali'!$A$4,"indicador","USA","mes",5,"año",2010)/GETPIVOTDATA("dato",'[1]evolucion mensual nacionali'!$A$4,"indicador","TOTAL","mes",5,"año",2010)</f>
        <v>5.8031756266623677E-3</v>
      </c>
      <c r="V14" s="203">
        <f>GETPIVOTDATA("dato",'[1]evolucion mensual nacionali'!$A$4,"indicador","RESTO DE AMÉRICA","mes",5,"año",2010)/GETPIVOTDATA("dato",'[1]evolucion mensual nacionali'!$A$4,"indicador","TOTAL","mes",5,"año",2010)</f>
        <v>2.0714113000725398E-2</v>
      </c>
      <c r="W14" s="203">
        <f>GETPIVOTDATA("dato",'[1]evolucion mensual nacionali'!$A$4,"indicador","RESTO DEL MUNDO","mes",5,"año",2010)/GETPIVOTDATA("dato",'[1]evolucion mensual nacionali'!$A$4,"indicador","TOTAL","mes",5,"año",2010)</f>
        <v>2.1117111308132507E-2</v>
      </c>
      <c r="X14" s="203">
        <f>(GETPIVOTDATA("dato",'[1]evolucion mensual nacionali'!$A$4,"indicador","TOTAL","mes",5,"año",2010)-GETPIVOTDATA("dato",'[1]evolucion mensual nacionali'!$A$4,"indicador","España","mes",5,"año",2010))/GETPIVOTDATA("dato",'[1]evolucion mensual nacionali'!$A$4,"indicador","TOTAL","mes",5,"año",2010)</f>
        <v>0.14330619811396791</v>
      </c>
      <c r="Y14" s="205">
        <f>GETPIVOTDATA("dato",'[1]evolucion mensual nacionali'!$A$4,"indicador","TOTAL","mes",5,"año",2010)/GETPIVOTDATA("dato",'[1]evolucion mensual nacionali'!$A$4,"indicador","TOTAL","mes",5,"año",2010)</f>
        <v>1</v>
      </c>
    </row>
    <row r="15" spans="2:26">
      <c r="B15" s="51" t="s">
        <v>46</v>
      </c>
      <c r="C15" s="203">
        <f>GETPIVOTDATA("dato",'[1]evolucion mensual nacionali'!$A$4,"indicador","España","mes",4,"año",2010)/GETPIVOTDATA("dato",'[1]evolucion mensual nacionali'!$A$4,"indicador","TOTAL","mes",4,"año",2010)</f>
        <v>0.82699483922191341</v>
      </c>
      <c r="D15" s="203">
        <f>GETPIVOTDATA("dato",'[1]evolucion mensual nacionali'!$A$4,"indicador","HOLANDA","mes",4,"año",2010)/GETPIVOTDATA("dato",'[1]evolucion mensual nacionali'!$A$4,"indicador","TOTAL","mes",4,"año",2010)</f>
        <v>5.6371576022231041E-3</v>
      </c>
      <c r="E15" s="203">
        <f>GETPIVOTDATA("dato",'[1]evolucion mensual nacionali'!$A$4,"indicador","BÉLGICA","mes",4,"año",2010)/GETPIVOTDATA("dato",'[1]evolucion mensual nacionali'!$A$4,"indicador","TOTAL","mes",4,"año",2010)</f>
        <v>4.128622469233823E-3</v>
      </c>
      <c r="F15" s="203">
        <f>GETPIVOTDATA("dato",'[1]evolucion mensual nacionali'!$A$4,"indicador","ALEMANIA","mes",4,"año",2010)/GETPIVOTDATA("dato",'[1]evolucion mensual nacionali'!$A$4,"indicador","TOTAL","mes",4,"año",2010)</f>
        <v>2.1119491861849939E-2</v>
      </c>
      <c r="G15" s="203">
        <f>GETPIVOTDATA("dato",'[1]evolucion mensual nacionali'!$A$4,"indicador","FRANCIA","mes",4,"año",2010)/GETPIVOTDATA("dato",'[1]evolucion mensual nacionali'!$A$4,"indicador","TOTAL","mes",4,"año",2010)</f>
        <v>1.889638745533942E-2</v>
      </c>
      <c r="H15" s="203">
        <f>GETPIVOTDATA("dato",'[1]evolucion mensual nacionali'!$A$4,"indicador","REINO UNIDO","mes",4,"año",2010)/GETPIVOTDATA("dato",'[1]evolucion mensual nacionali'!$A$4,"indicador","TOTAL","mes",4,"año",2010)</f>
        <v>1.3656212782850338E-2</v>
      </c>
      <c r="I15" s="203">
        <f>GETPIVOTDATA("dato",'[1]evolucion mensual nacionali'!$A$4,"indicador","IRLANDA","mes",4,"año",2010)/GETPIVOTDATA("dato",'[1]evolucion mensual nacionali'!$A$4,"indicador","TOTAL","mes",4,"año",2010)</f>
        <v>2.4612941643509328E-3</v>
      </c>
      <c r="J15" s="203">
        <f>GETPIVOTDATA("dato",'[1]evolucion mensual nacionali'!$A$4,"indicador","ITALIA","mes",4,"año",2010)/GETPIVOTDATA("dato",'[1]evolucion mensual nacionali'!$A$4,"indicador","TOTAL","mes",4,"año",2010)</f>
        <v>1.4211988884477967E-2</v>
      </c>
      <c r="K15" s="203">
        <f>(GETPIVOTDATA("dato",'[1]evolucion mensual nacionali'!$A$4,"indicador","SUECIA","mes",4,"año",2010)+GETPIVOTDATA("dato",'[1]evolucion mensual nacionali'!$A$4,"indicador","NORUEGA","mes",4,"año",2010)+GETPIVOTDATA("dato",'[1]evolucion mensual nacionali'!$A$4,"indicador","DINAMARCA","mes",4,"año",2010)+GETPIVOTDATA("dato",'[1]evolucion mensual nacionali'!$A$4,"indicador","FINLANDIA","mes",4,"año",2010))/GETPIVOTDATA("dato",'[1]evolucion mensual nacionali'!$A$4,"indicador","TOTAL","mes",4,"año",2010)</f>
        <v>7.22508932115919E-3</v>
      </c>
      <c r="L15" s="203">
        <f>GETPIVOTDATA("dato",'[1]evolucion mensual nacionali'!$A$4,"indicador","SUECIA","mes",4,"año",2010)/GETPIVOTDATA("dato",'[1]evolucion mensual nacionali'!$A$4,"indicador","TOTAL","mes",4,"año",2010)</f>
        <v>1.5879317189360857E-3</v>
      </c>
      <c r="M15" s="203">
        <f>GETPIVOTDATA("dato",'[1]evolucion mensual nacionali'!$A$4,"indicador","NORUEGA","mes",4,"año",2010)/GETPIVOTDATA("dato",'[1]evolucion mensual nacionali'!$A$4,"indicador","TOTAL","mes",4,"año",2010)</f>
        <v>1.9055180627233028E-3</v>
      </c>
      <c r="N15" s="203">
        <f>GETPIVOTDATA("dato",'[1]evolucion mensual nacionali'!$A$4,"indicador","DINAMARCA","mes",4,"año",2010)/GETPIVOTDATA("dato",'[1]evolucion mensual nacionali'!$A$4,"indicador","TOTAL","mes",4,"año",2010)</f>
        <v>1.7467248908296944E-3</v>
      </c>
      <c r="O15" s="203">
        <f>GETPIVOTDATA("dato",'[1]evolucion mensual nacionali'!$A$4,"indicador","FINLANDIA","mes",4,"año",2010)/GETPIVOTDATA("dato",'[1]evolucion mensual nacionali'!$A$4,"indicador","TOTAL","mes",4,"año",2010)</f>
        <v>1.9849146486701072E-3</v>
      </c>
      <c r="P15" s="203">
        <f>GETPIVOTDATA("dato",'[1]evolucion mensual nacionali'!$A$4,"indicador","SUIZA","mes",4,"año",2010)/GETPIVOTDATA("dato",'[1]evolucion mensual nacionali'!$A$4,"indicador","TOTAL","mes",4,"año",2010)</f>
        <v>3.33465660976578E-3</v>
      </c>
      <c r="Q15" s="203">
        <f>GETPIVOTDATA("dato",'[1]evolucion mensual nacionali'!$A$4,"indicador","AUSTRIA","mes",4,"año",2010)/GETPIVOTDATA("dato",'[1]evolucion mensual nacionali'!$A$4,"indicador","TOTAL","mes",4,"año",2010)</f>
        <v>1.3497419610956729E-3</v>
      </c>
      <c r="R15" s="203">
        <f>GETPIVOTDATA("dato",'[1]evolucion mensual nacionali'!$A$4,"indicador","RUSIA","mes",4,"año",2010)/GETPIVOTDATA("dato",'[1]evolucion mensual nacionali'!$A$4,"indicador","TOTAL","mes",4,"año",2010)</f>
        <v>2.5406907502977371E-3</v>
      </c>
      <c r="S15" s="203">
        <f>GETPIVOTDATA("dato",'[1]evolucion mensual nacionali'!$A$4,"indicador","PAÍSES DEL ESTE","mes",4,"año",2010)/GETPIVOTDATA("dato",'[1]evolucion mensual nacionali'!$A$4,"indicador","TOTAL","mes",4,"año",2010)</f>
        <v>6.0341405319571263E-3</v>
      </c>
      <c r="T15" s="203">
        <f>GETPIVOTDATA("dato",'[1]evolucion mensual nacionali'!$A$4,"indicador","RESTO DE EUROPA","mes",4,"año",2010)/GETPIVOTDATA("dato",'[1]evolucion mensual nacionali'!$A$4,"indicador","TOTAL","mes",4,"año",2010)</f>
        <v>8.0190551806272325E-3</v>
      </c>
      <c r="U15" s="203">
        <f>GETPIVOTDATA("dato",'[1]evolucion mensual nacionali'!$A$4,"indicador","USA","mes",4,"año",2010)/GETPIVOTDATA("dato",'[1]evolucion mensual nacionali'!$A$4,"indicador","TOTAL","mes",4,"año",2010)</f>
        <v>1.167129813418023E-2</v>
      </c>
      <c r="V15" s="203">
        <f>GETPIVOTDATA("dato",'[1]evolucion mensual nacionali'!$A$4,"indicador","RESTO DE AMÉRICA","mes",4,"año",2010)/GETPIVOTDATA("dato",'[1]evolucion mensual nacionali'!$A$4,"indicador","TOTAL","mes",4,"año",2010)</f>
        <v>2.4295355299722113E-2</v>
      </c>
      <c r="W15" s="203">
        <f>GETPIVOTDATA("dato",'[1]evolucion mensual nacionali'!$A$4,"indicador","RESTO DEL MUNDO","mes",4,"año",2010)/GETPIVOTDATA("dato",'[1]evolucion mensual nacionali'!$A$4,"indicador","TOTAL","mes",4,"año",2010)</f>
        <v>2.8423977768955933E-2</v>
      </c>
      <c r="X15" s="203">
        <f>(GETPIVOTDATA("dato",'[1]evolucion mensual nacionali'!$A$4,"indicador","TOTAL","mes",4,"año",2010)-GETPIVOTDATA("dato",'[1]evolucion mensual nacionali'!$A$4,"indicador","España","mes",4,"año",2010))/GETPIVOTDATA("dato",'[1]evolucion mensual nacionali'!$A$4,"indicador","TOTAL","mes",4,"año",2010)</f>
        <v>0.17300516077808653</v>
      </c>
      <c r="Y15" s="205">
        <f>GETPIVOTDATA("dato",'[1]evolucion mensual nacionali'!$A$4,"indicador","TOTAL","mes",4,"año",2010)/GETPIVOTDATA("dato",'[1]evolucion mensual nacionali'!$A$4,"indicador","TOTAL","mes",4,"año",2010)</f>
        <v>1</v>
      </c>
    </row>
    <row r="16" spans="2:26">
      <c r="B16" s="51" t="s">
        <v>47</v>
      </c>
      <c r="C16" s="203">
        <f>GETPIVOTDATA("dato",'[1]evolucion mensual nacionali'!$A$4,"indicador","España","mes",3,"año",2010)/GETPIVOTDATA("dato",'[1]evolucion mensual nacionali'!$A$4,"indicador","TOTAL","mes",3,"año",2010)</f>
        <v>0.83360779470289559</v>
      </c>
      <c r="D16" s="203">
        <f>GETPIVOTDATA("dato",'[1]evolucion mensual nacionali'!$A$4,"indicador","HOLANDA","mes",3,"año",2010)/GETPIVOTDATA("dato",'[1]evolucion mensual nacionali'!$A$4,"indicador","TOTAL","mes",3,"año",2010)</f>
        <v>2.881844380403458E-3</v>
      </c>
      <c r="E16" s="203">
        <f>GETPIVOTDATA("dato",'[1]evolucion mensual nacionali'!$A$4,"indicador","BÉLGICA","mes",3,"año",2010)/GETPIVOTDATA("dato",'[1]evolucion mensual nacionali'!$A$4,"indicador","TOTAL","mes",3,"año",2010)</f>
        <v>3.2249210923562511E-3</v>
      </c>
      <c r="F16" s="203">
        <f>GETPIVOTDATA("dato",'[1]evolucion mensual nacionali'!$A$4,"indicador","ALEMANIA","mes",3,"año",2010)/GETPIVOTDATA("dato",'[1]evolucion mensual nacionali'!$A$4,"indicador","TOTAL","mes",3,"año",2010)</f>
        <v>2.662275284753671E-2</v>
      </c>
      <c r="G16" s="203">
        <f>GETPIVOTDATA("dato",'[1]evolucion mensual nacionali'!$A$4,"indicador","FRANCIA","mes",3,"año",2010)/GETPIVOTDATA("dato",'[1]evolucion mensual nacionali'!$A$4,"indicador","TOTAL","mes",3,"año",2010)</f>
        <v>1.4271991217236175E-2</v>
      </c>
      <c r="H16" s="203">
        <f>GETPIVOTDATA("dato",'[1]evolucion mensual nacionali'!$A$4,"indicador","REINO UNIDO","mes",3,"año",2010)/GETPIVOTDATA("dato",'[1]evolucion mensual nacionali'!$A$4,"indicador","TOTAL","mes",3,"año",2010)</f>
        <v>1.7016604912858516E-2</v>
      </c>
      <c r="I16" s="203">
        <f>GETPIVOTDATA("dato",'[1]evolucion mensual nacionali'!$A$4,"indicador","IRLANDA","mes",3,"año",2010)/GETPIVOTDATA("dato",'[1]evolucion mensual nacionali'!$A$4,"indicador","TOTAL","mes",3,"año",2010)</f>
        <v>2.2643062988884316E-3</v>
      </c>
      <c r="J16" s="203">
        <f>GETPIVOTDATA("dato",'[1]evolucion mensual nacionali'!$A$4,"indicador","ITALIA","mes",3,"año",2010)/GETPIVOTDATA("dato",'[1]evolucion mensual nacionali'!$A$4,"indicador","TOTAL","mes",3,"año",2010)</f>
        <v>1.3928914505283382E-2</v>
      </c>
      <c r="K16" s="203">
        <f>(GETPIVOTDATA("dato",'[1]evolucion mensual nacionali'!$A$4,"indicador","SUECIA","mes",3,"año",2010)+GETPIVOTDATA("dato",'[1]evolucion mensual nacionali'!$A$4,"indicador","NORUEGA","mes",3,"año",2010)+GETPIVOTDATA("dato",'[1]evolucion mensual nacionali'!$A$4,"indicador","DINAMARCA","mes",3,"año",2010)+GETPIVOTDATA("dato",'[1]evolucion mensual nacionali'!$A$4,"indicador","FINLANDIA","mes",3,"año",2010))/GETPIVOTDATA("dato",'[1]evolucion mensual nacionali'!$A$4,"indicador","TOTAL","mes",3,"año",2010)</f>
        <v>8.7827638259914912E-3</v>
      </c>
      <c r="L16" s="203">
        <f>GETPIVOTDATA("dato",'[1]evolucion mensual nacionali'!$A$4,"indicador","SUECIA","mes",3,"año",2010)/GETPIVOTDATA("dato",'[1]evolucion mensual nacionali'!$A$4,"indicador","TOTAL","mes",3,"año",2010)</f>
        <v>2.6759983532317825E-3</v>
      </c>
      <c r="M16" s="203">
        <f>GETPIVOTDATA("dato",'[1]evolucion mensual nacionali'!$A$4,"indicador","NORUEGA","mes",3,"año",2010)/GETPIVOTDATA("dato",'[1]evolucion mensual nacionali'!$A$4,"indicador","TOTAL","mes",3,"año",2010)</f>
        <v>9.6061479346781938E-4</v>
      </c>
      <c r="N16" s="203">
        <f>GETPIVOTDATA("dato",'[1]evolucion mensual nacionali'!$A$4,"indicador","DINAMARCA","mes",3,"año",2010)/GETPIVOTDATA("dato",'[1]evolucion mensual nacionali'!$A$4,"indicador","TOTAL","mes",3,"año",2010)</f>
        <v>1.8526142445450802E-3</v>
      </c>
      <c r="O16" s="203">
        <f>GETPIVOTDATA("dato",'[1]evolucion mensual nacionali'!$A$4,"indicador","FINLANDIA","mes",3,"año",2010)/GETPIVOTDATA("dato",'[1]evolucion mensual nacionali'!$A$4,"indicador","TOTAL","mes",3,"año",2010)</f>
        <v>3.2935364347468094E-3</v>
      </c>
      <c r="P16" s="203">
        <f>GETPIVOTDATA("dato",'[1]evolucion mensual nacionali'!$A$4,"indicador","SUIZA","mes",3,"año",2010)/GETPIVOTDATA("dato",'[1]evolucion mensual nacionali'!$A$4,"indicador","TOTAL","mes",3,"año",2010)</f>
        <v>2.6759983532317825E-3</v>
      </c>
      <c r="Q16" s="203">
        <f>GETPIVOTDATA("dato",'[1]evolucion mensual nacionali'!$A$4,"indicador","AUSTRIA","mes",3,"año",2010)/GETPIVOTDATA("dato",'[1]evolucion mensual nacionali'!$A$4,"indicador","TOTAL","mes",3,"año",2010)</f>
        <v>2.5387676684506654E-3</v>
      </c>
      <c r="R16" s="203">
        <f>GETPIVOTDATA("dato",'[1]evolucion mensual nacionali'!$A$4,"indicador","RUSIA","mes",3,"año",2010)/GETPIVOTDATA("dato",'[1]evolucion mensual nacionali'!$A$4,"indicador","TOTAL","mes",3,"año",2010)</f>
        <v>2.8132290380128997E-3</v>
      </c>
      <c r="S16" s="203">
        <f>GETPIVOTDATA("dato",'[1]evolucion mensual nacionali'!$A$4,"indicador","PAÍSES DEL ESTE","mes",3,"año",2010)/GETPIVOTDATA("dato",'[1]evolucion mensual nacionali'!$A$4,"indicador","TOTAL","mes",3,"año",2010)</f>
        <v>5.1461506792918896E-3</v>
      </c>
      <c r="T16" s="203">
        <f>GETPIVOTDATA("dato",'[1]evolucion mensual nacionali'!$A$4,"indicador","RESTO DE EUROPA","mes",3,"año",2010)/GETPIVOTDATA("dato",'[1]evolucion mensual nacionali'!$A$4,"indicador","TOTAL","mes",3,"año",2010)</f>
        <v>9.2630712227254018E-3</v>
      </c>
      <c r="U16" s="203">
        <f>GETPIVOTDATA("dato",'[1]evolucion mensual nacionali'!$A$4,"indicador","USA","mes",3,"año",2010)/GETPIVOTDATA("dato",'[1]evolucion mensual nacionali'!$A$4,"indicador","TOTAL","mes",3,"año",2010)</f>
        <v>9.1258405379442843E-3</v>
      </c>
      <c r="V16" s="203">
        <f>GETPIVOTDATA("dato",'[1]evolucion mensual nacionali'!$A$4,"indicador","RESTO DE AMÉRICA","mes",3,"año",2010)/GETPIVOTDATA("dato",'[1]evolucion mensual nacionali'!$A$4,"indicador","TOTAL","mes",3,"año",2010)</f>
        <v>2.4632907918210514E-2</v>
      </c>
      <c r="W16" s="203">
        <f>GETPIVOTDATA("dato",'[1]evolucion mensual nacionali'!$A$4,"indicador","RESTO DEL MUNDO","mes",3,"año",2010)/GETPIVOTDATA("dato",'[1]evolucion mensual nacionali'!$A$4,"indicador","TOTAL","mes",3,"año",2010)</f>
        <v>2.1202140798682587E-2</v>
      </c>
      <c r="X16" s="203">
        <f>(GETPIVOTDATA("dato",'[1]evolucion mensual nacionali'!$A$4,"indicador","TOTAL","mes",3,"año",2010)-GETPIVOTDATA("dato",'[1]evolucion mensual nacionali'!$A$4,"indicador","España","mes",3,"año",2010))/GETPIVOTDATA("dato",'[1]evolucion mensual nacionali'!$A$4,"indicador","TOTAL","mes",3,"año",2010)</f>
        <v>0.16639220529710444</v>
      </c>
      <c r="Y16" s="205">
        <f>GETPIVOTDATA("dato",'[1]evolucion mensual nacionali'!$A$4,"indicador","TOTAL","mes",3,"año",2010)/GETPIVOTDATA("dato",'[1]evolucion mensual nacionali'!$A$4,"indicador","TOTAL","mes",3,"año",2010)</f>
        <v>1</v>
      </c>
    </row>
    <row r="17" spans="2:25">
      <c r="B17" s="51" t="s">
        <v>48</v>
      </c>
      <c r="C17" s="203">
        <f>GETPIVOTDATA("dato",'[1]evolucion mensual nacionali'!$A$4,"indicador","España","mes",2,"año",2010)/GETPIVOTDATA("dato",'[1]evolucion mensual nacionali'!$A$4,"indicador","TOTAL","mes",2,"año",2010)</f>
        <v>0.80326988483799744</v>
      </c>
      <c r="D17" s="203">
        <f>GETPIVOTDATA("dato",'[1]evolucion mensual nacionali'!$A$4,"indicador","HOLANDA","mes",2,"año",2010)/GETPIVOTDATA("dato",'[1]evolucion mensual nacionali'!$A$4,"indicador","TOTAL","mes",2,"año",2010)</f>
        <v>9.1294229965988433E-3</v>
      </c>
      <c r="E17" s="203">
        <f>GETPIVOTDATA("dato",'[1]evolucion mensual nacionali'!$A$4,"indicador","BÉLGICA","mes",2,"año",2010)/GETPIVOTDATA("dato",'[1]evolucion mensual nacionali'!$A$4,"indicador","TOTAL","mes",2,"año",2010)</f>
        <v>2.6851244107643653E-3</v>
      </c>
      <c r="F17" s="203">
        <f>GETPIVOTDATA("dato",'[1]evolucion mensual nacionali'!$A$4,"indicador","ALEMANIA","mes",2,"año",2010)/GETPIVOTDATA("dato",'[1]evolucion mensual nacionali'!$A$4,"indicador","TOTAL","mes",2,"año",2010)</f>
        <v>2.4285458559579927E-2</v>
      </c>
      <c r="G17" s="203">
        <f>GETPIVOTDATA("dato",'[1]evolucion mensual nacionali'!$A$4,"indicador","FRANCIA","mes",2,"año",2010)/GETPIVOTDATA("dato",'[1]evolucion mensual nacionali'!$A$4,"indicador","TOTAL","mes",2,"año",2010)</f>
        <v>1.7900829405095769E-2</v>
      </c>
      <c r="H17" s="203">
        <f>GETPIVOTDATA("dato",'[1]evolucion mensual nacionali'!$A$4,"indicador","REINO UNIDO","mes",2,"año",2010)/GETPIVOTDATA("dato",'[1]evolucion mensual nacionali'!$A$4,"indicador","TOTAL","mes",2,"año",2010)</f>
        <v>2.0764962109911092E-2</v>
      </c>
      <c r="I17" s="203">
        <f>GETPIVOTDATA("dato",'[1]evolucion mensual nacionali'!$A$4,"indicador","IRLANDA","mes",2,"año",2010)/GETPIVOTDATA("dato",'[1]evolucion mensual nacionali'!$A$4,"indicador","TOTAL","mes",2,"año",2010)</f>
        <v>3.1028104302165999E-3</v>
      </c>
      <c r="J17" s="203">
        <f>GETPIVOTDATA("dato",'[1]evolucion mensual nacionali'!$A$4,"indicador","ITALIA","mes",2,"año",2010)/GETPIVOTDATA("dato",'[1]evolucion mensual nacionali'!$A$4,"indicador","TOTAL","mes",2,"año",2010)</f>
        <v>1.8974879169401517E-2</v>
      </c>
      <c r="K17" s="203">
        <f>(GETPIVOTDATA("dato",'[1]evolucion mensual nacionali'!$A$4,"indicador","SUECIA","mes",2,"año",2010)+GETPIVOTDATA("dato",'[1]evolucion mensual nacionali'!$A$4,"indicador","NORUEGA","mes",2,"año",2010)+GETPIVOTDATA("dato",'[1]evolucion mensual nacionali'!$A$4,"indicador","DINAMARCA","mes",2,"año",2010)+GETPIVOTDATA("dato",'[1]evolucion mensual nacionali'!$A$4,"indicador","FINLANDIA","mes",2,"año",2010))/GETPIVOTDATA("dato",'[1]evolucion mensual nacionali'!$A$4,"indicador","TOTAL","mes",2,"año",2010)</f>
        <v>1.7483143385643534E-2</v>
      </c>
      <c r="L17" s="203">
        <f>GETPIVOTDATA("dato",'[1]evolucion mensual nacionali'!$A$4,"indicador","SUECIA","mes",2,"año",2010)/GETPIVOTDATA("dato",'[1]evolucion mensual nacionali'!$A$4,"indicador","TOTAL","mes",2,"año",2010)</f>
        <v>5.9669431350319229E-3</v>
      </c>
      <c r="M17" s="203">
        <f>GETPIVOTDATA("dato",'[1]evolucion mensual nacionali'!$A$4,"indicador","NORUEGA","mes",2,"año",2010)/GETPIVOTDATA("dato",'[1]evolucion mensual nacionali'!$A$4,"indicador","TOTAL","mes",2,"año",2010)</f>
        <v>3.1028104302165999E-3</v>
      </c>
      <c r="N17" s="203">
        <f>GETPIVOTDATA("dato",'[1]evolucion mensual nacionali'!$A$4,"indicador","DINAMARCA","mes",2,"año",2010)/GETPIVOTDATA("dato",'[1]evolucion mensual nacionali'!$A$4,"indicador","TOTAL","mes",2,"año",2010)</f>
        <v>4.4752073512739424E-3</v>
      </c>
      <c r="O17" s="203">
        <f>GETPIVOTDATA("dato",'[1]evolucion mensual nacionali'!$A$4,"indicador","FINLANDIA","mes",2,"año",2010)/GETPIVOTDATA("dato",'[1]evolucion mensual nacionali'!$A$4,"indicador","TOTAL","mes",2,"año",2010)</f>
        <v>3.9381824691210694E-3</v>
      </c>
      <c r="P17" s="203">
        <f>GETPIVOTDATA("dato",'[1]evolucion mensual nacionali'!$A$4,"indicador","SUIZA","mes",2,"año",2010)/GETPIVOTDATA("dato",'[1]evolucion mensual nacionali'!$A$4,"indicador","TOTAL","mes",2,"año",2010)</f>
        <v>3.2221492929172383E-3</v>
      </c>
      <c r="Q17" s="203">
        <f>GETPIVOTDATA("dato",'[1]evolucion mensual nacionali'!$A$4,"indicador","AUSTRIA","mes",2,"año",2010)/GETPIVOTDATA("dato",'[1]evolucion mensual nacionali'!$A$4,"indicador","TOTAL","mes",2,"año",2010)</f>
        <v>4.0575213318217078E-3</v>
      </c>
      <c r="R17" s="203">
        <f>GETPIVOTDATA("dato",'[1]evolucion mensual nacionali'!$A$4,"indicador","RUSIA","mes",2,"año",2010)/GETPIVOTDATA("dato",'[1]evolucion mensual nacionali'!$A$4,"indicador","TOTAL","mes",2,"año",2010)</f>
        <v>4.3558684885733039E-3</v>
      </c>
      <c r="S17" s="203">
        <f>GETPIVOTDATA("dato",'[1]evolucion mensual nacionali'!$A$4,"indicador","PAÍSES DEL ESTE","mes",2,"año",2010)/GETPIVOTDATA("dato",'[1]evolucion mensual nacionali'!$A$4,"indicador","TOTAL","mes",2,"año",2010)</f>
        <v>5.1315710961274538E-3</v>
      </c>
      <c r="T17" s="203">
        <f>GETPIVOTDATA("dato",'[1]evolucion mensual nacionali'!$A$4,"indicador","RESTO DE EUROPA","mes",2,"año",2010)/GETPIVOTDATA("dato",'[1]evolucion mensual nacionali'!$A$4,"indicador","TOTAL","mes",2,"año",2010)</f>
        <v>1.0322811623605228E-2</v>
      </c>
      <c r="U17" s="203">
        <f>GETPIVOTDATA("dato",'[1]evolucion mensual nacionali'!$A$4,"indicador","USA","mes",2,"año",2010)/GETPIVOTDATA("dato",'[1]evolucion mensual nacionali'!$A$4,"indicador","TOTAL","mes",2,"año",2010)</f>
        <v>6.3249597231338382E-3</v>
      </c>
      <c r="V17" s="203">
        <f>GETPIVOTDATA("dato",'[1]evolucion mensual nacionali'!$A$4,"indicador","RESTO DE AMÉRICA","mes",2,"año",2010)/GETPIVOTDATA("dato",'[1]evolucion mensual nacionali'!$A$4,"indicador","TOTAL","mes",2,"año",2010)</f>
        <v>2.8820335342204188E-2</v>
      </c>
      <c r="W17" s="203">
        <f>GETPIVOTDATA("dato",'[1]evolucion mensual nacionali'!$A$4,"indicador","RESTO DEL MUNDO","mes",2,"año",2010)/GETPIVOTDATA("dato",'[1]evolucion mensual nacionali'!$A$4,"indicador","TOTAL","mes",2,"año",2010)</f>
        <v>2.0168267796407902E-2</v>
      </c>
      <c r="X17" s="203">
        <f>(GETPIVOTDATA("dato",'[1]evolucion mensual nacionali'!$A$4,"indicador","TOTAL","mes",2,"año",2010)-GETPIVOTDATA("dato",'[1]evolucion mensual nacionali'!$A$4,"indicador","España","mes",2,"año",2010))/GETPIVOTDATA("dato",'[1]evolucion mensual nacionali'!$A$4,"indicador","TOTAL","mes",2,"año",2010)</f>
        <v>0.19673011516200251</v>
      </c>
      <c r="Y17" s="205">
        <f>GETPIVOTDATA("dato",'[1]evolucion mensual nacionali'!$A$4,"indicador","TOTAL","mes",2,"año",2010)/GETPIVOTDATA("dato",'[1]evolucion mensual nacionali'!$A$4,"indicador","TOTAL","mes",2,"año",2010)</f>
        <v>1</v>
      </c>
    </row>
    <row r="18" spans="2:25">
      <c r="B18" s="51" t="s">
        <v>49</v>
      </c>
      <c r="C18" s="203">
        <f>GETPIVOTDATA("dato",'[1]evolucion mensual nacionali'!$A$4,"indicador","España","mes",1,"año",2010)/GETPIVOTDATA("dato",'[1]evolucion mensual nacionali'!$A$4,"indicador","TOTAL","mes",1,"año",2010)</f>
        <v>0.76660600545950863</v>
      </c>
      <c r="D18" s="203">
        <f>GETPIVOTDATA("dato",'[1]evolucion mensual nacionali'!$A$4,"indicador","HOLANDA","mes",1,"año",2010)/GETPIVOTDATA("dato",'[1]evolucion mensual nacionali'!$A$4,"indicador","TOTAL","mes",1,"año",2010)</f>
        <v>7.4309978768577496E-3</v>
      </c>
      <c r="E18" s="203">
        <f>GETPIVOTDATA("dato",'[1]evolucion mensual nacionali'!$A$4,"indicador","BÉLGICA","mes",1,"año",2010)/GETPIVOTDATA("dato",'[1]evolucion mensual nacionali'!$A$4,"indicador","TOTAL","mes",1,"año",2010)</f>
        <v>4.3221110100090995E-3</v>
      </c>
      <c r="F18" s="203">
        <f>GETPIVOTDATA("dato",'[1]evolucion mensual nacionali'!$A$4,"indicador","ALEMANIA","mes",1,"año",2010)/GETPIVOTDATA("dato",'[1]evolucion mensual nacionali'!$A$4,"indicador","TOTAL","mes",1,"año",2010)</f>
        <v>2.8965726417955716E-2</v>
      </c>
      <c r="G18" s="203">
        <f>GETPIVOTDATA("dato",'[1]evolucion mensual nacionali'!$A$4,"indicador","FRANCIA","mes",1,"año",2010)/GETPIVOTDATA("dato",'[1]evolucion mensual nacionali'!$A$4,"indicador","TOTAL","mes",1,"año",2010)</f>
        <v>1.7288444040036398E-2</v>
      </c>
      <c r="H18" s="203">
        <f>GETPIVOTDATA("dato",'[1]evolucion mensual nacionali'!$A$4,"indicador","REINO UNIDO","mes",1,"año",2010)/GETPIVOTDATA("dato",'[1]evolucion mensual nacionali'!$A$4,"indicador","TOTAL","mes",1,"año",2010)</f>
        <v>3.9202305125872007E-2</v>
      </c>
      <c r="I18" s="203">
        <f>GETPIVOTDATA("dato",'[1]evolucion mensual nacionali'!$A$4,"indicador","IRLANDA","mes",1,"año",2010)/GETPIVOTDATA("dato",'[1]evolucion mensual nacionali'!$A$4,"indicador","TOTAL","mes",1,"año",2010)</f>
        <v>4.397937518956627E-3</v>
      </c>
      <c r="J18" s="203">
        <f>GETPIVOTDATA("dato",'[1]evolucion mensual nacionali'!$A$4,"indicador","ITALIA","mes",1,"año",2010)/GETPIVOTDATA("dato",'[1]evolucion mensual nacionali'!$A$4,"indicador","TOTAL","mes",1,"año",2010)</f>
        <v>2.1383075523202913E-2</v>
      </c>
      <c r="K18" s="203">
        <f>(GETPIVOTDATA("dato",'[1]evolucion mensual nacionali'!$A$4,"indicador","SUECIA","mes",1,"año",2010)+GETPIVOTDATA("dato",'[1]evolucion mensual nacionali'!$A$4,"indicador","NORUEGA","mes",1,"año",2010)+GETPIVOTDATA("dato",'[1]evolucion mensual nacionali'!$A$4,"indicador","DINAMARCA","mes",1,"año",2010)+GETPIVOTDATA("dato",'[1]evolucion mensual nacionali'!$A$4,"indicador","FINLANDIA","mes",1,"año",2010))/GETPIVOTDATA("dato",'[1]evolucion mensual nacionali'!$A$4,"indicador","TOTAL","mes",1,"año",2010)</f>
        <v>1.4103730664240218E-2</v>
      </c>
      <c r="L18" s="203">
        <f>GETPIVOTDATA("dato",'[1]evolucion mensual nacionali'!$A$4,"indicador","SUECIA","mes",1,"año",2010)/GETPIVOTDATA("dato",'[1]evolucion mensual nacionali'!$A$4,"indicador","TOTAL","mes",1,"año",2010)</f>
        <v>3.5638459205338188E-3</v>
      </c>
      <c r="M18" s="203">
        <f>GETPIVOTDATA("dato",'[1]evolucion mensual nacionali'!$A$4,"indicador","NORUEGA","mes",1,"año",2010)/GETPIVOTDATA("dato",'[1]evolucion mensual nacionali'!$A$4,"indicador","TOTAL","mes",1,"año",2010)</f>
        <v>1.8198362147406734E-3</v>
      </c>
      <c r="N18" s="203">
        <f>GETPIVOTDATA("dato",'[1]evolucion mensual nacionali'!$A$4,"indicador","DINAMARCA","mes",1,"año",2010)/GETPIVOTDATA("dato",'[1]evolucion mensual nacionali'!$A$4,"indicador","TOTAL","mes",1,"año",2010)</f>
        <v>2.8814073400060662E-3</v>
      </c>
      <c r="O18" s="203">
        <f>GETPIVOTDATA("dato",'[1]evolucion mensual nacionali'!$A$4,"indicador","FINLANDIA","mes",1,"año",2010)/GETPIVOTDATA("dato",'[1]evolucion mensual nacionali'!$A$4,"indicador","TOTAL","mes",1,"año",2010)</f>
        <v>5.8386411889596599E-3</v>
      </c>
      <c r="P18" s="203">
        <f>GETPIVOTDATA("dato",'[1]evolucion mensual nacionali'!$A$4,"indicador","SUIZA","mes",1,"año",2010)/GETPIVOTDATA("dato",'[1]evolucion mensual nacionali'!$A$4,"indicador","TOTAL","mes",1,"año",2010)</f>
        <v>5.6869881710646039E-3</v>
      </c>
      <c r="Q18" s="203">
        <f>GETPIVOTDATA("dato",'[1]evolucion mensual nacionali'!$A$4,"indicador","AUSTRIA","mes",1,"año",2010)/GETPIVOTDATA("dato",'[1]evolucion mensual nacionali'!$A$4,"indicador","TOTAL","mes",1,"año",2010)</f>
        <v>2.6539278131634818E-3</v>
      </c>
      <c r="R18" s="203">
        <f>GETPIVOTDATA("dato",'[1]evolucion mensual nacionali'!$A$4,"indicador","RUSIA","mes",1,"año",2010)/GETPIVOTDATA("dato",'[1]evolucion mensual nacionali'!$A$4,"indicador","TOTAL","mes",1,"año",2010)</f>
        <v>2.8814073400060662E-3</v>
      </c>
      <c r="S18" s="203">
        <f>GETPIVOTDATA("dato",'[1]evolucion mensual nacionali'!$A$4,"indicador","PAÍSES DEL ESTE","mes",1,"año",2010)/GETPIVOTDATA("dato",'[1]evolucion mensual nacionali'!$A$4,"indicador","TOTAL","mes",1,"año",2010)</f>
        <v>6.7485592963299973E-3</v>
      </c>
      <c r="T18" s="203">
        <f>GETPIVOTDATA("dato",'[1]evolucion mensual nacionali'!$A$4,"indicador","RESTO DE EUROPA","mes",1,"año",2010)/GETPIVOTDATA("dato",'[1]evolucion mensual nacionali'!$A$4,"indicador","TOTAL","mes",1,"año",2010)</f>
        <v>9.781619654231119E-3</v>
      </c>
      <c r="U18" s="203">
        <f>GETPIVOTDATA("dato",'[1]evolucion mensual nacionali'!$A$4,"indicador","USA","mes",1,"año",2010)/GETPIVOTDATA("dato",'[1]evolucion mensual nacionali'!$A$4,"indicador","TOTAL","mes",1,"año",2010)</f>
        <v>7.5826508947528055E-3</v>
      </c>
      <c r="V18" s="203">
        <f>GETPIVOTDATA("dato",'[1]evolucion mensual nacionali'!$A$4,"indicador","RESTO DE AMÉRICA","mes",1,"año",2010)/GETPIVOTDATA("dato",'[1]evolucion mensual nacionali'!$A$4,"indicador","TOTAL","mes",1,"año",2010)</f>
        <v>3.8140734000606615E-2</v>
      </c>
      <c r="W18" s="203">
        <f>GETPIVOTDATA("dato",'[1]evolucion mensual nacionali'!$A$4,"indicador","RESTO DEL MUNDO","mes",1,"año",2010)/GETPIVOTDATA("dato",'[1]evolucion mensual nacionali'!$A$4,"indicador","TOTAL","mes",1,"año",2010)</f>
        <v>2.2823779193205943E-2</v>
      </c>
      <c r="X18" s="203">
        <f>(GETPIVOTDATA("dato",'[1]evolucion mensual nacionali'!$A$4,"indicador","TOTAL","mes",1,"año",2010)-GETPIVOTDATA("dato",'[1]evolucion mensual nacionali'!$A$4,"indicador","España","mes",1,"año",2010))/GETPIVOTDATA("dato",'[1]evolucion mensual nacionali'!$A$4,"indicador","TOTAL","mes",1,"año",2010)</f>
        <v>0.23339399454049137</v>
      </c>
      <c r="Y18" s="205">
        <f>GETPIVOTDATA("dato",'[1]evolucion mensual nacionali'!$A$4,"indicador","TOTAL","mes",1,"año",2010)/GETPIVOTDATA("dato",'[1]evolucion mensual nacionali'!$A$4,"indicador","TOTAL","mes",1,"año",2010)</f>
        <v>1</v>
      </c>
    </row>
    <row r="19" spans="2:25" ht="24">
      <c r="B19" s="291" t="s">
        <v>55</v>
      </c>
      <c r="C19" s="208">
        <f>GETPIVOTDATA("dato",'[1]evolucion mensual nacionali'!$A$4,"indicador","España","año",2010)/GETPIVOTDATA("dato",'[1]evolucion mensual nacionali'!$A$4,"indicador","TOTAL","año",2010)</f>
        <v>0.82284304430270638</v>
      </c>
      <c r="D19" s="208">
        <f>GETPIVOTDATA("dato",'[1]evolucion mensual nacionali'!$A$4,"indicador","HOLANDA","año",2010)/GETPIVOTDATA("dato",'[1]evolucion mensual nacionali'!$A$4,"indicador","TOTAL","año",2010)</f>
        <v>5.4516462678848472E-3</v>
      </c>
      <c r="E19" s="208">
        <f>GETPIVOTDATA("dato",'[1]evolucion mensual nacionali'!$A$4,"indicador","BÉLGICA","año",2010)/GETPIVOTDATA("dato",'[1]evolucion mensual nacionali'!$A$4,"indicador","TOTAL","año",2010)</f>
        <v>3.6631615238751939E-3</v>
      </c>
      <c r="F19" s="208">
        <f>GETPIVOTDATA("dato",'[1]evolucion mensual nacionali'!$A$4,"indicador","ALEMANIA","año",2010)/GETPIVOTDATA("dato",'[1]evolucion mensual nacionali'!$A$4,"indicador","TOTAL","año",2010)</f>
        <v>2.1009308739872435E-2</v>
      </c>
      <c r="G19" s="208">
        <f>GETPIVOTDATA("dato",'[1]evolucion mensual nacionali'!$A$4,"indicador","FRANCIA","año",2010)/GETPIVOTDATA("dato",'[1]evolucion mensual nacionali'!$A$4,"indicador","TOTAL","año",2010)</f>
        <v>1.4814256162730563E-2</v>
      </c>
      <c r="H19" s="208">
        <f>GETPIVOTDATA("dato",'[1]evolucion mensual nacionali'!$A$4,"indicador","REINO UNIDO","año",2010)/GETPIVOTDATA("dato",'[1]evolucion mensual nacionali'!$A$4,"indicador","TOTAL","año",2010)</f>
        <v>1.8692897776245474E-2</v>
      </c>
      <c r="I19" s="208">
        <f>GETPIVOTDATA("dato",'[1]evolucion mensual nacionali'!$A$4,"indicador","IRLANDA","año",2010)/GETPIVOTDATA("dato",'[1]evolucion mensual nacionali'!$A$4,"indicador","TOTAL","año",2010)</f>
        <v>2.5642130667126359E-3</v>
      </c>
      <c r="J19" s="208">
        <f>GETPIVOTDATA("dato",'[1]evolucion mensual nacionali'!$A$4,"indicador","ITALIA","año",2010)/GETPIVOTDATA("dato",'[1]evolucion mensual nacionali'!$A$4,"indicador","TOTAL","año",2010)</f>
        <v>1.6085588691604896E-2</v>
      </c>
      <c r="K19" s="208">
        <f>(GETPIVOTDATA("dato",'[1]evolucion mensual nacionali'!$A$4,"indicador","SUECIA","año",2010)+GETPIVOTDATA("dato",'[1]evolucion mensual nacionali'!$A$4,"indicador","NORUEGA","año",2010)+GETPIVOTDATA("dato",'[1]evolucion mensual nacionali'!$A$4,"indicador","DINAMARCA","año",2010)+GETPIVOTDATA("dato",'[1]evolucion mensual nacionali'!$A$4,"indicador","FINLANDIA","año",2010))/GETPIVOTDATA("dato",'[1]evolucion mensual nacionali'!$A$4,"indicador","TOTAL","año",2010)</f>
        <v>9.8797621099810384E-3</v>
      </c>
      <c r="L19" s="208">
        <f>GETPIVOTDATA("dato",'[1]evolucion mensual nacionali'!$A$4,"indicador","SUECIA","año",2010)/GETPIVOTDATA("dato",'[1]evolucion mensual nacionali'!$A$4,"indicador","TOTAL","año",2010)</f>
        <v>2.7365971384244094E-3</v>
      </c>
      <c r="M19" s="208">
        <f>GETPIVOTDATA("dato",'[1]evolucion mensual nacionali'!$A$4,"indicador","NORUEGA","año",2010)/GETPIVOTDATA("dato",'[1]evolucion mensual nacionali'!$A$4,"indicador","TOTAL","año",2010)</f>
        <v>1.8423547664195828E-3</v>
      </c>
      <c r="N19" s="208">
        <f>GETPIVOTDATA("dato",'[1]evolucion mensual nacionali'!$A$4,"indicador","DINAMARCA","año",2010)/GETPIVOTDATA("dato",'[1]evolucion mensual nacionali'!$A$4,"indicador","TOTAL","año",2010)</f>
        <v>2.2517669367350455E-3</v>
      </c>
      <c r="O19" s="208">
        <f>GETPIVOTDATA("dato",'[1]evolucion mensual nacionali'!$A$4,"indicador","FINLANDIA","año",2010)/GETPIVOTDATA("dato",'[1]evolucion mensual nacionali'!$A$4,"indicador","TOTAL","año",2010)</f>
        <v>3.0490432684019998E-3</v>
      </c>
      <c r="P19" s="208">
        <f>GETPIVOTDATA("dato",'[1]evolucion mensual nacionali'!$A$4,"indicador","SUIZA","año",2010)/GETPIVOTDATA("dato",'[1]evolucion mensual nacionali'!$A$4,"indicador","TOTAL","año",2010)</f>
        <v>3.3291673849336323E-3</v>
      </c>
      <c r="Q19" s="208">
        <f>GETPIVOTDATA("dato",'[1]evolucion mensual nacionali'!$A$4,"indicador","AUSTRIA","año",2010)/GETPIVOTDATA("dato",'[1]evolucion mensual nacionali'!$A$4,"indicador","TOTAL","año",2010)</f>
        <v>2.1655749008791586E-3</v>
      </c>
      <c r="R19" s="208">
        <f>GETPIVOTDATA("dato",'[1]evolucion mensual nacionali'!$A$4,"indicador","RUSIA","año",2010)/GETPIVOTDATA("dato",'[1]evolucion mensual nacionali'!$A$4,"indicador","TOTAL","año",2010)</f>
        <v>2.6611791070505087E-3</v>
      </c>
      <c r="S19" s="208">
        <f>GETPIVOTDATA("dato",'[1]evolucion mensual nacionali'!$A$4,"indicador","PAÍSES DEL ESTE","año",2010)/GETPIVOTDATA("dato",'[1]evolucion mensual nacionali'!$A$4,"indicador","TOTAL","año",2010)</f>
        <v>5.0422340975693845E-3</v>
      </c>
      <c r="T19" s="208">
        <f>GETPIVOTDATA("dato",'[1]evolucion mensual nacionali'!$A$4,"indicador","RESTO DE EUROPA","año",2010)/GETPIVOTDATA("dato",'[1]evolucion mensual nacionali'!$A$4,"indicador","TOTAL","año",2010)</f>
        <v>1.060162041027409E-2</v>
      </c>
      <c r="U19" s="208">
        <f>GETPIVOTDATA("dato",'[1]evolucion mensual nacionali'!$A$4,"indicador","USA","año",2010)/GETPIVOTDATA("dato",'[1]evolucion mensual nacionali'!$A$4,"indicador","TOTAL","año",2010)</f>
        <v>8.4683675228408896E-3</v>
      </c>
      <c r="V19" s="208">
        <f>GETPIVOTDATA("dato",'[1]evolucion mensual nacionali'!$A$4,"indicador","RESTO DE AMÉRICA","año",2010)/GETPIVOTDATA("dato",'[1]evolucion mensual nacionali'!$A$4,"indicador","TOTAL","año",2010)</f>
        <v>2.9531546285123254E-2</v>
      </c>
      <c r="W19" s="208">
        <f>GETPIVOTDATA("dato",'[1]evolucion mensual nacionali'!$A$4,"indicador","RESTO DEL MUNDO","año",2010)/GETPIVOTDATA("dato",'[1]evolucion mensual nacionali'!$A$4,"indicador","TOTAL","año",2010)</f>
        <v>2.3196431649715566E-2</v>
      </c>
      <c r="X19" s="208">
        <f>(GETPIVOTDATA("dato",'[1]evolucion mensual nacionali'!$A$4,"indicador","TOTAL","año",2010)-GETPIVOTDATA("dato",'[1]evolucion mensual nacionali'!$A$4,"indicador","España","año",2010))/GETPIVOTDATA("dato",'[1]evolucion mensual nacionali'!$A$4,"indicador","TOTAL","año",2010)</f>
        <v>0.17715695569729356</v>
      </c>
      <c r="Y19" s="292">
        <f>GETPIVOTDATA("dato",'[1]evolucion mensual nacionali'!$A$4,"indicador","TOTAL","año",2010)/GETPIVOTDATA("dato",'[1]evolucion mensual nacionali'!$A$4,"indicador","TOTAL","año",2010)</f>
        <v>1</v>
      </c>
    </row>
    <row r="20" spans="2:25" ht="15" hidden="1" customHeight="1" outlineLevel="1">
      <c r="B20" s="51" t="s">
        <v>38</v>
      </c>
      <c r="C20" s="203">
        <f>GETPIVOTDATA("dato",'[1]evolucion mensual nacionali'!$A$4,"indicador","España","mes",12,"año",2009)/GETPIVOTDATA("dato",'[1]evolucion mensual nacionali'!$A$4,"indicador","TOTAL","mes",12,"año",2009)</f>
        <v>0.76639156350298032</v>
      </c>
      <c r="D20" s="203">
        <f>GETPIVOTDATA("dato",'[1]evolucion mensual nacionali'!$A$4,"indicador","HOLANDA","mes",12,"año",2009)/GETPIVOTDATA("dato",'[1]evolucion mensual nacionali'!$A$4,"indicador","TOTAL","mes",12,"año",2009)</f>
        <v>7.5653370013755161E-3</v>
      </c>
      <c r="E20" s="203">
        <f>GETPIVOTDATA("dato",'[1]evolucion mensual nacionali'!$A$4,"indicador","BÉLGICA","mes",12,"año",2009)/GETPIVOTDATA("dato",'[1]evolucion mensual nacionali'!$A$4,"indicador","TOTAL","mes",12,"año",2009)</f>
        <v>7.336084364970197E-3</v>
      </c>
      <c r="F20" s="203">
        <f>GETPIVOTDATA("dato",'[1]evolucion mensual nacionali'!$A$4,"indicador","ALEMANIA","mes",12,"año",2009)/GETPIVOTDATA("dato",'[1]evolucion mensual nacionali'!$A$4,"indicador","TOTAL","mes",12,"año",2009)</f>
        <v>4.1723979825767997E-2</v>
      </c>
      <c r="G20" s="203">
        <f>GETPIVOTDATA("dato",'[1]evolucion mensual nacionali'!$A$4,"indicador","FRANCIA","mes",12,"año",2009)/GETPIVOTDATA("dato",'[1]evolucion mensual nacionali'!$A$4,"indicador","TOTAL","mes",12,"año",2009)</f>
        <v>1.7346782821335779E-2</v>
      </c>
      <c r="H20" s="203">
        <f>GETPIVOTDATA("dato",'[1]evolucion mensual nacionali'!$A$4,"indicador","REINO UNIDO","mes",12,"año",2009)/GETPIVOTDATA("dato",'[1]evolucion mensual nacionali'!$A$4,"indicador","TOTAL","mes",12,"año",2009)</f>
        <v>2.9420755005349228E-2</v>
      </c>
      <c r="I20" s="203">
        <f>GETPIVOTDATA("dato",'[1]evolucion mensual nacionali'!$A$4,"indicador","IRLANDA","mes",12,"año",2009)/GETPIVOTDATA("dato",'[1]evolucion mensual nacionali'!$A$4,"indicador","TOTAL","mes",12,"año",2009)</f>
        <v>3.3623720006113402E-3</v>
      </c>
      <c r="J20" s="203">
        <f>GETPIVOTDATA("dato",'[1]evolucion mensual nacionali'!$A$4,"indicador","ITALIA","mes",12,"año",2009)/GETPIVOTDATA("dato",'[1]evolucion mensual nacionali'!$A$4,"indicador","TOTAL","mes",12,"año",2009)</f>
        <v>2.0785572367415558E-2</v>
      </c>
      <c r="K20" s="203">
        <f>(GETPIVOTDATA("dato",'[1]evolucion mensual nacionali'!$A$4,"indicador","SUECIA","mes",12,"año",2009)+GETPIVOTDATA("dato",'[1]evolucion mensual nacionali'!$A$4,"indicador","NORUEGA","mes",12,"año",2009)+GETPIVOTDATA("dato",'[1]evolucion mensual nacionali'!$A$4,"indicador","DINAMARCA","mes",12,"año",2009)+GETPIVOTDATA("dato",'[1]evolucion mensual nacionali'!$A$4,"indicador","FINLANDIA","mes",12,"año",2009))/GETPIVOTDATA("dato",'[1]evolucion mensual nacionali'!$A$4,"indicador","TOTAL","mes",12,"año",2009)</f>
        <v>1.2073972184013449E-2</v>
      </c>
      <c r="L20" s="203">
        <f>GETPIVOTDATA("dato",'[1]evolucion mensual nacionali'!$A$4,"indicador","SUECIA","mes",12,"año",2009)/GETPIVOTDATA("dato",'[1]evolucion mensual nacionali'!$A$4,"indicador","TOTAL","mes",12,"año",2009)</f>
        <v>1.6047684548372307E-3</v>
      </c>
      <c r="M20" s="203">
        <f>GETPIVOTDATA("dato",'[1]evolucion mensual nacionali'!$A$4,"indicador","NORUEGA","mes",12,"año",2009)/GETPIVOTDATA("dato",'[1]evolucion mensual nacionali'!$A$4,"indicador","TOTAL","mes",12,"año",2009)</f>
        <v>4.2793825462326147E-3</v>
      </c>
      <c r="N20" s="203">
        <f>GETPIVOTDATA("dato",'[1]evolucion mensual nacionali'!$A$4,"indicador","DINAMARCA","mes",12,"año",2009)/GETPIVOTDATA("dato",'[1]evolucion mensual nacionali'!$A$4,"indicador","TOTAL","mes",12,"año",2009)</f>
        <v>2.3689439095216261E-3</v>
      </c>
      <c r="O20" s="203">
        <f>GETPIVOTDATA("dato",'[1]evolucion mensual nacionali'!$A$4,"indicador","FINLANDIA","mes",12,"año",2009)/GETPIVOTDATA("dato",'[1]evolucion mensual nacionali'!$A$4,"indicador","TOTAL","mes",12,"año",2009)</f>
        <v>3.8208772734219776E-3</v>
      </c>
      <c r="P20" s="203">
        <f>GETPIVOTDATA("dato",'[1]evolucion mensual nacionali'!$A$4,"indicador","SUIZA","mes",12,"año",2009)/GETPIVOTDATA("dato",'[1]evolucion mensual nacionali'!$A$4,"indicador","TOTAL","mes",12,"año",2009)</f>
        <v>6.9539966376279995E-3</v>
      </c>
      <c r="Q20" s="203">
        <f>GETPIVOTDATA("dato",'[1]evolucion mensual nacionali'!$A$4,"indicador","AUSTRIA","mes",12,"año",2009)/GETPIVOTDATA("dato",'[1]evolucion mensual nacionali'!$A$4,"indicador","TOTAL","mes",12,"año",2009)</f>
        <v>3.6680421824850985E-3</v>
      </c>
      <c r="R20" s="203">
        <f>GETPIVOTDATA("dato",'[1]evolucion mensual nacionali'!$A$4,"indicador","RUSIA","mes",12,"año",2009)/GETPIVOTDATA("dato",'[1]evolucion mensual nacionali'!$A$4,"indicador","TOTAL","mes",12,"año",2009)</f>
        <v>1.6047684548372307E-3</v>
      </c>
      <c r="S20" s="203">
        <f>GETPIVOTDATA("dato",'[1]evolucion mensual nacionali'!$A$4,"indicador","PAÍSES DEL ESTE","mes",12,"año",2009)/GETPIVOTDATA("dato",'[1]evolucion mensual nacionali'!$A$4,"indicador","TOTAL","mes",12,"año",2009)</f>
        <v>5.7313159101329662E-3</v>
      </c>
      <c r="T20" s="203">
        <f>GETPIVOTDATA("dato",'[1]evolucion mensual nacionali'!$A$4,"indicador","RESTO DE EUROPA","mes",12,"año",2009)/GETPIVOTDATA("dato",'[1]evolucion mensual nacionali'!$A$4,"indicador","TOTAL","mes",12,"año",2009)</f>
        <v>9.9342809108971426E-3</v>
      </c>
      <c r="U20" s="203">
        <f>GETPIVOTDATA("dato",'[1]evolucion mensual nacionali'!$A$4,"indicador","USA","mes",12,"año",2009)/GETPIVOTDATA("dato",'[1]evolucion mensual nacionali'!$A$4,"indicador","TOTAL","mes",12,"año",2009)</f>
        <v>6.4190738193489229E-3</v>
      </c>
      <c r="V20" s="203">
        <f>GETPIVOTDATA("dato",'[1]evolucion mensual nacionali'!$A$4,"indicador","RESTO DE AMÉRICA","mes",12,"año",2009)/GETPIVOTDATA("dato",'[1]evolucion mensual nacionali'!$A$4,"indicador","TOTAL","mes",12,"año",2009)</f>
        <v>3.6604004279382547E-2</v>
      </c>
      <c r="W20" s="203">
        <f>GETPIVOTDATA("dato",'[1]evolucion mensual nacionali'!$A$4,"indicador","RESTO DEL MUNDO","mes",12,"año",2009)/GETPIVOTDATA("dato",'[1]evolucion mensual nacionali'!$A$4,"indicador","TOTAL","mes",12,"año",2009)</f>
        <v>2.3078098731468745E-2</v>
      </c>
      <c r="X20" s="203">
        <f>(GETPIVOTDATA("dato",'[1]evolucion mensual nacionali'!$A$4,"indicador","TOTAL","mes",12,"año",2009)-GETPIVOTDATA("dato",'[1]evolucion mensual nacionali'!$A$4,"indicador","España","mes",12,"año",2009))/GETPIVOTDATA("dato",'[1]evolucion mensual nacionali'!$A$4,"indicador","TOTAL","mes",12,"año",2009)</f>
        <v>0.23360843649701971</v>
      </c>
      <c r="Y20" s="205">
        <f>GETPIVOTDATA("dato",'[1]evolucion mensual nacionali'!$A$4,"indicador","TOTAL","mes",12,"año",2009)/GETPIVOTDATA("dato",'[1]evolucion mensual nacionali'!$A$4,"indicador","TOTAL","mes",12,"año",2009)</f>
        <v>1</v>
      </c>
    </row>
    <row r="21" spans="2:25" ht="15" hidden="1" customHeight="1" outlineLevel="1">
      <c r="B21" s="51" t="s">
        <v>39</v>
      </c>
      <c r="C21" s="203">
        <f>GETPIVOTDATA("dato",'[1]evolucion mensual nacionali'!$A$4,"indicador","España","mes",11,"año",2009)/GETPIVOTDATA("dato",'[1]evolucion mensual nacionali'!$A$4,"indicador","TOTAL","mes",11,"año",2009)</f>
        <v>0.79814152966404572</v>
      </c>
      <c r="D21" s="203">
        <f>GETPIVOTDATA("dato",'[1]evolucion mensual nacionali'!$A$4,"indicador","HOLANDA","mes",11,"año",2009)/GETPIVOTDATA("dato",'[1]evolucion mensual nacionali'!$A$4,"indicador","TOTAL","mes",11,"año",2009)</f>
        <v>3.5739814152966403E-3</v>
      </c>
      <c r="E21" s="203">
        <f>GETPIVOTDATA("dato",'[1]evolucion mensual nacionali'!$A$4,"indicador","BÉLGICA","mes",11,"año",2009)/GETPIVOTDATA("dato",'[1]evolucion mensual nacionali'!$A$4,"indicador","TOTAL","mes",11,"año",2009)</f>
        <v>4.0028591851322369E-3</v>
      </c>
      <c r="F21" s="203">
        <f>GETPIVOTDATA("dato",'[1]evolucion mensual nacionali'!$A$4,"indicador","ALEMANIA","mes",11,"año",2009)/GETPIVOTDATA("dato",'[1]evolucion mensual nacionali'!$A$4,"indicador","TOTAL","mes",11,"año",2009)</f>
        <v>4.0314510364546106E-2</v>
      </c>
      <c r="G21" s="203">
        <f>GETPIVOTDATA("dato",'[1]evolucion mensual nacionali'!$A$4,"indicador","FRANCIA","mes",11,"año",2009)/GETPIVOTDATA("dato",'[1]evolucion mensual nacionali'!$A$4,"indicador","TOTAL","mes",11,"año",2009)</f>
        <v>1.3867047891350966E-2</v>
      </c>
      <c r="H21" s="203">
        <f>GETPIVOTDATA("dato",'[1]evolucion mensual nacionali'!$A$4,"indicador","REINO UNIDO","mes",11,"año",2009)/GETPIVOTDATA("dato",'[1]evolucion mensual nacionali'!$A$4,"indicador","TOTAL","mes",11,"año",2009)</f>
        <v>1.8441744102930663E-2</v>
      </c>
      <c r="I21" s="203">
        <f>GETPIVOTDATA("dato",'[1]evolucion mensual nacionali'!$A$4,"indicador","IRLANDA","mes",11,"año",2009)/GETPIVOTDATA("dato",'[1]evolucion mensual nacionali'!$A$4,"indicador","TOTAL","mes",11,"año",2009)</f>
        <v>1.858470335954253E-3</v>
      </c>
      <c r="J21" s="203">
        <f>GETPIVOTDATA("dato",'[1]evolucion mensual nacionali'!$A$4,"indicador","ITALIA","mes",11,"año",2009)/GETPIVOTDATA("dato",'[1]evolucion mensual nacionali'!$A$4,"indicador","TOTAL","mes",11,"año",2009)</f>
        <v>1.4653323802716226E-2</v>
      </c>
      <c r="K21" s="203">
        <f>(GETPIVOTDATA("dato",'[1]evolucion mensual nacionali'!$A$4,"indicador","SUECIA","mes",11,"año",2009)+GETPIVOTDATA("dato",'[1]evolucion mensual nacionali'!$A$4,"indicador","NORUEGA","mes",11,"año",2009)+GETPIVOTDATA("dato",'[1]evolucion mensual nacionali'!$A$4,"indicador","DINAMARCA","mes",11,"año",2009)+GETPIVOTDATA("dato",'[1]evolucion mensual nacionali'!$A$4,"indicador","FINLANDIA","mes",11,"año",2009))/GETPIVOTDATA("dato",'[1]evolucion mensual nacionali'!$A$4,"indicador","TOTAL","mes",11,"año",2009)</f>
        <v>1.093638313080772E-2</v>
      </c>
      <c r="L21" s="203">
        <f>GETPIVOTDATA("dato",'[1]evolucion mensual nacionali'!$A$4,"indicador","SUECIA","mes",11,"año",2009)/GETPIVOTDATA("dato",'[1]evolucion mensual nacionali'!$A$4,"indicador","TOTAL","mes",11,"año",2009)</f>
        <v>3.0021443888491781E-3</v>
      </c>
      <c r="M21" s="203">
        <f>GETPIVOTDATA("dato",'[1]evolucion mensual nacionali'!$A$4,"indicador","NORUEGA","mes",11,"año",2009)/GETPIVOTDATA("dato",'[1]evolucion mensual nacionali'!$A$4,"indicador","TOTAL","mes",11,"año",2009)</f>
        <v>3.2165832737669764E-3</v>
      </c>
      <c r="N21" s="203">
        <f>GETPIVOTDATA("dato",'[1]evolucion mensual nacionali'!$A$4,"indicador","DINAMARCA","mes",11,"año",2009)/GETPIVOTDATA("dato",'[1]evolucion mensual nacionali'!$A$4,"indicador","TOTAL","mes",11,"año",2009)</f>
        <v>1.1436740528949249E-3</v>
      </c>
      <c r="O21" s="203">
        <f>GETPIVOTDATA("dato",'[1]evolucion mensual nacionali'!$A$4,"indicador","FINLANDIA","mes",11,"año",2009)/GETPIVOTDATA("dato",'[1]evolucion mensual nacionali'!$A$4,"indicador","TOTAL","mes",11,"año",2009)</f>
        <v>3.5739814152966403E-3</v>
      </c>
      <c r="P21" s="203">
        <f>GETPIVOTDATA("dato",'[1]evolucion mensual nacionali'!$A$4,"indicador","SUIZA","mes",11,"año",2009)/GETPIVOTDATA("dato",'[1]evolucion mensual nacionali'!$A$4,"indicador","TOTAL","mes",11,"año",2009)</f>
        <v>3.3595425303788421E-3</v>
      </c>
      <c r="Q21" s="203">
        <f>GETPIVOTDATA("dato",'[1]evolucion mensual nacionali'!$A$4,"indicador","AUSTRIA","mes",11,"año",2009)/GETPIVOTDATA("dato",'[1]evolucion mensual nacionali'!$A$4,"indicador","TOTAL","mes",11,"año",2009)</f>
        <v>4.0028591851322369E-3</v>
      </c>
      <c r="R21" s="203">
        <f>GETPIVOTDATA("dato",'[1]evolucion mensual nacionali'!$A$4,"indicador","RUSIA","mes",11,"año",2009)/GETPIVOTDATA("dato",'[1]evolucion mensual nacionali'!$A$4,"indicador","TOTAL","mes",11,"año",2009)</f>
        <v>2.4303073624017154E-3</v>
      </c>
      <c r="S21" s="203">
        <f>GETPIVOTDATA("dato",'[1]evolucion mensual nacionali'!$A$4,"indicador","PAÍSES DEL ESTE","mes",11,"año",2009)/GETPIVOTDATA("dato",'[1]evolucion mensual nacionali'!$A$4,"indicador","TOTAL","mes",11,"año",2009)</f>
        <v>7.3624017155110794E-3</v>
      </c>
      <c r="T21" s="203">
        <f>GETPIVOTDATA("dato",'[1]evolucion mensual nacionali'!$A$4,"indicador","RESTO DE EUROPA","mes",11,"año",2009)/GETPIVOTDATA("dato",'[1]evolucion mensual nacionali'!$A$4,"indicador","TOTAL","mes",11,"año",2009)</f>
        <v>1.0007147962830594E-2</v>
      </c>
      <c r="U21" s="203">
        <f>GETPIVOTDATA("dato",'[1]evolucion mensual nacionali'!$A$4,"indicador","USA","mes",11,"año",2009)/GETPIVOTDATA("dato",'[1]evolucion mensual nacionali'!$A$4,"indicador","TOTAL","mes",11,"año",2009)</f>
        <v>6.9335239456754828E-3</v>
      </c>
      <c r="V21" s="203">
        <f>GETPIVOTDATA("dato",'[1]evolucion mensual nacionali'!$A$4,"indicador","RESTO DE AMÉRICA","mes",11,"año",2009)/GETPIVOTDATA("dato",'[1]evolucion mensual nacionali'!$A$4,"indicador","TOTAL","mes",11,"año",2009)</f>
        <v>3.5954253037884201E-2</v>
      </c>
      <c r="W21" s="203">
        <f>GETPIVOTDATA("dato",'[1]evolucion mensual nacionali'!$A$4,"indicador","RESTO DEL MUNDO","mes",11,"año",2009)/GETPIVOTDATA("dato",'[1]evolucion mensual nacionali'!$A$4,"indicador","TOTAL","mes",11,"año",2009)</f>
        <v>2.416011436740529E-2</v>
      </c>
      <c r="X21" s="203">
        <f>(GETPIVOTDATA("dato",'[1]evolucion mensual nacionali'!$A$4,"indicador","TOTAL","mes",11,"año",2009)-GETPIVOTDATA("dato",'[1]evolucion mensual nacionali'!$A$4,"indicador","España","mes",11,"año",2009))/GETPIVOTDATA("dato",'[1]evolucion mensual nacionali'!$A$4,"indicador","TOTAL","mes",11,"año",2009)</f>
        <v>0.20185847033595425</v>
      </c>
      <c r="Y21" s="205">
        <f>GETPIVOTDATA("dato",'[1]evolucion mensual nacionali'!$A$4,"indicador","TOTAL","mes",11,"año",2009)/GETPIVOTDATA("dato",'[1]evolucion mensual nacionali'!$A$4,"indicador","TOTAL","mes",11,"año",2009)</f>
        <v>1</v>
      </c>
    </row>
    <row r="22" spans="2:25" ht="15" hidden="1" customHeight="1" outlineLevel="1">
      <c r="B22" s="51" t="s">
        <v>40</v>
      </c>
      <c r="C22" s="203">
        <f>GETPIVOTDATA("dato",'[1]evolucion mensual nacionali'!$A$4,"indicador","España","mes",10,"año",2009)/GETPIVOTDATA("dato",'[1]evolucion mensual nacionali'!$A$4,"indicador","TOTAL","mes",10,"año",2009)</f>
        <v>0.83449137325318135</v>
      </c>
      <c r="D22" s="203">
        <f>GETPIVOTDATA("dato",'[1]evolucion mensual nacionali'!$A$4,"indicador","HOLANDA","mes",10,"año",2009)/GETPIVOTDATA("dato",'[1]evolucion mensual nacionali'!$A$4,"indicador","TOTAL","mes",10,"año",2009)</f>
        <v>4.2157857756265123E-3</v>
      </c>
      <c r="E22" s="203">
        <f>GETPIVOTDATA("dato",'[1]evolucion mensual nacionali'!$A$4,"indicador","BÉLGICA","mes",10,"año",2009)/GETPIVOTDATA("dato",'[1]evolucion mensual nacionali'!$A$4,"indicador","TOTAL","mes",10,"año",2009)</f>
        <v>1.8736825669451167E-3</v>
      </c>
      <c r="F22" s="203">
        <f>GETPIVOTDATA("dato",'[1]evolucion mensual nacionali'!$A$4,"indicador","ALEMANIA","mes",10,"año",2009)/GETPIVOTDATA("dato",'[1]evolucion mensual nacionali'!$A$4,"indicador","TOTAL","mes",10,"año",2009)</f>
        <v>2.4904364118978842E-2</v>
      </c>
      <c r="G22" s="203">
        <f>GETPIVOTDATA("dato",'[1]evolucion mensual nacionali'!$A$4,"indicador","FRANCIA","mes",10,"año",2009)/GETPIVOTDATA("dato",'[1]evolucion mensual nacionali'!$A$4,"indicador","TOTAL","mes",10,"año",2009)</f>
        <v>1.3193848075571864E-2</v>
      </c>
      <c r="H22" s="203">
        <f>GETPIVOTDATA("dato",'[1]evolucion mensual nacionali'!$A$4,"indicador","REINO UNIDO","mes",10,"año",2009)/GETPIVOTDATA("dato",'[1]evolucion mensual nacionali'!$A$4,"indicador","TOTAL","mes",10,"año",2009)</f>
        <v>1.6785072995550005E-2</v>
      </c>
      <c r="I22" s="203">
        <f>GETPIVOTDATA("dato",'[1]evolucion mensual nacionali'!$A$4,"indicador","IRLANDA","mes",10,"año",2009)/GETPIVOTDATA("dato",'[1]evolucion mensual nacionali'!$A$4,"indicador","TOTAL","mes",10,"año",2009)</f>
        <v>1.8736825669451167E-3</v>
      </c>
      <c r="J22" s="203">
        <f>GETPIVOTDATA("dato",'[1]evolucion mensual nacionali'!$A$4,"indicador","ITALIA","mes",10,"año",2009)/GETPIVOTDATA("dato",'[1]evolucion mensual nacionali'!$A$4,"indicador","TOTAL","mes",10,"año",2009)</f>
        <v>1.3740338824264189E-2</v>
      </c>
      <c r="K22" s="203">
        <f>(GETPIVOTDATA("dato",'[1]evolucion mensual nacionali'!$A$4,"indicador","SUECIA","mes",10,"año",2009)+GETPIVOTDATA("dato",'[1]evolucion mensual nacionali'!$A$4,"indicador","NORUEGA","mes",10,"año",2009)+GETPIVOTDATA("dato",'[1]evolucion mensual nacionali'!$A$4,"indicador","DINAMARCA","mes",10,"año",2009)+GETPIVOTDATA("dato",'[1]evolucion mensual nacionali'!$A$4,"indicador","FINLANDIA","mes",10,"año",2009))/GETPIVOTDATA("dato",'[1]evolucion mensual nacionali'!$A$4,"indicador","TOTAL","mes",10,"año",2009)</f>
        <v>6.7920993051760479E-3</v>
      </c>
      <c r="L22" s="203">
        <f>GETPIVOTDATA("dato",'[1]evolucion mensual nacionali'!$A$4,"indicador","SUECIA","mes",10,"año",2009)/GETPIVOTDATA("dato",'[1]evolucion mensual nacionali'!$A$4,"indicador","TOTAL","mes",10,"año",2009)</f>
        <v>3.2008743851979077E-3</v>
      </c>
      <c r="M22" s="203">
        <f>GETPIVOTDATA("dato",'[1]evolucion mensual nacionali'!$A$4,"indicador","NORUEGA","mes",10,"año",2009)/GETPIVOTDATA("dato",'[1]evolucion mensual nacionali'!$A$4,"indicador","TOTAL","mes",10,"año",2009)</f>
        <v>1.7175423530330237E-3</v>
      </c>
      <c r="N22" s="203">
        <f>GETPIVOTDATA("dato",'[1]evolucion mensual nacionali'!$A$4,"indicador","DINAMARCA","mes",10,"año",2009)/GETPIVOTDATA("dato",'[1]evolucion mensual nacionali'!$A$4,"indicador","TOTAL","mes",10,"año",2009)</f>
        <v>1.2491217112967445E-3</v>
      </c>
      <c r="O22" s="203">
        <f>GETPIVOTDATA("dato",'[1]evolucion mensual nacionali'!$A$4,"indicador","FINLANDIA","mes",10,"año",2009)/GETPIVOTDATA("dato",'[1]evolucion mensual nacionali'!$A$4,"indicador","TOTAL","mes",10,"año",2009)</f>
        <v>6.2456085564837227E-4</v>
      </c>
      <c r="P22" s="203">
        <f>GETPIVOTDATA("dato",'[1]evolucion mensual nacionali'!$A$4,"indicador","SUIZA","mes",10,"año",2009)/GETPIVOTDATA("dato",'[1]evolucion mensual nacionali'!$A$4,"indicador","TOTAL","mes",10,"año",2009)</f>
        <v>4.2157857756265123E-3</v>
      </c>
      <c r="Q22" s="203">
        <f>GETPIVOTDATA("dato",'[1]evolucion mensual nacionali'!$A$4,"indicador","AUSTRIA","mes",10,"año",2009)/GETPIVOTDATA("dato",'[1]evolucion mensual nacionali'!$A$4,"indicador","TOTAL","mes",10,"año",2009)</f>
        <v>1.9517526739011633E-3</v>
      </c>
      <c r="R22" s="203">
        <f>GETPIVOTDATA("dato",'[1]evolucion mensual nacionali'!$A$4,"indicador","RUSIA","mes",10,"año",2009)/GETPIVOTDATA("dato",'[1]evolucion mensual nacionali'!$A$4,"indicador","TOTAL","mes",10,"año",2009)</f>
        <v>3.3570145991100009E-3</v>
      </c>
      <c r="S22" s="203">
        <f>GETPIVOTDATA("dato",'[1]evolucion mensual nacionali'!$A$4,"indicador","PAÍSES DEL ESTE","mes",10,"año",2009)/GETPIVOTDATA("dato",'[1]evolucion mensual nacionali'!$A$4,"indicador","TOTAL","mes",10,"año",2009)</f>
        <v>5.4649074869232567E-3</v>
      </c>
      <c r="T22" s="203">
        <f>GETPIVOTDATA("dato",'[1]evolucion mensual nacionali'!$A$4,"indicador","RESTO DE EUROPA","mes",10,"año",2009)/GETPIVOTDATA("dato",'[1]evolucion mensual nacionali'!$A$4,"indicador","TOTAL","mes",10,"año",2009)</f>
        <v>9.7587633695058167E-3</v>
      </c>
      <c r="U22" s="203">
        <f>GETPIVOTDATA("dato",'[1]evolucion mensual nacionali'!$A$4,"indicador","USA","mes",10,"año",2009)/GETPIVOTDATA("dato",'[1]evolucion mensual nacionali'!$A$4,"indicador","TOTAL","mes",10,"año",2009)</f>
        <v>4.2938558825825592E-3</v>
      </c>
      <c r="V22" s="203">
        <f>GETPIVOTDATA("dato",'[1]evolucion mensual nacionali'!$A$4,"indicador","RESTO DE AMÉRICA","mes",10,"año",2009)/GETPIVOTDATA("dato",'[1]evolucion mensual nacionali'!$A$4,"indicador","TOTAL","mes",10,"año",2009)</f>
        <v>3.5756108985869312E-2</v>
      </c>
      <c r="W22" s="203">
        <f>GETPIVOTDATA("dato",'[1]evolucion mensual nacionali'!$A$4,"indicador","RESTO DEL MUNDO","mes",10,"año",2009)/GETPIVOTDATA("dato",'[1]evolucion mensual nacionali'!$A$4,"indicador","TOTAL","mes",10,"año",2009)</f>
        <v>1.7331563744242329E-2</v>
      </c>
      <c r="X22" s="203">
        <f>(GETPIVOTDATA("dato",'[1]evolucion mensual nacionali'!$A$4,"indicador","TOTAL","mes",10,"año",2009)-GETPIVOTDATA("dato",'[1]evolucion mensual nacionali'!$A$4,"indicador","España","mes",10,"año",2009))/GETPIVOTDATA("dato",'[1]evolucion mensual nacionali'!$A$4,"indicador","TOTAL","mes",10,"año",2009)</f>
        <v>0.16550862674681865</v>
      </c>
      <c r="Y22" s="205">
        <f>GETPIVOTDATA("dato",'[1]evolucion mensual nacionali'!$A$4,"indicador","TOTAL","mes",10,"año",2009)/GETPIVOTDATA("dato",'[1]evolucion mensual nacionali'!$A$4,"indicador","TOTAL","mes",10,"año",2009)</f>
        <v>1</v>
      </c>
    </row>
    <row r="23" spans="2:25" ht="15" hidden="1" customHeight="1" outlineLevel="1">
      <c r="B23" s="51" t="s">
        <v>41</v>
      </c>
      <c r="C23" s="203">
        <f>GETPIVOTDATA("dato",'[1]evolucion mensual nacionali'!$A$4,"indicador","España","mes",9,"año",2009)/GETPIVOTDATA("dato",'[1]evolucion mensual nacionali'!$A$4,"indicador","TOTAL","mes",9,"año",2009)</f>
        <v>0.83152027330756095</v>
      </c>
      <c r="D23" s="203">
        <f>GETPIVOTDATA("dato",'[1]evolucion mensual nacionali'!$A$4,"indicador","HOLANDA","mes",9,"año",2009)/GETPIVOTDATA("dato",'[1]evolucion mensual nacionali'!$A$4,"indicador","TOTAL","mes",9,"año",2009)</f>
        <v>3.2365369055111031E-3</v>
      </c>
      <c r="E23" s="203">
        <f>GETPIVOTDATA("dato",'[1]evolucion mensual nacionali'!$A$4,"indicador","BÉLGICA","mes",9,"año",2009)/GETPIVOTDATA("dato",'[1]evolucion mensual nacionali'!$A$4,"indicador","TOTAL","mes",9,"año",2009)</f>
        <v>2.7870178908567834E-3</v>
      </c>
      <c r="F23" s="203">
        <f>GETPIVOTDATA("dato",'[1]evolucion mensual nacionali'!$A$4,"indicador","ALEMANIA","mes",9,"año",2009)/GETPIVOTDATA("dato",'[1]evolucion mensual nacionali'!$A$4,"indicador","TOTAL","mes",9,"año",2009)</f>
        <v>1.7800952980311067E-2</v>
      </c>
      <c r="G23" s="203">
        <f>GETPIVOTDATA("dato",'[1]evolucion mensual nacionali'!$A$4,"indicador","FRANCIA","mes",9,"año",2009)/GETPIVOTDATA("dato",'[1]evolucion mensual nacionali'!$A$4,"indicador","TOTAL","mes",9,"año",2009)</f>
        <v>1.492403128652342E-2</v>
      </c>
      <c r="H23" s="203">
        <f>GETPIVOTDATA("dato",'[1]evolucion mensual nacionali'!$A$4,"indicador","REINO UNIDO","mes",9,"año",2009)/GETPIVOTDATA("dato",'[1]evolucion mensual nacionali'!$A$4,"indicador","TOTAL","mes",9,"año",2009)</f>
        <v>1.0968263957565404E-2</v>
      </c>
      <c r="I23" s="203">
        <f>GETPIVOTDATA("dato",'[1]evolucion mensual nacionali'!$A$4,"indicador","IRLANDA","mes",9,"año",2009)/GETPIVOTDATA("dato",'[1]evolucion mensual nacionali'!$A$4,"indicador","TOTAL","mes",9,"año",2009)</f>
        <v>2.6971140879259192E-3</v>
      </c>
      <c r="J23" s="203">
        <f>GETPIVOTDATA("dato",'[1]evolucion mensual nacionali'!$A$4,"indicador","ITALIA","mes",9,"año",2009)/GETPIVOTDATA("dato",'[1]evolucion mensual nacionali'!$A$4,"indicador","TOTAL","mes",9,"año",2009)</f>
        <v>1.7531241571518474E-2</v>
      </c>
      <c r="K23" s="203">
        <f>(GETPIVOTDATA("dato",'[1]evolucion mensual nacionali'!$A$4,"indicador","SUECIA","mes",9,"año",2009)+GETPIVOTDATA("dato",'[1]evolucion mensual nacionali'!$A$4,"indicador","NORUEGA","mes",9,"año",2009)+GETPIVOTDATA("dato",'[1]evolucion mensual nacionali'!$A$4,"indicador","DINAMARCA","mes",9,"año",2009)+GETPIVOTDATA("dato",'[1]evolucion mensual nacionali'!$A$4,"indicador","FINLANDIA","mes",9,"año",2009))/GETPIVOTDATA("dato",'[1]evolucion mensual nacionali'!$A$4,"indicador","TOTAL","mes",9,"año",2009)</f>
        <v>5.6639395846444307E-3</v>
      </c>
      <c r="L23" s="203">
        <f>GETPIVOTDATA("dato",'[1]evolucion mensual nacionali'!$A$4,"indicador","SUECIA","mes",9,"año",2009)/GETPIVOTDATA("dato",'[1]evolucion mensual nacionali'!$A$4,"indicador","TOTAL","mes",9,"año",2009)</f>
        <v>1.9778836644790076E-3</v>
      </c>
      <c r="M23" s="203">
        <f>GETPIVOTDATA("dato",'[1]evolucion mensual nacionali'!$A$4,"indicador","NORUEGA","mes",9,"año",2009)/GETPIVOTDATA("dato",'[1]evolucion mensual nacionali'!$A$4,"indicador","TOTAL","mes",9,"año",2009)</f>
        <v>9.8894183223950378E-4</v>
      </c>
      <c r="N23" s="203">
        <f>GETPIVOTDATA("dato",'[1]evolucion mensual nacionali'!$A$4,"indicador","DINAMARCA","mes",9,"año",2009)/GETPIVOTDATA("dato",'[1]evolucion mensual nacionali'!$A$4,"indicador","TOTAL","mes",9,"año",2009)</f>
        <v>1.3485570439629596E-3</v>
      </c>
      <c r="O23" s="203">
        <f>GETPIVOTDATA("dato",'[1]evolucion mensual nacionali'!$A$4,"indicador","FINLANDIA","mes",9,"año",2009)/GETPIVOTDATA("dato",'[1]evolucion mensual nacionali'!$A$4,"indicador","TOTAL","mes",9,"año",2009)</f>
        <v>1.3485570439629596E-3</v>
      </c>
      <c r="P23" s="203">
        <f>GETPIVOTDATA("dato",'[1]evolucion mensual nacionali'!$A$4,"indicador","SUIZA","mes",9,"año",2009)/GETPIVOTDATA("dato",'[1]evolucion mensual nacionali'!$A$4,"indicador","TOTAL","mes",9,"año",2009)</f>
        <v>2.6971140879259192E-3</v>
      </c>
      <c r="Q23" s="203">
        <f>GETPIVOTDATA("dato",'[1]evolucion mensual nacionali'!$A$4,"indicador","AUSTRIA","mes",9,"año",2009)/GETPIVOTDATA("dato",'[1]evolucion mensual nacionali'!$A$4,"indicador","TOTAL","mes",9,"año",2009)</f>
        <v>2.2475950732715995E-3</v>
      </c>
      <c r="R23" s="203">
        <f>GETPIVOTDATA("dato",'[1]evolucion mensual nacionali'!$A$4,"indicador","RUSIA","mes",9,"año",2009)/GETPIVOTDATA("dato",'[1]evolucion mensual nacionali'!$A$4,"indicador","TOTAL","mes",9,"año",2009)</f>
        <v>1.9778836644790076E-3</v>
      </c>
      <c r="S23" s="203">
        <f>GETPIVOTDATA("dato",'[1]evolucion mensual nacionali'!$A$4,"indicador","PAÍSES DEL ESTE","mes",9,"año",2009)/GETPIVOTDATA("dato",'[1]evolucion mensual nacionali'!$A$4,"indicador","TOTAL","mes",9,"año",2009)</f>
        <v>7.3721118403308463E-3</v>
      </c>
      <c r="T23" s="203">
        <f>GETPIVOTDATA("dato",'[1]evolucion mensual nacionali'!$A$4,"indicador","RESTO DE EUROPA","mes",9,"año",2009)/GETPIVOTDATA("dato",'[1]evolucion mensual nacionali'!$A$4,"indicador","TOTAL","mes",9,"año",2009)</f>
        <v>1.2496628607390092E-2</v>
      </c>
      <c r="U23" s="203">
        <f>GETPIVOTDATA("dato",'[1]evolucion mensual nacionali'!$A$4,"indicador","USA","mes",9,"año",2009)/GETPIVOTDATA("dato",'[1]evolucion mensual nacionali'!$A$4,"indicador","TOTAL","mes",9,"año",2009)</f>
        <v>7.3721118403308463E-3</v>
      </c>
      <c r="V23" s="203">
        <f>GETPIVOTDATA("dato",'[1]evolucion mensual nacionali'!$A$4,"indicador","RESTO DE AMÉRICA","mes",9,"año",2009)/GETPIVOTDATA("dato",'[1]evolucion mensual nacionali'!$A$4,"indicador","TOTAL","mes",9,"año",2009)</f>
        <v>4.0276903713027064E-2</v>
      </c>
      <c r="W23" s="203">
        <f>GETPIVOTDATA("dato",'[1]evolucion mensual nacionali'!$A$4,"indicador","RESTO DEL MUNDO","mes",9,"año",2009)/GETPIVOTDATA("dato",'[1]evolucion mensual nacionali'!$A$4,"indicador","TOTAL","mes",9,"año",2009)</f>
        <v>1.8430279600827115E-2</v>
      </c>
      <c r="X23" s="203">
        <f>(GETPIVOTDATA("dato",'[1]evolucion mensual nacionali'!$A$4,"indicador","TOTAL","mes",9,"año",2009)-GETPIVOTDATA("dato",'[1]evolucion mensual nacionali'!$A$4,"indicador","España","mes",9,"año",2009))/GETPIVOTDATA("dato",'[1]evolucion mensual nacionali'!$A$4,"indicador","TOTAL","mes",9,"año",2009)</f>
        <v>0.1684797266924391</v>
      </c>
      <c r="Y23" s="205">
        <f>GETPIVOTDATA("dato",'[1]evolucion mensual nacionali'!$A$4,"indicador","TOTAL","mes",9,"año",2009)/GETPIVOTDATA("dato",'[1]evolucion mensual nacionali'!$A$4,"indicador","TOTAL","mes",9,"año",2009)</f>
        <v>1</v>
      </c>
    </row>
    <row r="24" spans="2:25" ht="15" hidden="1" customHeight="1" outlineLevel="1">
      <c r="B24" s="51" t="s">
        <v>42</v>
      </c>
      <c r="C24" s="203">
        <f>GETPIVOTDATA("dato",'[1]evolucion mensual nacionali'!$A$4,"indicador","España","mes",8,"año",2009)/GETPIVOTDATA("dato",'[1]evolucion mensual nacionali'!$A$4,"indicador","TOTAL","mes",8,"año",2009)</f>
        <v>0.77356307059277352</v>
      </c>
      <c r="D24" s="203">
        <f>GETPIVOTDATA("dato",'[1]evolucion mensual nacionali'!$A$4,"indicador","HOLANDA","mes",8,"año",2009)/GETPIVOTDATA("dato",'[1]evolucion mensual nacionali'!$A$4,"indicador","TOTAL","mes",8,"año",2009)</f>
        <v>5.0147871930050145E-3</v>
      </c>
      <c r="E24" s="203">
        <f>GETPIVOTDATA("dato",'[1]evolucion mensual nacionali'!$A$4,"indicador","BÉLGICA","mes",8,"año",2009)/GETPIVOTDATA("dato",'[1]evolucion mensual nacionali'!$A$4,"indicador","TOTAL","mes",8,"año",2009)</f>
        <v>5.2719557670052718E-3</v>
      </c>
      <c r="F24" s="203">
        <f>GETPIVOTDATA("dato",'[1]evolucion mensual nacionali'!$A$4,"indicador","ALEMANIA","mes",8,"año",2009)/GETPIVOTDATA("dato",'[1]evolucion mensual nacionali'!$A$4,"indicador","TOTAL","mes",8,"año",2009)</f>
        <v>1.6458788736016458E-2</v>
      </c>
      <c r="G24" s="203">
        <f>GETPIVOTDATA("dato",'[1]evolucion mensual nacionali'!$A$4,"indicador","FRANCIA","mes",8,"año",2009)/GETPIVOTDATA("dato",'[1]evolucion mensual nacionali'!$A$4,"indicador","TOTAL","mes",8,"año",2009)</f>
        <v>3.0345891732030346E-2</v>
      </c>
      <c r="H24" s="203">
        <f>GETPIVOTDATA("dato",'[1]evolucion mensual nacionali'!$A$4,"indicador","REINO UNIDO","mes",8,"año",2009)/GETPIVOTDATA("dato",'[1]evolucion mensual nacionali'!$A$4,"indicador","TOTAL","mes",8,"año",2009)</f>
        <v>1.3244181561013244E-2</v>
      </c>
      <c r="I24" s="203">
        <f>GETPIVOTDATA("dato",'[1]evolucion mensual nacionali'!$A$4,"indicador","IRLANDA","mes",8,"año",2009)/GETPIVOTDATA("dato",'[1]evolucion mensual nacionali'!$A$4,"indicador","TOTAL","mes",8,"año",2009)</f>
        <v>2.1859328790021859E-3</v>
      </c>
      <c r="J24" s="203">
        <f>GETPIVOTDATA("dato",'[1]evolucion mensual nacionali'!$A$4,"indicador","ITALIA","mes",8,"año",2009)/GETPIVOTDATA("dato",'[1]evolucion mensual nacionali'!$A$4,"indicador","TOTAL","mes",8,"año",2009)</f>
        <v>3.5875016073035872E-2</v>
      </c>
      <c r="K24" s="203">
        <f>(GETPIVOTDATA("dato",'[1]evolucion mensual nacionali'!$A$4,"indicador","SUECIA","mes",8,"año",2009)+GETPIVOTDATA("dato",'[1]evolucion mensual nacionali'!$A$4,"indicador","NORUEGA","mes",8,"año",2009)+GETPIVOTDATA("dato",'[1]evolucion mensual nacionali'!$A$4,"indicador","DINAMARCA","mes",8,"año",2009)+GETPIVOTDATA("dato",'[1]evolucion mensual nacionali'!$A$4,"indicador","FINLANDIA","mes",8,"año",2009))/GETPIVOTDATA("dato",'[1]evolucion mensual nacionali'!$A$4,"indicador","TOTAL","mes",8,"año",2009)</f>
        <v>6.0434614890060431E-3</v>
      </c>
      <c r="L24" s="203">
        <f>GETPIVOTDATA("dato",'[1]evolucion mensual nacionali'!$A$4,"indicador","SUECIA","mes",8,"año",2009)/GETPIVOTDATA("dato",'[1]evolucion mensual nacionali'!$A$4,"indicador","TOTAL","mes",8,"año",2009)</f>
        <v>2.5716857400025716E-4</v>
      </c>
      <c r="M24" s="203">
        <f>GETPIVOTDATA("dato",'[1]evolucion mensual nacionali'!$A$4,"indicador","NORUEGA","mes",8,"año",2009)/GETPIVOTDATA("dato",'[1]evolucion mensual nacionali'!$A$4,"indicador","TOTAL","mes",8,"año",2009)</f>
        <v>1.6715957310016716E-3</v>
      </c>
      <c r="N24" s="203">
        <f>GETPIVOTDATA("dato",'[1]evolucion mensual nacionali'!$A$4,"indicador","DINAMARCA","mes",8,"año",2009)/GETPIVOTDATA("dato",'[1]evolucion mensual nacionali'!$A$4,"indicador","TOTAL","mes",8,"año",2009)</f>
        <v>9.0009000900090005E-4</v>
      </c>
      <c r="O24" s="203">
        <f>GETPIVOTDATA("dato",'[1]evolucion mensual nacionali'!$A$4,"indicador","FINLANDIA","mes",8,"año",2009)/GETPIVOTDATA("dato",'[1]evolucion mensual nacionali'!$A$4,"indicador","TOTAL","mes",8,"año",2009)</f>
        <v>3.2146071750032146E-3</v>
      </c>
      <c r="P24" s="203">
        <f>GETPIVOTDATA("dato",'[1]evolucion mensual nacionali'!$A$4,"indicador","SUIZA","mes",8,"año",2009)/GETPIVOTDATA("dato",'[1]evolucion mensual nacionali'!$A$4,"indicador","TOTAL","mes",8,"año",2009)</f>
        <v>1.5430114440015429E-3</v>
      </c>
      <c r="Q24" s="203">
        <f>GETPIVOTDATA("dato",'[1]evolucion mensual nacionali'!$A$4,"indicador","AUSTRIA","mes",8,"año",2009)/GETPIVOTDATA("dato",'[1]evolucion mensual nacionali'!$A$4,"indicador","TOTAL","mes",8,"año",2009)</f>
        <v>1.2858428700012858E-3</v>
      </c>
      <c r="R24" s="203">
        <f>GETPIVOTDATA("dato",'[1]evolucion mensual nacionali'!$A$4,"indicador","RUSIA","mes",8,"año",2009)/GETPIVOTDATA("dato",'[1]evolucion mensual nacionali'!$A$4,"indicador","TOTAL","mes",8,"año",2009)</f>
        <v>3.7289443230037289E-3</v>
      </c>
      <c r="S24" s="203">
        <f>GETPIVOTDATA("dato",'[1]evolucion mensual nacionali'!$A$4,"indicador","PAÍSES DEL ESTE","mes",8,"año",2009)/GETPIVOTDATA("dato",'[1]evolucion mensual nacionali'!$A$4,"indicador","TOTAL","mes",8,"año",2009)</f>
        <v>4.757618619004758E-3</v>
      </c>
      <c r="T24" s="203">
        <f>GETPIVOTDATA("dato",'[1]evolucion mensual nacionali'!$A$4,"indicador","RESTO DE EUROPA","mes",8,"año",2009)/GETPIVOTDATA("dato",'[1]evolucion mensual nacionali'!$A$4,"indicador","TOTAL","mes",8,"año",2009)</f>
        <v>9.6438215250096437E-3</v>
      </c>
      <c r="U24" s="203">
        <f>GETPIVOTDATA("dato",'[1]evolucion mensual nacionali'!$A$4,"indicador","USA","mes",8,"año",2009)/GETPIVOTDATA("dato",'[1]evolucion mensual nacionali'!$A$4,"indicador","TOTAL","mes",8,"año",2009)</f>
        <v>7.3293043590073291E-3</v>
      </c>
      <c r="V24" s="203">
        <f>GETPIVOTDATA("dato",'[1]evolucion mensual nacionali'!$A$4,"indicador","RESTO DE AMÉRICA","mes",8,"año",2009)/GETPIVOTDATA("dato",'[1]evolucion mensual nacionali'!$A$4,"indicador","TOTAL","mes",8,"año",2009)</f>
        <v>4.3461489006043463E-2</v>
      </c>
      <c r="W24" s="203">
        <f>GETPIVOTDATA("dato",'[1]evolucion mensual nacionali'!$A$4,"indicador","RESTO DEL MUNDO","mes",8,"año",2009)/GETPIVOTDATA("dato",'[1]evolucion mensual nacionali'!$A$4,"indicador","TOTAL","mes",8,"año",2009)</f>
        <v>4.0246881831040249E-2</v>
      </c>
      <c r="X24" s="203">
        <f>(GETPIVOTDATA("dato",'[1]evolucion mensual nacionali'!$A$4,"indicador","TOTAL","mes",8,"año",2009)-GETPIVOTDATA("dato",'[1]evolucion mensual nacionali'!$A$4,"indicador","España","mes",8,"año",2009))/GETPIVOTDATA("dato",'[1]evolucion mensual nacionali'!$A$4,"indicador","TOTAL","mes",9,"año",2009)</f>
        <v>0.15832059696125145</v>
      </c>
      <c r="Y24" s="205">
        <f>GETPIVOTDATA("dato",'[1]evolucion mensual nacionali'!$A$4,"indicador","TOTAL","mes",8,"año",2009)/GETPIVOTDATA("dato",'[1]evolucion mensual nacionali'!$A$4,"indicador","TOTAL","mes",8,"año",2009)</f>
        <v>1</v>
      </c>
    </row>
    <row r="25" spans="2:25" ht="15" hidden="1" customHeight="1" outlineLevel="1">
      <c r="B25" s="51" t="s">
        <v>43</v>
      </c>
      <c r="C25" s="203">
        <f>GETPIVOTDATA("dato",'[1]evolucion mensual nacionali'!$A$4,"indicador","España","mes",7,"año",2009)/GETPIVOTDATA("dato",'[1]evolucion mensual nacionali'!$A$4,"indicador","TOTAL","mes",7,"año",2009)</f>
        <v>0.83700588730025227</v>
      </c>
      <c r="D25" s="203">
        <f>GETPIVOTDATA("dato",'[1]evolucion mensual nacionali'!$A$4,"indicador","HOLANDA","mes",7,"año",2009)/GETPIVOTDATA("dato",'[1]evolucion mensual nacionali'!$A$4,"indicador","TOTAL","mes",7,"año",2009)</f>
        <v>4.6257359125315388E-3</v>
      </c>
      <c r="E25" s="203">
        <f>GETPIVOTDATA("dato",'[1]evolucion mensual nacionali'!$A$4,"indicador","BÉLGICA","mes",7,"año",2009)/GETPIVOTDATA("dato",'[1]evolucion mensual nacionali'!$A$4,"indicador","TOTAL","mes",7,"año",2009)</f>
        <v>1.8502943650126156E-3</v>
      </c>
      <c r="F25" s="203">
        <f>GETPIVOTDATA("dato",'[1]evolucion mensual nacionali'!$A$4,"indicador","ALEMANIA","mes",7,"año",2009)/GETPIVOTDATA("dato",'[1]evolucion mensual nacionali'!$A$4,"indicador","TOTAL","mes",7,"año",2009)</f>
        <v>1.0513036164844407E-2</v>
      </c>
      <c r="G25" s="203">
        <f>GETPIVOTDATA("dato",'[1]evolucion mensual nacionali'!$A$4,"indicador","FRANCIA","mes",7,"año",2009)/GETPIVOTDATA("dato",'[1]evolucion mensual nacionali'!$A$4,"indicador","TOTAL","mes",7,"año",2009)</f>
        <v>1.6232127838519763E-2</v>
      </c>
      <c r="H25" s="203">
        <f>GETPIVOTDATA("dato",'[1]evolucion mensual nacionali'!$A$4,"indicador","REINO UNIDO","mes",7,"año",2009)/GETPIVOTDATA("dato",'[1]evolucion mensual nacionali'!$A$4,"indicador","TOTAL","mes",7,"año",2009)</f>
        <v>1.3120269133725821E-2</v>
      </c>
      <c r="I25" s="203">
        <f>GETPIVOTDATA("dato",'[1]evolucion mensual nacionali'!$A$4,"indicador","IRLANDA","mes",7,"año",2009)/GETPIVOTDATA("dato",'[1]evolucion mensual nacionali'!$A$4,"indicador","TOTAL","mes",7,"año",2009)</f>
        <v>2.4390243902439024E-3</v>
      </c>
      <c r="J25" s="203">
        <f>GETPIVOTDATA("dato",'[1]evolucion mensual nacionali'!$A$4,"indicador","ITALIA","mes",7,"año",2009)/GETPIVOTDATA("dato",'[1]evolucion mensual nacionali'!$A$4,"indicador","TOTAL","mes",7,"año",2009)</f>
        <v>1.8334735071488646E-2</v>
      </c>
      <c r="K25" s="203">
        <f>(GETPIVOTDATA("dato",'[1]evolucion mensual nacionali'!$A$4,"indicador","SUECIA","mes",7,"año",2009)+GETPIVOTDATA("dato",'[1]evolucion mensual nacionali'!$A$4,"indicador","NORUEGA","mes",7,"año",2009)+GETPIVOTDATA("dato",'[1]evolucion mensual nacionali'!$A$4,"indicador","DINAMARCA","mes",7,"año",2009)+GETPIVOTDATA("dato",'[1]evolucion mensual nacionali'!$A$4,"indicador","FINLANDIA","mes",7,"año",2009))/GETPIVOTDATA("dato",'[1]evolucion mensual nacionali'!$A$4,"indicador","TOTAL","mes",7,"año",2009)</f>
        <v>8.1581160639192605E-3</v>
      </c>
      <c r="L25" s="203">
        <f>GETPIVOTDATA("dato",'[1]evolucion mensual nacionali'!$A$4,"indicador","SUECIA","mes",7,"año",2009)/GETPIVOTDATA("dato",'[1]evolucion mensual nacionali'!$A$4,"indicador","TOTAL","mes",7,"año",2009)</f>
        <v>1.5138772077375945E-3</v>
      </c>
      <c r="M25" s="203">
        <f>GETPIVOTDATA("dato",'[1]evolucion mensual nacionali'!$A$4,"indicador","NORUEGA","mes",7,"año",2009)/GETPIVOTDATA("dato",'[1]evolucion mensual nacionali'!$A$4,"indicador","TOTAL","mes",7,"año",2009)</f>
        <v>3.8687973086627418E-3</v>
      </c>
      <c r="N25" s="203">
        <f>GETPIVOTDATA("dato",'[1]evolucion mensual nacionali'!$A$4,"indicador","DINAMARCA","mes",7,"año",2009)/GETPIVOTDATA("dato",'[1]evolucion mensual nacionali'!$A$4,"indicador","TOTAL","mes",7,"año",2009)</f>
        <v>1.5979814970563499E-3</v>
      </c>
      <c r="O25" s="203">
        <f>GETPIVOTDATA("dato",'[1]evolucion mensual nacionali'!$A$4,"indicador","FINLANDIA","mes",7,"año",2009)/GETPIVOTDATA("dato",'[1]evolucion mensual nacionali'!$A$4,"indicador","TOTAL","mes",7,"año",2009)</f>
        <v>1.1774600504625735E-3</v>
      </c>
      <c r="P25" s="203">
        <f>GETPIVOTDATA("dato",'[1]evolucion mensual nacionali'!$A$4,"indicador","SUIZA","mes",7,"año",2009)/GETPIVOTDATA("dato",'[1]evolucion mensual nacionali'!$A$4,"indicador","TOTAL","mes",7,"año",2009)</f>
        <v>2.6913372582001681E-3</v>
      </c>
      <c r="Q25" s="203">
        <f>GETPIVOTDATA("dato",'[1]evolucion mensual nacionali'!$A$4,"indicador","AUSTRIA","mes",7,"año",2009)/GETPIVOTDATA("dato",'[1]evolucion mensual nacionali'!$A$4,"indicador","TOTAL","mes",7,"año",2009)</f>
        <v>2.1026072329688814E-3</v>
      </c>
      <c r="R25" s="203">
        <f>GETPIVOTDATA("dato",'[1]evolucion mensual nacionali'!$A$4,"indicador","RUSIA","mes",7,"año",2009)/GETPIVOTDATA("dato",'[1]evolucion mensual nacionali'!$A$4,"indicador","TOTAL","mes",7,"año",2009)</f>
        <v>1.6820857863751051E-3</v>
      </c>
      <c r="S25" s="203">
        <f>GETPIVOTDATA("dato",'[1]evolucion mensual nacionali'!$A$4,"indicador","PAÍSES DEL ESTE","mes",7,"año",2009)/GETPIVOTDATA("dato",'[1]evolucion mensual nacionali'!$A$4,"indicador","TOTAL","mes",7,"año",2009)</f>
        <v>6.6442388561816649E-3</v>
      </c>
      <c r="T25" s="203">
        <f>GETPIVOTDATA("dato",'[1]evolucion mensual nacionali'!$A$4,"indicador","RESTO DE EUROPA","mes",7,"año",2009)/GETPIVOTDATA("dato",'[1]evolucion mensual nacionali'!$A$4,"indicador","TOTAL","mes",7,"año",2009)</f>
        <v>1.1017661900756939E-2</v>
      </c>
      <c r="U25" s="203">
        <f>GETPIVOTDATA("dato",'[1]evolucion mensual nacionali'!$A$4,"indicador","USA","mes",7,"año",2009)/GETPIVOTDATA("dato",'[1]evolucion mensual nacionali'!$A$4,"indicador","TOTAL","mes",7,"año",2009)</f>
        <v>8.7468460891505471E-3</v>
      </c>
      <c r="V25" s="203">
        <f>GETPIVOTDATA("dato",'[1]evolucion mensual nacionali'!$A$4,"indicador","RESTO DE AMÉRICA","mes",7,"año",2009)/GETPIVOTDATA("dato",'[1]evolucion mensual nacionali'!$A$4,"indicador","TOTAL","mes",7,"año",2009)</f>
        <v>3.6248948696383516E-2</v>
      </c>
      <c r="W25" s="203">
        <f>GETPIVOTDATA("dato",'[1]evolucion mensual nacionali'!$A$4,"indicador","RESTO DEL MUNDO","mes",7,"año",2009)/GETPIVOTDATA("dato",'[1]evolucion mensual nacionali'!$A$4,"indicador","TOTAL","mes",7,"año",2009)</f>
        <v>1.8587047939444913E-2</v>
      </c>
      <c r="X25" s="203">
        <f>(GETPIVOTDATA("dato",'[1]evolucion mensual nacionali'!$A$4,"indicador","TOTAL","mes",7,"año",2009)-GETPIVOTDATA("dato",'[1]evolucion mensual nacionali'!$A$4,"indicador","España","mes",7,"año",2009))/GETPIVOTDATA("dato",'[1]evolucion mensual nacionali'!$A$4,"indicador","TOTAL","mes",7,"año",2009)</f>
        <v>0.1629941126997477</v>
      </c>
      <c r="Y25" s="205">
        <f>GETPIVOTDATA("dato",'[1]evolucion mensual nacionali'!$A$4,"indicador","TOTAL","mes",7,"año",2009)/GETPIVOTDATA("dato",'[1]evolucion mensual nacionali'!$A$4,"indicador","TOTAL","mes",7,"año",2009)</f>
        <v>1</v>
      </c>
    </row>
    <row r="26" spans="2:25" ht="15" hidden="1" customHeight="1" outlineLevel="1">
      <c r="B26" s="51" t="s">
        <v>44</v>
      </c>
      <c r="C26" s="203">
        <f>GETPIVOTDATA("dato",'[1]evolucion mensual nacionali'!$A$4,"indicador","España","mes",6,"año",2009)/GETPIVOTDATA("dato",'[1]evolucion mensual nacionali'!$A$4,"indicador","TOTAL","mes",6,"año",2009)</f>
        <v>0.86933333333333329</v>
      </c>
      <c r="D26" s="203">
        <f>GETPIVOTDATA("dato",'[1]evolucion mensual nacionali'!$A$4,"indicador","HOLANDA","mes",6,"año",2009)/GETPIVOTDATA("dato",'[1]evolucion mensual nacionali'!$A$4,"indicador","TOTAL","mes",6,"año",2009)</f>
        <v>2.352941176470588E-3</v>
      </c>
      <c r="E26" s="203">
        <f>GETPIVOTDATA("dato",'[1]evolucion mensual nacionali'!$A$4,"indicador","BÉLGICA","mes",6,"año",2009)/GETPIVOTDATA("dato",'[1]evolucion mensual nacionali'!$A$4,"indicador","TOTAL","mes",6,"año",2009)</f>
        <v>1.7254901960784314E-3</v>
      </c>
      <c r="F26" s="203">
        <f>GETPIVOTDATA("dato",'[1]evolucion mensual nacionali'!$A$4,"indicador","ALEMANIA","mes",6,"año",2009)/GETPIVOTDATA("dato",'[1]evolucion mensual nacionali'!$A$4,"indicador","TOTAL","mes",6,"año",2009)</f>
        <v>1.2E-2</v>
      </c>
      <c r="G26" s="203">
        <f>GETPIVOTDATA("dato",'[1]evolucion mensual nacionali'!$A$4,"indicador","FRANCIA","mes",6,"año",2009)/GETPIVOTDATA("dato",'[1]evolucion mensual nacionali'!$A$4,"indicador","TOTAL","mes",6,"año",2009)</f>
        <v>1.1450980392156862E-2</v>
      </c>
      <c r="H26" s="203">
        <f>GETPIVOTDATA("dato",'[1]evolucion mensual nacionali'!$A$4,"indicador","REINO UNIDO","mes",6,"año",2009)/GETPIVOTDATA("dato",'[1]evolucion mensual nacionali'!$A$4,"indicador","TOTAL","mes",6,"año",2009)</f>
        <v>1.1058823529411765E-2</v>
      </c>
      <c r="I26" s="203">
        <f>GETPIVOTDATA("dato",'[1]evolucion mensual nacionali'!$A$4,"indicador","IRLANDA","mes",6,"año",2009)/GETPIVOTDATA("dato",'[1]evolucion mensual nacionali'!$A$4,"indicador","TOTAL","mes",6,"año",2009)</f>
        <v>6.2745098039215688E-4</v>
      </c>
      <c r="J26" s="203">
        <f>GETPIVOTDATA("dato",'[1]evolucion mensual nacionali'!$A$4,"indicador","ITALIA","mes",6,"año",2009)/GETPIVOTDATA("dato",'[1]evolucion mensual nacionali'!$A$4,"indicador","TOTAL","mes",6,"año",2009)</f>
        <v>1.5450980392156862E-2</v>
      </c>
      <c r="K26" s="203">
        <f>(GETPIVOTDATA("dato",'[1]evolucion mensual nacionali'!$A$4,"indicador","SUECIA","mes",6,"año",2009)+GETPIVOTDATA("dato",'[1]evolucion mensual nacionali'!$A$4,"indicador","NORUEGA","mes",6,"año",2009)+GETPIVOTDATA("dato",'[1]evolucion mensual nacionali'!$A$4,"indicador","DINAMARCA","mes",6,"año",2009)+GETPIVOTDATA("dato",'[1]evolucion mensual nacionali'!$A$4,"indicador","FINLANDIA","mes",6,"año",2009))/GETPIVOTDATA("dato",'[1]evolucion mensual nacionali'!$A$4,"indicador","TOTAL","mes",6,"año",2009)</f>
        <v>2.7450980392156863E-3</v>
      </c>
      <c r="L26" s="203">
        <f>GETPIVOTDATA("dato",'[1]evolucion mensual nacionali'!$A$4,"indicador","SUECIA","mes",6,"año",2009)/GETPIVOTDATA("dato",'[1]evolucion mensual nacionali'!$A$4,"indicador","TOTAL","mes",6,"año",2009)</f>
        <v>1.019607843137255E-3</v>
      </c>
      <c r="M26" s="203">
        <f>GETPIVOTDATA("dato",'[1]evolucion mensual nacionali'!$A$4,"indicador","NORUEGA","mes",6,"año",2009)/GETPIVOTDATA("dato",'[1]evolucion mensual nacionali'!$A$4,"indicador","TOTAL","mes",6,"año",2009)</f>
        <v>8.6274509803921568E-4</v>
      </c>
      <c r="N26" s="203">
        <f>GETPIVOTDATA("dato",'[1]evolucion mensual nacionali'!$A$4,"indicador","DINAMARCA","mes",6,"año",2009)/GETPIVOTDATA("dato",'[1]evolucion mensual nacionali'!$A$4,"indicador","TOTAL","mes",6,"año",2009)</f>
        <v>4.7058823529411766E-4</v>
      </c>
      <c r="O26" s="203">
        <f>GETPIVOTDATA("dato",'[1]evolucion mensual nacionali'!$A$4,"indicador","FINLANDIA","mes",6,"año",2009)/GETPIVOTDATA("dato",'[1]evolucion mensual nacionali'!$A$4,"indicador","TOTAL","mes",6,"año",2009)</f>
        <v>3.9215686274509802E-4</v>
      </c>
      <c r="P26" s="203">
        <f>GETPIVOTDATA("dato",'[1]evolucion mensual nacionali'!$A$4,"indicador","SUIZA","mes",6,"año",2009)/GETPIVOTDATA("dato",'[1]evolucion mensual nacionali'!$A$4,"indicador","TOTAL","mes",6,"año",2009)</f>
        <v>1.411764705882353E-3</v>
      </c>
      <c r="Q26" s="203">
        <f>GETPIVOTDATA("dato",'[1]evolucion mensual nacionali'!$A$4,"indicador","AUSTRIA","mes",6,"año",2009)/GETPIVOTDATA("dato",'[1]evolucion mensual nacionali'!$A$4,"indicador","TOTAL","mes",6,"año",2009)</f>
        <v>9.4117647058823532E-4</v>
      </c>
      <c r="R26" s="203">
        <f>GETPIVOTDATA("dato",'[1]evolucion mensual nacionali'!$A$4,"indicador","RUSIA","mes",6,"año",2009)/GETPIVOTDATA("dato",'[1]evolucion mensual nacionali'!$A$4,"indicador","TOTAL","mes",6,"año",2009)</f>
        <v>1.9607843137254902E-3</v>
      </c>
      <c r="S26" s="203">
        <f>GETPIVOTDATA("dato",'[1]evolucion mensual nacionali'!$A$4,"indicador","PAÍSES DEL ESTE","mes",6,"año",2009)/GETPIVOTDATA("dato",'[1]evolucion mensual nacionali'!$A$4,"indicador","TOTAL","mes",6,"año",2009)</f>
        <v>5.5686274509803924E-3</v>
      </c>
      <c r="T26" s="203">
        <f>GETPIVOTDATA("dato",'[1]evolucion mensual nacionali'!$A$4,"indicador","RESTO DE EUROPA","mes",6,"año",2009)/GETPIVOTDATA("dato",'[1]evolucion mensual nacionali'!$A$4,"indicador","TOTAL","mes",6,"año",2009)</f>
        <v>1.4588235294117647E-2</v>
      </c>
      <c r="U26" s="203">
        <f>GETPIVOTDATA("dato",'[1]evolucion mensual nacionali'!$A$4,"indicador","USA","mes",6,"año",2009)/GETPIVOTDATA("dato",'[1]evolucion mensual nacionali'!$A$4,"indicador","TOTAL","mes",6,"año",2009)</f>
        <v>5.2549019607843134E-3</v>
      </c>
      <c r="V26" s="203">
        <f>GETPIVOTDATA("dato",'[1]evolucion mensual nacionali'!$A$4,"indicador","RESTO DE AMÉRICA","mes",6,"año",2009)/GETPIVOTDATA("dato",'[1]evolucion mensual nacionali'!$A$4,"indicador","TOTAL","mes",6,"año",2009)</f>
        <v>2.5647058823529412E-2</v>
      </c>
      <c r="W26" s="203">
        <f>GETPIVOTDATA("dato",'[1]evolucion mensual nacionali'!$A$4,"indicador","RESTO DEL MUNDO","mes",6,"año",2009)/GETPIVOTDATA("dato",'[1]evolucion mensual nacionali'!$A$4,"indicador","TOTAL","mes",6,"año",2009)</f>
        <v>1.7882352941176471E-2</v>
      </c>
      <c r="X26" s="203">
        <f>(GETPIVOTDATA("dato",'[1]evolucion mensual nacionali'!$A$4,"indicador","TOTAL","mes",6,"año",2009)-GETPIVOTDATA("dato",'[1]evolucion mensual nacionali'!$A$4,"indicador","España","mes",6,"año",2009))/GETPIVOTDATA("dato",'[1]evolucion mensual nacionali'!$A$4,"indicador","TOTAL","mes",6,"año",2009)</f>
        <v>0.13066666666666665</v>
      </c>
      <c r="Y26" s="205">
        <f>GETPIVOTDATA("dato",'[1]evolucion mensual nacionali'!$A$4,"indicador","TOTAL","mes",6,"año",2009)/GETPIVOTDATA("dato",'[1]evolucion mensual nacionali'!$A$4,"indicador","TOTAL","mes",6,"año",2009)</f>
        <v>1</v>
      </c>
    </row>
    <row r="27" spans="2:25" ht="15" hidden="1" customHeight="1" outlineLevel="1">
      <c r="B27" s="51" t="s">
        <v>45</v>
      </c>
      <c r="C27" s="203">
        <f>GETPIVOTDATA("dato",'[1]evolucion mensual nacionali'!$A$4,"indicador","España","mes",5,"año",2009)/GETPIVOTDATA("dato",'[1]evolucion mensual nacionali'!$A$4,"indicador","TOTAL","mes",5,"año",2009)</f>
        <v>0.85023007273267037</v>
      </c>
      <c r="D27" s="203">
        <f>GETPIVOTDATA("dato",'[1]evolucion mensual nacionali'!$A$4,"indicador","HOLANDA","mes",5,"año",2009)/GETPIVOTDATA("dato",'[1]evolucion mensual nacionali'!$A$4,"indicador","TOTAL","mes",5,"año",2009)</f>
        <v>3.7108505269407748E-3</v>
      </c>
      <c r="E27" s="203">
        <f>GETPIVOTDATA("dato",'[1]evolucion mensual nacionali'!$A$4,"indicador","BÉLGICA","mes",5,"año",2009)/GETPIVOTDATA("dato",'[1]evolucion mensual nacionali'!$A$4,"indicador","TOTAL","mes",5,"año",2009)</f>
        <v>3.6366335164019592E-3</v>
      </c>
      <c r="F27" s="203">
        <f>GETPIVOTDATA("dato",'[1]evolucion mensual nacionali'!$A$4,"indicador","ALEMANIA","mes",5,"año",2009)/GETPIVOTDATA("dato",'[1]evolucion mensual nacionali'!$A$4,"indicador","TOTAL","mes",5,"año",2009)</f>
        <v>1.6773044381772302E-2</v>
      </c>
      <c r="G27" s="203">
        <f>GETPIVOTDATA("dato",'[1]evolucion mensual nacionali'!$A$4,"indicador","FRANCIA","mes",5,"año",2009)/GETPIVOTDATA("dato",'[1]evolucion mensual nacionali'!$A$4,"indicador","TOTAL","mes",5,"año",2009)</f>
        <v>1.3136410865370342E-2</v>
      </c>
      <c r="H27" s="203">
        <f>GETPIVOTDATA("dato",'[1]evolucion mensual nacionali'!$A$4,"indicador","REINO UNIDO","mes",5,"año",2009)/GETPIVOTDATA("dato",'[1]evolucion mensual nacionali'!$A$4,"indicador","TOTAL","mes",5,"año",2009)</f>
        <v>1.4843402107763099E-2</v>
      </c>
      <c r="I27" s="203">
        <f>GETPIVOTDATA("dato",'[1]evolucion mensual nacionali'!$A$4,"indicador","IRLANDA","mes",5,"año",2009)/GETPIVOTDATA("dato",'[1]evolucion mensual nacionali'!$A$4,"indicador","TOTAL","mes",5,"año",2009)</f>
        <v>1.632774231853941E-3</v>
      </c>
      <c r="J27" s="203">
        <f>GETPIVOTDATA("dato",'[1]evolucion mensual nacionali'!$A$4,"indicador","ITALIA","mes",5,"año",2009)/GETPIVOTDATA("dato",'[1]evolucion mensual nacionali'!$A$4,"indicador","TOTAL","mes",5,"año",2009)</f>
        <v>9.9450794122012773E-3</v>
      </c>
      <c r="K27" s="203">
        <f>(GETPIVOTDATA("dato",'[1]evolucion mensual nacionali'!$A$4,"indicador","SUECIA","mes",5,"año",2009)+GETPIVOTDATA("dato",'[1]evolucion mensual nacionali'!$A$4,"indicador","NORUEGA","mes",5,"año",2009)+GETPIVOTDATA("dato",'[1]evolucion mensual nacionali'!$A$4,"indicador","DINAMARCA","mes",5,"año",2009)+GETPIVOTDATA("dato",'[1]evolucion mensual nacionali'!$A$4,"indicador","FINLANDIA","mes",5,"año",2009))/GETPIVOTDATA("dato",'[1]evolucion mensual nacionali'!$A$4,"indicador","TOTAL","mes",5,"año",2009)</f>
        <v>5.2694077482559002E-3</v>
      </c>
      <c r="L27" s="203">
        <f>GETPIVOTDATA("dato",'[1]evolucion mensual nacionali'!$A$4,"indicador","SUECIA","mes",5,"año",2009)/GETPIVOTDATA("dato",'[1]evolucion mensual nacionali'!$A$4,"indicador","TOTAL","mes",5,"año",2009)</f>
        <v>1.1132551580822325E-3</v>
      </c>
      <c r="M27" s="203">
        <f>GETPIVOTDATA("dato",'[1]evolucion mensual nacionali'!$A$4,"indicador","NORUEGA","mes",5,"año",2009)/GETPIVOTDATA("dato",'[1]evolucion mensual nacionali'!$A$4,"indicador","TOTAL","mes",5,"año",2009)</f>
        <v>1.5585572213151254E-3</v>
      </c>
      <c r="N27" s="203">
        <f>GETPIVOTDATA("dato",'[1]evolucion mensual nacionali'!$A$4,"indicador","DINAMARCA","mes",5,"año",2009)/GETPIVOTDATA("dato",'[1]evolucion mensual nacionali'!$A$4,"indicador","TOTAL","mes",5,"año",2009)</f>
        <v>9.648211370046015E-4</v>
      </c>
      <c r="O27" s="203">
        <f>GETPIVOTDATA("dato",'[1]evolucion mensual nacionali'!$A$4,"indicador","FINLANDIA","mes",5,"año",2009)/GETPIVOTDATA("dato",'[1]evolucion mensual nacionali'!$A$4,"indicador","TOTAL","mes",5,"año",2009)</f>
        <v>1.632774231853941E-3</v>
      </c>
      <c r="P27" s="203">
        <f>GETPIVOTDATA("dato",'[1]evolucion mensual nacionali'!$A$4,"indicador","SUIZA","mes",5,"año",2009)/GETPIVOTDATA("dato",'[1]evolucion mensual nacionali'!$A$4,"indicador","TOTAL","mes",5,"año",2009)</f>
        <v>2.9686804215526197E-3</v>
      </c>
      <c r="Q27" s="203">
        <f>GETPIVOTDATA("dato",'[1]evolucion mensual nacionali'!$A$4,"indicador","AUSTRIA","mes",5,"año",2009)/GETPIVOTDATA("dato",'[1]evolucion mensual nacionali'!$A$4,"indicador","TOTAL","mes",5,"año",2009)</f>
        <v>1.4101232002374944E-3</v>
      </c>
      <c r="R27" s="203">
        <f>GETPIVOTDATA("dato",'[1]evolucion mensual nacionali'!$A$4,"indicador","RUSIA","mes",5,"año",2009)/GETPIVOTDATA("dato",'[1]evolucion mensual nacionali'!$A$4,"indicador","TOTAL","mes",5,"año",2009)</f>
        <v>2.8202464004749889E-3</v>
      </c>
      <c r="S27" s="203">
        <f>GETPIVOTDATA("dato",'[1]evolucion mensual nacionali'!$A$4,"indicador","PAÍSES DEL ESTE","mes",5,"año",2009)/GETPIVOTDATA("dato",'[1]evolucion mensual nacionali'!$A$4,"indicador","TOTAL","mes",5,"año",2009)</f>
        <v>8.0154371381920744E-3</v>
      </c>
      <c r="T27" s="203">
        <f>GETPIVOTDATA("dato",'[1]evolucion mensual nacionali'!$A$4,"indicador","RESTO DE EUROPA","mes",5,"año",2009)/GETPIVOTDATA("dato",'[1]evolucion mensual nacionali'!$A$4,"indicador","TOTAL","mes",5,"año",2009)</f>
        <v>8.7576072435802278E-3</v>
      </c>
      <c r="U27" s="203">
        <f>GETPIVOTDATA("dato",'[1]evolucion mensual nacionali'!$A$4,"indicador","USA","mes",5,"año",2009)/GETPIVOTDATA("dato",'[1]evolucion mensual nacionali'!$A$4,"indicador","TOTAL","mes",5,"año",2009)</f>
        <v>6.4568799168769481E-3</v>
      </c>
      <c r="V27" s="203">
        <f>GETPIVOTDATA("dato",'[1]evolucion mensual nacionali'!$A$4,"indicador","RESTO DE AMÉRICA","mes",5,"año",2009)/GETPIVOTDATA("dato",'[1]evolucion mensual nacionali'!$A$4,"indicador","TOTAL","mes",5,"año",2009)</f>
        <v>2.9909455247142645E-2</v>
      </c>
      <c r="W27" s="203">
        <f>GETPIVOTDATA("dato",'[1]evolucion mensual nacionali'!$A$4,"indicador","RESTO DEL MUNDO","mes",5,"año",2009)/GETPIVOTDATA("dato",'[1]evolucion mensual nacionali'!$A$4,"indicador","TOTAL","mes",5,"año",2009)</f>
        <v>2.0483894908713076E-2</v>
      </c>
      <c r="X27" s="203">
        <f>(GETPIVOTDATA("dato",'[1]evolucion mensual nacionali'!$A$4,"indicador","TOTAL","mes",5,"año",2009)-GETPIVOTDATA("dato",'[1]evolucion mensual nacionali'!$A$4,"indicador","España","mes",5,"año",2009))/GETPIVOTDATA("dato",'[1]evolucion mensual nacionali'!$A$4,"indicador","TOTAL","mes",5,"año",2009)</f>
        <v>0.14976992726732968</v>
      </c>
      <c r="Y27" s="205">
        <f>GETPIVOTDATA("dato",'[1]evolucion mensual nacionali'!$A$4,"indicador","TOTAL","mes",5,"año",2009)/GETPIVOTDATA("dato",'[1]evolucion mensual nacionali'!$A$4,"indicador","TOTAL","mes",5,"año",2009)</f>
        <v>1</v>
      </c>
    </row>
    <row r="28" spans="2:25" ht="15" hidden="1" customHeight="1" outlineLevel="1">
      <c r="B28" s="51" t="s">
        <v>46</v>
      </c>
      <c r="C28" s="203">
        <f>GETPIVOTDATA("dato",'[1]evolucion mensual nacionali'!$A$4,"indicador","España","mes",4,"año",2009)/GETPIVOTDATA("dato",'[1]evolucion mensual nacionali'!$A$4,"indicador","TOTAL","mes",4,"año",2009)</f>
        <v>0.82536891199633</v>
      </c>
      <c r="D28" s="203">
        <f>GETPIVOTDATA("dato",'[1]evolucion mensual nacionali'!$A$4,"indicador","HOLANDA","mes",4,"año",2009)/GETPIVOTDATA("dato",'[1]evolucion mensual nacionali'!$A$4,"indicador","TOTAL","mes",4,"año",2009)</f>
        <v>2.8289624589035861E-3</v>
      </c>
      <c r="E28" s="203">
        <f>GETPIVOTDATA("dato",'[1]evolucion mensual nacionali'!$A$4,"indicador","BÉLGICA","mes",4,"año",2009)/GETPIVOTDATA("dato",'[1]evolucion mensual nacionali'!$A$4,"indicador","TOTAL","mes",4,"año",2009)</f>
        <v>4.7404235797843869E-3</v>
      </c>
      <c r="F28" s="203">
        <f>GETPIVOTDATA("dato",'[1]evolucion mensual nacionali'!$A$4,"indicador","ALEMANIA","mes",4,"año",2009)/GETPIVOTDATA("dato",'[1]evolucion mensual nacionali'!$A$4,"indicador","TOTAL","mes",4,"año",2009)</f>
        <v>1.6667940974080586E-2</v>
      </c>
      <c r="G28" s="203">
        <f>GETPIVOTDATA("dato",'[1]evolucion mensual nacionali'!$A$4,"indicador","FRANCIA","mes",4,"año",2009)/GETPIVOTDATA("dato",'[1]evolucion mensual nacionali'!$A$4,"indicador","TOTAL","mes",4,"año",2009)</f>
        <v>2.3931493233427633E-2</v>
      </c>
      <c r="H28" s="203">
        <f>GETPIVOTDATA("dato",'[1]evolucion mensual nacionali'!$A$4,"indicador","REINO UNIDO","mes",4,"año",2009)/GETPIVOTDATA("dato",'[1]evolucion mensual nacionali'!$A$4,"indicador","TOTAL","mes",4,"año",2009)</f>
        <v>1.3915436960012233E-2</v>
      </c>
      <c r="I28" s="203">
        <f>GETPIVOTDATA("dato",'[1]evolucion mensual nacionali'!$A$4,"indicador","IRLANDA","mes",4,"año",2009)/GETPIVOTDATA("dato",'[1]evolucion mensual nacionali'!$A$4,"indicador","TOTAL","mes",4,"año",2009)</f>
        <v>2.4466702347274256E-3</v>
      </c>
      <c r="J28" s="203">
        <f>GETPIVOTDATA("dato",'[1]evolucion mensual nacionali'!$A$4,"indicador","ITALIA","mes",4,"año",2009)/GETPIVOTDATA("dato",'[1]evolucion mensual nacionali'!$A$4,"indicador","TOTAL","mes",4,"año",2009)</f>
        <v>1.2539184952978056E-2</v>
      </c>
      <c r="K28" s="203">
        <f>(GETPIVOTDATA("dato",'[1]evolucion mensual nacionali'!$A$4,"indicador","SUECIA","mes",4,"año",2009)+GETPIVOTDATA("dato",'[1]evolucion mensual nacionali'!$A$4,"indicador","NORUEGA","mes",4,"año",2009)+GETPIVOTDATA("dato",'[1]evolucion mensual nacionali'!$A$4,"indicador","DINAMARCA","mes",4,"año",2009)+GETPIVOTDATA("dato",'[1]evolucion mensual nacionali'!$A$4,"indicador","FINLANDIA","mes",4,"año",2009))/GETPIVOTDATA("dato",'[1]evolucion mensual nacionali'!$A$4,"indicador","TOTAL","mes",4,"año",2009)</f>
        <v>8.4104289318755257E-3</v>
      </c>
      <c r="L28" s="203">
        <f>GETPIVOTDATA("dato",'[1]evolucion mensual nacionali'!$A$4,"indicador","SUECIA","mes",4,"año",2009)/GETPIVOTDATA("dato",'[1]evolucion mensual nacionali'!$A$4,"indicador","TOTAL","mes",4,"año",2009)</f>
        <v>1.7585442312103372E-3</v>
      </c>
      <c r="M28" s="203">
        <f>GETPIVOTDATA("dato",'[1]evolucion mensual nacionali'!$A$4,"indicador","NORUEGA","mes",4,"año",2009)/GETPIVOTDATA("dato",'[1]evolucion mensual nacionali'!$A$4,"indicador","TOTAL","mes",4,"año",2009)</f>
        <v>1.376252007034177E-3</v>
      </c>
      <c r="N28" s="203">
        <f>GETPIVOTDATA("dato",'[1]evolucion mensual nacionali'!$A$4,"indicador","DINAMARCA","mes",4,"año",2009)/GETPIVOTDATA("dato",'[1]evolucion mensual nacionali'!$A$4,"indicador","TOTAL","mes",4,"año",2009)</f>
        <v>2.2172949002217295E-3</v>
      </c>
      <c r="O28" s="203">
        <f>GETPIVOTDATA("dato",'[1]evolucion mensual nacionali'!$A$4,"indicador","FINLANDIA","mes",4,"año",2009)/GETPIVOTDATA("dato",'[1]evolucion mensual nacionali'!$A$4,"indicador","TOTAL","mes",4,"año",2009)</f>
        <v>3.0583377934092822E-3</v>
      </c>
      <c r="P28" s="203">
        <f>GETPIVOTDATA("dato",'[1]evolucion mensual nacionali'!$A$4,"indicador","SUIZA","mes",4,"año",2009)/GETPIVOTDATA("dato",'[1]evolucion mensual nacionali'!$A$4,"indicador","TOTAL","mes",4,"año",2009)</f>
        <v>4.5110482452786907E-3</v>
      </c>
      <c r="Q28" s="203">
        <f>GETPIVOTDATA("dato",'[1]evolucion mensual nacionali'!$A$4,"indicador","AUSTRIA","mes",4,"año",2009)/GETPIVOTDATA("dato",'[1]evolucion mensual nacionali'!$A$4,"indicador","TOTAL","mes",4,"año",2009)</f>
        <v>1.8350026760455692E-3</v>
      </c>
      <c r="R28" s="203">
        <f>GETPIVOTDATA("dato",'[1]evolucion mensual nacionali'!$A$4,"indicador","RUSIA","mes",4,"año",2009)/GETPIVOTDATA("dato",'[1]evolucion mensual nacionali'!$A$4,"indicador","TOTAL","mes",4,"año",2009)</f>
        <v>3.6700053520911384E-3</v>
      </c>
      <c r="S28" s="203">
        <f>GETPIVOTDATA("dato",'[1]evolucion mensual nacionali'!$A$4,"indicador","PAÍSES DEL ESTE","mes",4,"año",2009)/GETPIVOTDATA("dato",'[1]evolucion mensual nacionali'!$A$4,"indicador","TOTAL","mes",4,"año",2009)</f>
        <v>5.1991742487957791E-3</v>
      </c>
      <c r="T28" s="203">
        <f>GETPIVOTDATA("dato",'[1]evolucion mensual nacionali'!$A$4,"indicador","RESTO DE EUROPA","mes",4,"año",2009)/GETPIVOTDATA("dato",'[1]evolucion mensual nacionali'!$A$4,"indicador","TOTAL","mes",4,"año",2009)</f>
        <v>1.338022784616561E-2</v>
      </c>
      <c r="U28" s="203">
        <f>GETPIVOTDATA("dato",'[1]evolucion mensual nacionali'!$A$4,"indicador","USA","mes",4,"año",2009)/GETPIVOTDATA("dato",'[1]evolucion mensual nacionali'!$A$4,"indicador","TOTAL","mes",4,"año",2009)</f>
        <v>6.0402171419833318E-3</v>
      </c>
      <c r="V28" s="203">
        <f>GETPIVOTDATA("dato",'[1]evolucion mensual nacionali'!$A$4,"indicador","RESTO DE AMÉRICA","mes",4,"año",2009)/GETPIVOTDATA("dato",'[1]evolucion mensual nacionali'!$A$4,"indicador","TOTAL","mes",4,"año",2009)</f>
        <v>3.494150928970105E-2</v>
      </c>
      <c r="W28" s="203">
        <f>GETPIVOTDATA("dato",'[1]evolucion mensual nacionali'!$A$4,"indicador","RESTO DEL MUNDO","mes",4,"año",2009)/GETPIVOTDATA("dato",'[1]evolucion mensual nacionali'!$A$4,"indicador","TOTAL","mes",4,"año",2009)</f>
        <v>1.9573361877819405E-2</v>
      </c>
      <c r="X28" s="203">
        <f>(GETPIVOTDATA("dato",'[1]evolucion mensual nacionali'!$A$4,"indicador","TOTAL","mes",4,"año",2009)-GETPIVOTDATA("dato",'[1]evolucion mensual nacionali'!$A$4,"indicador","España","mes",4,"año",2009))/GETPIVOTDATA("dato",'[1]evolucion mensual nacionali'!$A$4,"indicador","TOTAL","mes",4,"año",2009)</f>
        <v>0.17463108800367</v>
      </c>
      <c r="Y28" s="205">
        <f>GETPIVOTDATA("dato",'[1]evolucion mensual nacionali'!$A$4,"indicador","TOTAL","mes",4,"año",2009)/GETPIVOTDATA("dato",'[1]evolucion mensual nacionali'!$A$4,"indicador","TOTAL","mes",4,"año",2009)</f>
        <v>1</v>
      </c>
    </row>
    <row r="29" spans="2:25" ht="15" hidden="1" customHeight="1" outlineLevel="1">
      <c r="B29" s="51" t="s">
        <v>47</v>
      </c>
      <c r="C29" s="203">
        <f>GETPIVOTDATA("dato",'[1]evolucion mensual nacionali'!$A$4,"indicador","España","mes",3,"año",2009)/GETPIVOTDATA("dato",'[1]evolucion mensual nacionali'!$A$4,"indicador","TOTAL","mes",3,"año",2009)</f>
        <v>0.82629527886028242</v>
      </c>
      <c r="D29" s="203">
        <f>GETPIVOTDATA("dato",'[1]evolucion mensual nacionali'!$A$4,"indicador","HOLANDA","mes",3,"año",2009)/GETPIVOTDATA("dato",'[1]evolucion mensual nacionali'!$A$4,"indicador","TOTAL","mes",3,"año",2009)</f>
        <v>3.1942758576630676E-3</v>
      </c>
      <c r="E29" s="203">
        <f>GETPIVOTDATA("dato",'[1]evolucion mensual nacionali'!$A$4,"indicador","BÉLGICA","mes",3,"año",2009)/GETPIVOTDATA("dato",'[1]evolucion mensual nacionali'!$A$4,"indicador","TOTAL","mes",3,"año",2009)</f>
        <v>4.0247875806554657E-3</v>
      </c>
      <c r="F29" s="203">
        <f>GETPIVOTDATA("dato",'[1]evolucion mensual nacionali'!$A$4,"indicador","ALEMANIA","mes",3,"año",2009)/GETPIVOTDATA("dato",'[1]evolucion mensual nacionali'!$A$4,"indicador","TOTAL","mes",3,"año",2009)</f>
        <v>2.3382099278093656E-2</v>
      </c>
      <c r="G29" s="203">
        <f>GETPIVOTDATA("dato",'[1]evolucion mensual nacionali'!$A$4,"indicador","FRANCIA","mes",3,"año",2009)/GETPIVOTDATA("dato",'[1]evolucion mensual nacionali'!$A$4,"indicador","TOTAL","mes",3,"año",2009)</f>
        <v>1.9293426180284928E-2</v>
      </c>
      <c r="H29" s="203">
        <f>GETPIVOTDATA("dato",'[1]evolucion mensual nacionali'!$A$4,"indicador","REINO UNIDO","mes",3,"año",2009)/GETPIVOTDATA("dato",'[1]evolucion mensual nacionali'!$A$4,"indicador","TOTAL","mes",3,"año",2009)</f>
        <v>1.7312975148533829E-2</v>
      </c>
      <c r="I29" s="203">
        <f>GETPIVOTDATA("dato",'[1]evolucion mensual nacionali'!$A$4,"indicador","IRLANDA","mes",3,"año",2009)/GETPIVOTDATA("dato",'[1]evolucion mensual nacionali'!$A$4,"indicador","TOTAL","mes",3,"año",2009)</f>
        <v>3.3220468919695906E-3</v>
      </c>
      <c r="J29" s="203">
        <f>GETPIVOTDATA("dato",'[1]evolucion mensual nacionali'!$A$4,"indicador","ITALIA","mes",3,"año",2009)/GETPIVOTDATA("dato",'[1]evolucion mensual nacionali'!$A$4,"indicador","TOTAL","mes",3,"año",2009)</f>
        <v>1.9740624800357758E-2</v>
      </c>
      <c r="K29" s="203">
        <f>(GETPIVOTDATA("dato",'[1]evolucion mensual nacionali'!$A$4,"indicador","SUECIA","mes",3,"año",2009)+GETPIVOTDATA("dato",'[1]evolucion mensual nacionali'!$A$4,"indicador","NORUEGA","mes",3,"año",2009)+GETPIVOTDATA("dato",'[1]evolucion mensual nacionali'!$A$4,"indicador","DINAMARCA","mes",3,"año",2009)+GETPIVOTDATA("dato",'[1]evolucion mensual nacionali'!$A$4,"indicador","FINLANDIA","mes",3,"año",2009))/GETPIVOTDATA("dato",'[1]evolucion mensual nacionali'!$A$4,"indicador","TOTAL","mes",3,"año",2009)</f>
        <v>1.4565897910943589E-2</v>
      </c>
      <c r="L29" s="203">
        <f>GETPIVOTDATA("dato",'[1]evolucion mensual nacionali'!$A$4,"indicador","SUECIA","mes",3,"año",2009)/GETPIVOTDATA("dato",'[1]evolucion mensual nacionali'!$A$4,"indicador","TOTAL","mes",3,"año",2009)</f>
        <v>4.1525586149619882E-3</v>
      </c>
      <c r="M29" s="203">
        <f>GETPIVOTDATA("dato",'[1]evolucion mensual nacionali'!$A$4,"indicador","NORUEGA","mes",3,"año",2009)/GETPIVOTDATA("dato",'[1]evolucion mensual nacionali'!$A$4,"indicador","TOTAL","mes",3,"año",2009)</f>
        <v>2.5554206861304542E-3</v>
      </c>
      <c r="N29" s="203">
        <f>GETPIVOTDATA("dato",'[1]evolucion mensual nacionali'!$A$4,"indicador","DINAMARCA","mes",3,"año",2009)/GETPIVOTDATA("dato",'[1]evolucion mensual nacionali'!$A$4,"indicador","TOTAL","mes",3,"año",2009)</f>
        <v>3.2581613748163293E-3</v>
      </c>
      <c r="O29" s="203">
        <f>GETPIVOTDATA("dato",'[1]evolucion mensual nacionali'!$A$4,"indicador","FINLANDIA","mes",3,"año",2009)/GETPIVOTDATA("dato",'[1]evolucion mensual nacionali'!$A$4,"indicador","TOTAL","mes",3,"año",2009)</f>
        <v>4.5997572350348175E-3</v>
      </c>
      <c r="P29" s="203">
        <f>GETPIVOTDATA("dato",'[1]evolucion mensual nacionali'!$A$4,"indicador","SUIZA","mes",3,"año",2009)/GETPIVOTDATA("dato",'[1]evolucion mensual nacionali'!$A$4,"indicador","TOTAL","mes",3,"año",2009)</f>
        <v>3.1303903405098064E-3</v>
      </c>
      <c r="Q29" s="203">
        <f>GETPIVOTDATA("dato",'[1]evolucion mensual nacionali'!$A$4,"indicador","AUSTRIA","mes",3,"año",2009)/GETPIVOTDATA("dato",'[1]evolucion mensual nacionali'!$A$4,"indicador","TOTAL","mes",3,"año",2009)</f>
        <v>3.2581613748163293E-3</v>
      </c>
      <c r="R29" s="203">
        <f>GETPIVOTDATA("dato",'[1]evolucion mensual nacionali'!$A$4,"indicador","RUSIA","mes",3,"año",2009)/GETPIVOTDATA("dato",'[1]evolucion mensual nacionali'!$A$4,"indicador","TOTAL","mes",3,"año",2009)</f>
        <v>2.2998786175174087E-3</v>
      </c>
      <c r="S29" s="203">
        <f>GETPIVOTDATA("dato",'[1]evolucion mensual nacionali'!$A$4,"indicador","PAÍSES DEL ESTE","mes",3,"año",2009)/GETPIVOTDATA("dato",'[1]evolucion mensual nacionali'!$A$4,"indicador","TOTAL","mes",3,"año",2009)</f>
        <v>7.0274068868587487E-3</v>
      </c>
      <c r="T29" s="203">
        <f>GETPIVOTDATA("dato",'[1]evolucion mensual nacionali'!$A$4,"indicador","RESTO DE EUROPA","mes",3,"año",2009)/GETPIVOTDATA("dato",'[1]evolucion mensual nacionali'!$A$4,"indicador","TOTAL","mes",3,"año",2009)</f>
        <v>1.3224302050725101E-2</v>
      </c>
      <c r="U29" s="203">
        <f>GETPIVOTDATA("dato",'[1]evolucion mensual nacionali'!$A$4,"indicador","USA","mes",3,"año",2009)/GETPIVOTDATA("dato",'[1]evolucion mensual nacionali'!$A$4,"indicador","TOTAL","mes",3,"año",2009)</f>
        <v>5.6219255094869993E-3</v>
      </c>
      <c r="V29" s="203">
        <f>GETPIVOTDATA("dato",'[1]evolucion mensual nacionali'!$A$4,"indicador","RESTO DE AMÉRICA","mes",3,"año",2009)/GETPIVOTDATA("dato",'[1]evolucion mensual nacionali'!$A$4,"indicador","TOTAL","mes",3,"año",2009)</f>
        <v>1.5460295151089248E-2</v>
      </c>
      <c r="W29" s="203">
        <f>GETPIVOTDATA("dato",'[1]evolucion mensual nacionali'!$A$4,"indicador","RESTO DEL MUNDO","mes",3,"año",2009)/GETPIVOTDATA("dato",'[1]evolucion mensual nacionali'!$A$4,"indicador","TOTAL","mes",3,"año",2009)</f>
        <v>1.8846227560212099E-2</v>
      </c>
      <c r="X29" s="203">
        <f>(GETPIVOTDATA("dato",'[1]evolucion mensual nacionali'!$A$4,"indicador","TOTAL","mes",3,"año",2009)-GETPIVOTDATA("dato",'[1]evolucion mensual nacionali'!$A$4,"indicador","España","mes",3,"año",2009))/GETPIVOTDATA("dato",'[1]evolucion mensual nacionali'!$A$4,"indicador","TOTAL","mes",3,"año",2009)</f>
        <v>0.17370472113971763</v>
      </c>
      <c r="Y29" s="205">
        <f>GETPIVOTDATA("dato",'[1]evolucion mensual nacionali'!$A$4,"indicador","TOTAL","mes",3,"año",2009)/GETPIVOTDATA("dato",'[1]evolucion mensual nacionali'!$A$4,"indicador","TOTAL","mes",3,"año",2009)</f>
        <v>1</v>
      </c>
    </row>
    <row r="30" spans="2:25" ht="15" hidden="1" customHeight="1" outlineLevel="1">
      <c r="B30" s="51" t="s">
        <v>48</v>
      </c>
      <c r="C30" s="203">
        <f>GETPIVOTDATA("dato",'[1]evolucion mensual nacionali'!$A$4,"indicador","España","mes",2,"año",2009)/GETPIVOTDATA("dato",'[1]evolucion mensual nacionali'!$A$4,"indicador","TOTAL","mes",2,"año",2009)</f>
        <v>0.83726601634590037</v>
      </c>
      <c r="D30" s="203">
        <f>GETPIVOTDATA("dato",'[1]evolucion mensual nacionali'!$A$4,"indicador","HOLANDA","mes",2,"año",2009)/GETPIVOTDATA("dato",'[1]evolucion mensual nacionali'!$A$4,"indicador","TOTAL","mes",2,"año",2009)</f>
        <v>4.4160295280780389E-3</v>
      </c>
      <c r="E30" s="203">
        <f>GETPIVOTDATA("dato",'[1]evolucion mensual nacionali'!$A$4,"indicador","BÉLGICA","mes",2,"año",2009)/GETPIVOTDATA("dato",'[1]evolucion mensual nacionali'!$A$4,"indicador","TOTAL","mes",2,"año",2009)</f>
        <v>2.4387028737147378E-3</v>
      </c>
      <c r="F30" s="203">
        <f>GETPIVOTDATA("dato",'[1]evolucion mensual nacionali'!$A$4,"indicador","ALEMANIA","mes",2,"año",2009)/GETPIVOTDATA("dato",'[1]evolucion mensual nacionali'!$A$4,"indicador","TOTAL","mes",2,"año",2009)</f>
        <v>2.3859741629317165E-2</v>
      </c>
      <c r="G30" s="203">
        <f>GETPIVOTDATA("dato",'[1]evolucion mensual nacionali'!$A$4,"indicador","FRANCIA","mes",2,"año",2009)/GETPIVOTDATA("dato",'[1]evolucion mensual nacionali'!$A$4,"indicador","TOTAL","mes",2,"año",2009)</f>
        <v>1.5027682573161087E-2</v>
      </c>
      <c r="H30" s="203">
        <f>GETPIVOTDATA("dato",'[1]evolucion mensual nacionali'!$A$4,"indicador","REINO UNIDO","mes",2,"año",2009)/GETPIVOTDATA("dato",'[1]evolucion mensual nacionali'!$A$4,"indicador","TOTAL","mes",2,"año",2009)</f>
        <v>2.1223306090166094E-2</v>
      </c>
      <c r="I30" s="203">
        <f>GETPIVOTDATA("dato",'[1]evolucion mensual nacionali'!$A$4,"indicador","IRLANDA","mes",2,"año",2009)/GETPIVOTDATA("dato",'[1]evolucion mensual nacionali'!$A$4,"indicador","TOTAL","mes",2,"año",2009)</f>
        <v>2.9659899815449513E-3</v>
      </c>
      <c r="J30" s="203">
        <f>GETPIVOTDATA("dato",'[1]evolucion mensual nacionali'!$A$4,"indicador","ITALIA","mes",2,"año",2009)/GETPIVOTDATA("dato",'[1]evolucion mensual nacionali'!$A$4,"indicador","TOTAL","mes",2,"año",2009)</f>
        <v>1.4698128130767202E-2</v>
      </c>
      <c r="K30" s="203">
        <f>(GETPIVOTDATA("dato",'[1]evolucion mensual nacionali'!$A$4,"indicador","SUECIA","mes",2,"año",2009)+GETPIVOTDATA("dato",'[1]evolucion mensual nacionali'!$A$4,"indicador","NORUEGA","mes",2,"año",2009)+GETPIVOTDATA("dato",'[1]evolucion mensual nacionali'!$A$4,"indicador","DINAMARCA","mes",2,"año",2009)+GETPIVOTDATA("dato",'[1]evolucion mensual nacionali'!$A$4,"indicador","FINLANDIA","mes",2,"año",2009))/GETPIVOTDATA("dato",'[1]evolucion mensual nacionali'!$A$4,"indicador","TOTAL","mes",2,"año",2009)</f>
        <v>1.5686791457948854E-2</v>
      </c>
      <c r="L30" s="203">
        <f>GETPIVOTDATA("dato",'[1]evolucion mensual nacionali'!$A$4,"indicador","SUECIA","mes",2,"año",2009)/GETPIVOTDATA("dato",'[1]evolucion mensual nacionali'!$A$4,"indicador","TOTAL","mes",2,"año",2009)</f>
        <v>4.4819404165568153E-3</v>
      </c>
      <c r="M30" s="203">
        <f>GETPIVOTDATA("dato",'[1]evolucion mensual nacionali'!$A$4,"indicador","NORUEGA","mes",2,"año",2009)/GETPIVOTDATA("dato",'[1]evolucion mensual nacionali'!$A$4,"indicador","TOTAL","mes",2,"año",2009)</f>
        <v>3.5591879778539416E-3</v>
      </c>
      <c r="N30" s="203">
        <f>GETPIVOTDATA("dato",'[1]evolucion mensual nacionali'!$A$4,"indicador","DINAMARCA","mes",2,"año",2009)/GETPIVOTDATA("dato",'[1]evolucion mensual nacionali'!$A$4,"indicador","TOTAL","mes",2,"año",2009)</f>
        <v>4.3501186395992616E-3</v>
      </c>
      <c r="O30" s="203">
        <f>GETPIVOTDATA("dato",'[1]evolucion mensual nacionali'!$A$4,"indicador","FINLANDIA","mes",2,"año",2009)/GETPIVOTDATA("dato",'[1]evolucion mensual nacionali'!$A$4,"indicador","TOTAL","mes",2,"año",2009)</f>
        <v>3.2955444239388346E-3</v>
      </c>
      <c r="P30" s="203">
        <f>GETPIVOTDATA("dato",'[1]evolucion mensual nacionali'!$A$4,"indicador","SUIZA","mes",2,"año",2009)/GETPIVOTDATA("dato",'[1]evolucion mensual nacionali'!$A$4,"indicador","TOTAL","mes",2,"año",2009)</f>
        <v>4.2182968626417088E-3</v>
      </c>
      <c r="Q30" s="203">
        <f>GETPIVOTDATA("dato",'[1]evolucion mensual nacionali'!$A$4,"indicador","AUSTRIA","mes",2,"año",2009)/GETPIVOTDATA("dato",'[1]evolucion mensual nacionali'!$A$4,"indicador","TOTAL","mes",2,"año",2009)</f>
        <v>2.1750593197996308E-3</v>
      </c>
      <c r="R30" s="203">
        <f>GETPIVOTDATA("dato",'[1]evolucion mensual nacionali'!$A$4,"indicador","RUSIA","mes",2,"año",2009)/GETPIVOTDATA("dato",'[1]evolucion mensual nacionali'!$A$4,"indicador","TOTAL","mes",2,"año",2009)</f>
        <v>1.4500395465330872E-3</v>
      </c>
      <c r="S30" s="203">
        <f>GETPIVOTDATA("dato",'[1]evolucion mensual nacionali'!$A$4,"indicador","PAÍSES DEL ESTE","mes",2,"año",2009)/GETPIVOTDATA("dato",'[1]evolucion mensual nacionali'!$A$4,"indicador","TOTAL","mes",2,"año",2009)</f>
        <v>4.5478513050355917E-3</v>
      </c>
      <c r="T30" s="203">
        <f>GETPIVOTDATA("dato",'[1]evolucion mensual nacionali'!$A$4,"indicador","RESTO DE EUROPA","mes",2,"año",2009)/GETPIVOTDATA("dato",'[1]evolucion mensual nacionali'!$A$4,"indicador","TOTAL","mes",2,"año",2009)</f>
        <v>9.6889006063801738E-3</v>
      </c>
      <c r="U30" s="203">
        <f>GETPIVOTDATA("dato",'[1]evolucion mensual nacionali'!$A$4,"indicador","USA","mes",2,"año",2009)/GETPIVOTDATA("dato",'[1]evolucion mensual nacionali'!$A$4,"indicador","TOTAL","mes",2,"año",2009)</f>
        <v>5.0092275243870284E-3</v>
      </c>
      <c r="V30" s="203">
        <f>GETPIVOTDATA("dato",'[1]evolucion mensual nacionali'!$A$4,"indicador","RESTO DE AMÉRICA","mes",2,"año",2009)/GETPIVOTDATA("dato",'[1]evolucion mensual nacionali'!$A$4,"indicador","TOTAL","mes",2,"año",2009)</f>
        <v>1.8982335881887687E-2</v>
      </c>
      <c r="W30" s="203">
        <f>GETPIVOTDATA("dato",'[1]evolucion mensual nacionali'!$A$4,"indicador","RESTO DEL MUNDO","mes",2,"año",2009)/GETPIVOTDATA("dato",'[1]evolucion mensual nacionali'!$A$4,"indicador","TOTAL","mes",2,"año",2009)</f>
        <v>1.634590034273662E-2</v>
      </c>
      <c r="X30" s="203">
        <f>(GETPIVOTDATA("dato",'[1]evolucion mensual nacionali'!$A$4,"indicador","TOTAL","mes",2,"año",2009)-GETPIVOTDATA("dato",'[1]evolucion mensual nacionali'!$A$4,"indicador","España","mes",2,"año",2009))/GETPIVOTDATA("dato",'[1]evolucion mensual nacionali'!$A$4,"indicador","TOTAL","mes",2,"año",2009)</f>
        <v>0.16273398365409966</v>
      </c>
      <c r="Y30" s="205">
        <f>GETPIVOTDATA("dato",'[1]evolucion mensual nacionali'!$A$4,"indicador","TOTAL","mes",2,"año",2009)/GETPIVOTDATA("dato",'[1]evolucion mensual nacionali'!$A$4,"indicador","TOTAL","mes",2,"año",2009)</f>
        <v>1</v>
      </c>
    </row>
    <row r="31" spans="2:25" ht="15" hidden="1" customHeight="1" outlineLevel="1">
      <c r="B31" s="51" t="s">
        <v>49</v>
      </c>
      <c r="C31" s="203">
        <f>GETPIVOTDATA("dato",'[1]evolucion mensual nacionali'!$A$4,"indicador","España","mes",1,"año",2009)/GETPIVOTDATA("dato",'[1]evolucion mensual nacionali'!$A$4,"indicador","TOTAL","mes",1,"año",2009)</f>
        <v>0.79926308032424465</v>
      </c>
      <c r="D31" s="203">
        <f>GETPIVOTDATA("dato",'[1]evolucion mensual nacionali'!$A$4,"indicador","HOLANDA","mes",1,"año",2009)/GETPIVOTDATA("dato",'[1]evolucion mensual nacionali'!$A$4,"indicador","TOTAL","mes",1,"año",2009)</f>
        <v>7.8850405305821662E-3</v>
      </c>
      <c r="E31" s="203">
        <f>GETPIVOTDATA("dato",'[1]evolucion mensual nacionali'!$A$4,"indicador","BÉLGICA","mes",1,"año",2009)/GETPIVOTDATA("dato",'[1]evolucion mensual nacionali'!$A$4,"indicador","TOTAL","mes",1,"año",2009)</f>
        <v>5.2321296978629327E-3</v>
      </c>
      <c r="F31" s="203">
        <f>GETPIVOTDATA("dato",'[1]evolucion mensual nacionali'!$A$4,"indicador","ALEMANIA","mes",1,"año",2009)/GETPIVOTDATA("dato",'[1]evolucion mensual nacionali'!$A$4,"indicador","TOTAL","mes",1,"año",2009)</f>
        <v>3.0582166543846722E-2</v>
      </c>
      <c r="G31" s="203">
        <f>GETPIVOTDATA("dato",'[1]evolucion mensual nacionali'!$A$4,"indicador","FRANCIA","mes",1,"año",2009)/GETPIVOTDATA("dato",'[1]evolucion mensual nacionali'!$A$4,"indicador","TOTAL","mes",1,"año",2009)</f>
        <v>1.3117170228445099E-2</v>
      </c>
      <c r="H31" s="203">
        <f>GETPIVOTDATA("dato",'[1]evolucion mensual nacionali'!$A$4,"indicador","REINO UNIDO","mes",1,"año",2009)/GETPIVOTDATA("dato",'[1]evolucion mensual nacionali'!$A$4,"indicador","TOTAL","mes",1,"año",2009)</f>
        <v>2.6160648489314663E-2</v>
      </c>
      <c r="I31" s="203">
        <f>GETPIVOTDATA("dato",'[1]evolucion mensual nacionali'!$A$4,"indicador","IRLANDA","mes",1,"año",2009)/GETPIVOTDATA("dato",'[1]evolucion mensual nacionali'!$A$4,"indicador","TOTAL","mes",1,"año",2009)</f>
        <v>3.6109064112011791E-3</v>
      </c>
      <c r="J31" s="203">
        <f>GETPIVOTDATA("dato",'[1]evolucion mensual nacionali'!$A$4,"indicador","ITALIA","mes",1,"año",2009)/GETPIVOTDATA("dato",'[1]evolucion mensual nacionali'!$A$4,"indicador","TOTAL","mes",1,"año",2009)</f>
        <v>2.1665438467207074E-2</v>
      </c>
      <c r="K31" s="203">
        <f>(GETPIVOTDATA("dato",'[1]evolucion mensual nacionali'!$A$4,"indicador","SUECIA","mes",1,"año",2009)+GETPIVOTDATA("dato",'[1]evolucion mensual nacionali'!$A$4,"indicador","NORUEGA","mes",1,"año",2009)+GETPIVOTDATA("dato",'[1]evolucion mensual nacionali'!$A$4,"indicador","DINAMARCA","mes",1,"año",2009)+GETPIVOTDATA("dato",'[1]evolucion mensual nacionali'!$A$4,"indicador","FINLANDIA","mes",1,"año",2009))/GETPIVOTDATA("dato",'[1]evolucion mensual nacionali'!$A$4,"indicador","TOTAL","mes",1,"año",2009)</f>
        <v>1.8422991893883568E-2</v>
      </c>
      <c r="L31" s="203">
        <f>GETPIVOTDATA("dato",'[1]evolucion mensual nacionali'!$A$4,"indicador","SUECIA","mes",1,"año",2009)/GETPIVOTDATA("dato",'[1]evolucion mensual nacionali'!$A$4,"indicador","TOTAL","mes",1,"año",2009)</f>
        <v>2.5792188651436992E-3</v>
      </c>
      <c r="M31" s="203">
        <f>GETPIVOTDATA("dato",'[1]evolucion mensual nacionali'!$A$4,"indicador","NORUEGA","mes",1,"año",2009)/GETPIVOTDATA("dato",'[1]evolucion mensual nacionali'!$A$4,"indicador","TOTAL","mes",1,"año",2009)</f>
        <v>3.3898305084745762E-3</v>
      </c>
      <c r="N31" s="203">
        <f>GETPIVOTDATA("dato",'[1]evolucion mensual nacionali'!$A$4,"indicador","DINAMARCA","mes",1,"año",2009)/GETPIVOTDATA("dato",'[1]evolucion mensual nacionali'!$A$4,"indicador","TOTAL","mes",1,"año",2009)</f>
        <v>3.9793662490788502E-3</v>
      </c>
      <c r="O31" s="203">
        <f>GETPIVOTDATA("dato",'[1]evolucion mensual nacionali'!$A$4,"indicador","FINLANDIA","mes",1,"año",2009)/GETPIVOTDATA("dato",'[1]evolucion mensual nacionali'!$A$4,"indicador","TOTAL","mes",1,"año",2009)</f>
        <v>8.4745762711864406E-3</v>
      </c>
      <c r="P31" s="203">
        <f>GETPIVOTDATA("dato",'[1]evolucion mensual nacionali'!$A$4,"indicador","SUIZA","mes",1,"año",2009)/GETPIVOTDATA("dato",'[1]evolucion mensual nacionali'!$A$4,"indicador","TOTAL","mes",1,"año",2009)</f>
        <v>4.4952100221075904E-3</v>
      </c>
      <c r="Q31" s="203">
        <f>GETPIVOTDATA("dato",'[1]evolucion mensual nacionali'!$A$4,"indicador","AUSTRIA","mes",1,"año",2009)/GETPIVOTDATA("dato",'[1]evolucion mensual nacionali'!$A$4,"indicador","TOTAL","mes",1,"año",2009)</f>
        <v>2.5055268975681649E-3</v>
      </c>
      <c r="R31" s="203">
        <f>GETPIVOTDATA("dato",'[1]evolucion mensual nacionali'!$A$4,"indicador","RUSIA","mes",1,"año",2009)/GETPIVOTDATA("dato",'[1]evolucion mensual nacionali'!$A$4,"indicador","TOTAL","mes",1,"año",2009)</f>
        <v>4.9373618275607963E-3</v>
      </c>
      <c r="S31" s="203">
        <f>GETPIVOTDATA("dato",'[1]evolucion mensual nacionali'!$A$4,"indicador","PAÍSES DEL ESTE","mes",1,"año",2009)/GETPIVOTDATA("dato",'[1]evolucion mensual nacionali'!$A$4,"indicador","TOTAL","mes",1,"año",2009)</f>
        <v>5.5268975681650699E-3</v>
      </c>
      <c r="T31" s="203">
        <f>GETPIVOTDATA("dato",'[1]evolucion mensual nacionali'!$A$4,"indicador","RESTO DE EUROPA","mes",1,"año",2009)/GETPIVOTDATA("dato",'[1]evolucion mensual nacionali'!$A$4,"indicador","TOTAL","mes",1,"año",2009)</f>
        <v>9.4325718496683867E-3</v>
      </c>
      <c r="U31" s="203">
        <f>GETPIVOTDATA("dato",'[1]evolucion mensual nacionali'!$A$4,"indicador","USA","mes",1,"año",2009)/GETPIVOTDATA("dato",'[1]evolucion mensual nacionali'!$A$4,"indicador","TOTAL","mes",1,"año",2009)</f>
        <v>4.0530582166543845E-3</v>
      </c>
      <c r="V31" s="203">
        <f>GETPIVOTDATA("dato",'[1]evolucion mensual nacionali'!$A$4,"indicador","RESTO DE AMÉRICA","mes",1,"año",2009)/GETPIVOTDATA("dato",'[1]evolucion mensual nacionali'!$A$4,"indicador","TOTAL","mes",1,"año",2009)</f>
        <v>2.313927781871776E-2</v>
      </c>
      <c r="W31" s="203">
        <f>GETPIVOTDATA("dato",'[1]evolucion mensual nacionali'!$A$4,"indicador","RESTO DEL MUNDO","mes",1,"año",2009)/GETPIVOTDATA("dato",'[1]evolucion mensual nacionali'!$A$4,"indicador","TOTAL","mes",1,"año",2009)</f>
        <v>1.9970523212969785E-2</v>
      </c>
      <c r="X31" s="203">
        <f>(GETPIVOTDATA("dato",'[1]evolucion mensual nacionali'!$A$4,"indicador","TOTAL","mes",1,"año",2009)-GETPIVOTDATA("dato",'[1]evolucion mensual nacionali'!$A$4,"indicador","España","mes",1,"año",2009))/GETPIVOTDATA("dato",'[1]evolucion mensual nacionali'!$A$4,"indicador","TOTAL","mes",1,"año",2009)</f>
        <v>0.20073691967575535</v>
      </c>
      <c r="Y31" s="205">
        <f>GETPIVOTDATA("dato",'[1]evolucion mensual nacionali'!$A$4,"indicador","TOTAL","mes",1,"año",2009)/GETPIVOTDATA("dato",'[1]evolucion mensual nacionali'!$A$4,"indicador","TOTAL","mes",1,"año",2009)</f>
        <v>1</v>
      </c>
    </row>
    <row r="32" spans="2:25" collapsed="1">
      <c r="B32" s="209">
        <v>2009</v>
      </c>
      <c r="C32" s="211">
        <f>GETPIVOTDATA("dato",'[1]evolucion mensual nacionali'!$A$4,"indicador","España","año",2009)/GETPIVOTDATA("dato",'[1]evolucion mensual nacionali'!$A$4,"indicador","TOTAL","año",2009)</f>
        <v>0.82215801986098602</v>
      </c>
      <c r="D32" s="211">
        <f>GETPIVOTDATA("dato",'[1]evolucion mensual nacionali'!$A$4,"indicador","HOLANDA","año",2009)/GETPIVOTDATA("dato",'[1]evolucion mensual nacionali'!$A$4,"indicador","TOTAL","año",2009)</f>
        <v>4.3660484670246741E-3</v>
      </c>
      <c r="E32" s="211">
        <f>GETPIVOTDATA("dato",'[1]evolucion mensual nacionali'!$A$4,"indicador","BÉLGICA","año",2009)/GETPIVOTDATA("dato",'[1]evolucion mensual nacionali'!$A$4,"indicador","TOTAL","año",2009)</f>
        <v>3.7182667953592919E-3</v>
      </c>
      <c r="F32" s="211">
        <f>GETPIVOTDATA("dato",'[1]evolucion mensual nacionali'!$A$4,"indicador","ALEMANIA","año",2009)/GETPIVOTDATA("dato",'[1]evolucion mensual nacionali'!$A$4,"indicador","TOTAL","año",2009)</f>
        <v>2.3449696514286824E-2</v>
      </c>
      <c r="G32" s="211">
        <f>GETPIVOTDATA("dato",'[1]evolucion mensual nacionali'!$A$4,"indicador","FRANCIA","año",2009)/GETPIVOTDATA("dato",'[1]evolucion mensual nacionali'!$A$4,"indicador","TOTAL","año",2009)</f>
        <v>1.6382398476417509E-2</v>
      </c>
      <c r="H32" s="211">
        <f>GETPIVOTDATA("dato",'[1]evolucion mensual nacionali'!$A$4,"indicador","REINO UNIDO","año",2009)/GETPIVOTDATA("dato",'[1]evolucion mensual nacionali'!$A$4,"indicador","TOTAL","año",2009)</f>
        <v>1.7554883302131851E-2</v>
      </c>
      <c r="I32" s="211">
        <f>GETPIVOTDATA("dato",'[1]evolucion mensual nacionali'!$A$4,"indicador","IRLANDA","año",2009)/GETPIVOTDATA("dato",'[1]evolucion mensual nacionali'!$A$4,"indicador","TOTAL","año",2009)</f>
        <v>2.4486147188951435E-3</v>
      </c>
      <c r="J32" s="211">
        <f>GETPIVOTDATA("dato",'[1]evolucion mensual nacionali'!$A$4,"indicador","ITALIA","año",2009)/GETPIVOTDATA("dato",'[1]evolucion mensual nacionali'!$A$4,"indicador","TOTAL","año",2009)</f>
        <v>1.7269859366599083E-2</v>
      </c>
      <c r="K32" s="211">
        <f>(GETPIVOTDATA("dato",'[1]evolucion mensual nacionali'!$A$4,"indicador","SUECIA","año",2009)+GETPIVOTDATA("dato",'[1]evolucion mensual nacionali'!$A$4,"indicador","NORUEGA","año",2009)+GETPIVOTDATA("dato",'[1]evolucion mensual nacionali'!$A$4,"indicador","DINAMARCA","año",2009)+GETPIVOTDATA("dato",'[1]evolucion mensual nacionali'!$A$4,"indicador","FINLANDIA","año",2009))/GETPIVOTDATA("dato",'[1]evolucion mensual nacionali'!$A$4,"indicador","TOTAL","año",2009)</f>
        <v>9.9564042934969198E-3</v>
      </c>
      <c r="L32" s="211">
        <f>GETPIVOTDATA("dato",'[1]evolucion mensual nacionali'!$A$4,"indicador","SUECIA","año",2009)/GETPIVOTDATA("dato",'[1]evolucion mensual nacionali'!$A$4,"indicador","TOTAL","año",2009)</f>
        <v>2.3644031015786441E-3</v>
      </c>
      <c r="M32" s="211">
        <f>GETPIVOTDATA("dato",'[1]evolucion mensual nacionali'!$A$4,"indicador","NORUEGA","año",2009)/GETPIVOTDATA("dato",'[1]evolucion mensual nacionali'!$A$4,"indicador","TOTAL","año",2009)</f>
        <v>2.4810038024784126E-3</v>
      </c>
      <c r="N32" s="211">
        <f>GETPIVOTDATA("dato",'[1]evolucion mensual nacionali'!$A$4,"indicador","DINAMARCA","año",2009)/GETPIVOTDATA("dato",'[1]evolucion mensual nacionali'!$A$4,"indicador","TOTAL","año",2009)</f>
        <v>2.0923347994791833E-3</v>
      </c>
      <c r="O32" s="211">
        <f>GETPIVOTDATA("dato",'[1]evolucion mensual nacionali'!$A$4,"indicador","FINLANDIA","año",2009)/GETPIVOTDATA("dato",'[1]evolucion mensual nacionali'!$A$4,"indicador","TOTAL","año",2009)</f>
        <v>3.0186625899606798E-3</v>
      </c>
      <c r="P32" s="211">
        <f>GETPIVOTDATA("dato",'[1]evolucion mensual nacionali'!$A$4,"indicador","SUIZA","año",2009)/GETPIVOTDATA("dato",'[1]evolucion mensual nacionali'!$A$4,"indicador","TOTAL","año",2009)</f>
        <v>3.6081439111761773E-3</v>
      </c>
      <c r="Q32" s="211">
        <f>GETPIVOTDATA("dato",'[1]evolucion mensual nacionali'!$A$4,"indicador","AUSTRIA","año",2009)/GETPIVOTDATA("dato",'[1]evolucion mensual nacionali'!$A$4,"indicador","TOTAL","año",2009)</f>
        <v>2.3449696514286824E-3</v>
      </c>
      <c r="R32" s="211">
        <f>GETPIVOTDATA("dato",'[1]evolucion mensual nacionali'!$A$4,"indicador","RUSIA","año",2009)/GETPIVOTDATA("dato",'[1]evolucion mensual nacionali'!$A$4,"indicador","TOTAL","año",2009)</f>
        <v>2.6235157702447966E-3</v>
      </c>
      <c r="S32" s="211">
        <f>GETPIVOTDATA("dato",'[1]evolucion mensual nacionali'!$A$4,"indicador","PAÍSES DEL ESTE","año",2009)/GETPIVOTDATA("dato",'[1]evolucion mensual nacionali'!$A$4,"indicador","TOTAL","año",2009)</f>
        <v>6.1344924306711663E-3</v>
      </c>
      <c r="T32" s="211">
        <f>GETPIVOTDATA("dato",'[1]evolucion mensual nacionali'!$A$4,"indicador","RESTO DE EUROPA","año",2009)/GETPIVOTDATA("dato",'[1]evolucion mensual nacionali'!$A$4,"indicador","TOTAL","año",2009)</f>
        <v>1.1018766235028146E-2</v>
      </c>
      <c r="U32" s="211">
        <f>GETPIVOTDATA("dato",'[1]evolucion mensual nacionali'!$A$4,"indicador","USA","año",2009)/GETPIVOTDATA("dato",'[1]evolucion mensual nacionali'!$A$4,"indicador","TOTAL","año",2009)</f>
        <v>6.0308473632047057E-3</v>
      </c>
      <c r="V32" s="211">
        <f>GETPIVOTDATA("dato",'[1]evolucion mensual nacionali'!$A$4,"indicador","RESTO DE AMÉRICA","año",2009)/GETPIVOTDATA("dato",'[1]evolucion mensual nacionali'!$A$4,"indicador","TOTAL","año",2009)</f>
        <v>3.0368004767673103E-2</v>
      </c>
      <c r="W32" s="211">
        <f>GETPIVOTDATA("dato",'[1]evolucion mensual nacionali'!$A$4,"indicador","RESTO DEL MUNDO","año",2009)/GETPIVOTDATA("dato",'[1]evolucion mensual nacionali'!$A$4,"indicador","TOTAL","año",2009)</f>
        <v>2.0567068075375877E-2</v>
      </c>
      <c r="X32" s="211">
        <f>(GETPIVOTDATA("dato",'[1]evolucion mensual nacionali'!$A$4,"indicador","TOTAL","año",2009)-GETPIVOTDATA("dato",'[1]evolucion mensual nacionali'!$A$4,"indicador","España","año",2009))/GETPIVOTDATA("dato",'[1]evolucion mensual nacionali'!$A$4,"indicador","TOTAL","año",2009)</f>
        <v>0.17784198013901395</v>
      </c>
      <c r="Y32" s="213">
        <f>GETPIVOTDATA("dato",'[1]evolucion mensual nacionali'!$A$4,"indicador","TOTAL","año",2009)/GETPIVOTDATA("dato",'[1]evolucion mensual nacionali'!$A$4,"indicador","TOTAL","año",2009)</f>
        <v>1</v>
      </c>
    </row>
    <row r="33" spans="2:25" ht="15" hidden="1" customHeight="1" outlineLevel="1">
      <c r="B33" s="51" t="s">
        <v>38</v>
      </c>
      <c r="C33" s="203">
        <f>GETPIVOTDATA("dato",'[1]evolucion mensual nacionali'!$A$4,"indicador","España","mes",12,"año",2008)/GETPIVOTDATA("dato",'[1]evolucion mensual nacionali'!$A$4,"indicador","TOTAL","mes",12,"año",2008)</f>
        <v>0.77659310686833627</v>
      </c>
      <c r="D33" s="203">
        <f>GETPIVOTDATA("dato",'[1]evolucion mensual nacionali'!$A$4,"indicador","HOLANDA","mes",12,"año",2008)/GETPIVOTDATA("dato",'[1]evolucion mensual nacionali'!$A$4,"indicador","TOTAL","mes",12,"año",2008)</f>
        <v>6.6947681626580713E-3</v>
      </c>
      <c r="E33" s="203">
        <f>GETPIVOTDATA("dato",'[1]evolucion mensual nacionali'!$A$4,"indicador","BÉLGICA","mes",12,"año",2008)/GETPIVOTDATA("dato",'[1]evolucion mensual nacionali'!$A$4,"indicador","TOTAL","mes",12,"año",2008)</f>
        <v>3.223406893131664E-3</v>
      </c>
      <c r="F33" s="203">
        <f>GETPIVOTDATA("dato",'[1]evolucion mensual nacionali'!$A$4,"indicador","ALEMANIA","mes",12,"año",2008)/GETPIVOTDATA("dato",'[1]evolucion mensual nacionali'!$A$4,"indicador","TOTAL","mes",12,"año",2008)</f>
        <v>3.3597818001487728E-2</v>
      </c>
      <c r="G33" s="203">
        <f>GETPIVOTDATA("dato",'[1]evolucion mensual nacionali'!$A$4,"indicador","FRANCIA","mes",12,"año",2008)/GETPIVOTDATA("dato",'[1]evolucion mensual nacionali'!$A$4,"indicador","TOTAL","mes",12,"año",2008)</f>
        <v>1.8162658070914953E-2</v>
      </c>
      <c r="H33" s="203">
        <f>GETPIVOTDATA("dato",'[1]evolucion mensual nacionali'!$A$4,"indicador","REINO UNIDO","mes",12,"año",2008)/GETPIVOTDATA("dato",'[1]evolucion mensual nacionali'!$A$4,"indicador","TOTAL","mes",12,"año",2008)</f>
        <v>2.894867344408629E-2</v>
      </c>
      <c r="I33" s="203">
        <f>GETPIVOTDATA("dato",'[1]evolucion mensual nacionali'!$A$4,"indicador","IRLANDA","mes",12,"año",2008)/GETPIVOTDATA("dato",'[1]evolucion mensual nacionali'!$A$4,"indicador","TOTAL","mes",12,"año",2008)</f>
        <v>4.1532358046119516E-3</v>
      </c>
      <c r="J33" s="203">
        <f>GETPIVOTDATA("dato",'[1]evolucion mensual nacionali'!$A$4,"indicador","ITALIA","mes",12,"año",2008)/GETPIVOTDATA("dato",'[1]evolucion mensual nacionali'!$A$4,"indicador","TOTAL","mes",12,"año",2008)</f>
        <v>1.6303000247954377E-2</v>
      </c>
      <c r="K33" s="203">
        <f>(GETPIVOTDATA("dato",'[1]evolucion mensual nacionali'!$A$4,"indicador","SUECIA","mes",12,"año",2008)+GETPIVOTDATA("dato",'[1]evolucion mensual nacionali'!$A$4,"indicador","NORUEGA","mes",12,"año",2008)+GETPIVOTDATA("dato",'[1]evolucion mensual nacionali'!$A$4,"indicador","DINAMARCA","mes",12,"año",2008)+GETPIVOTDATA("dato",'[1]evolucion mensual nacionali'!$A$4,"indicador","FINLANDIA","mes",12,"año",2008))/GETPIVOTDATA("dato",'[1]evolucion mensual nacionali'!$A$4,"indicador","TOTAL","mes",12,"año",2008)</f>
        <v>1.3761467889908258E-2</v>
      </c>
      <c r="L33" s="203">
        <f>GETPIVOTDATA("dato",'[1]evolucion mensual nacionali'!$A$4,"indicador","SUECIA","mes",12,"año",2008)/GETPIVOTDATA("dato",'[1]evolucion mensual nacionali'!$A$4,"indicador","TOTAL","mes",12,"año",2008)</f>
        <v>2.1696007934540046E-3</v>
      </c>
      <c r="M33" s="203">
        <f>GETPIVOTDATA("dato",'[1]evolucion mensual nacionali'!$A$4,"indicador","NORUEGA","mes",12,"año",2008)/GETPIVOTDATA("dato",'[1]evolucion mensual nacionali'!$A$4,"indicador","TOTAL","mes",12,"año",2008)</f>
        <v>4.7731217455988101E-3</v>
      </c>
      <c r="N33" s="203">
        <f>GETPIVOTDATA("dato",'[1]evolucion mensual nacionali'!$A$4,"indicador","DINAMARCA","mes",12,"año",2008)/GETPIVOTDATA("dato",'[1]evolucion mensual nacionali'!$A$4,"indicador","TOTAL","mes",12,"año",2008)</f>
        <v>1.9216464170592612E-3</v>
      </c>
      <c r="O33" s="203">
        <f>GETPIVOTDATA("dato",'[1]evolucion mensual nacionali'!$A$4,"indicador","FINLANDIA","mes",12,"año",2008)/GETPIVOTDATA("dato",'[1]evolucion mensual nacionali'!$A$4,"indicador","TOTAL","mes",12,"año",2008)</f>
        <v>4.8970989337961818E-3</v>
      </c>
      <c r="P33" s="203">
        <f>GETPIVOTDATA("dato",'[1]evolucion mensual nacionali'!$A$4,"indicador","SUIZA","mes",12,"año",2008)/GETPIVOTDATA("dato",'[1]evolucion mensual nacionali'!$A$4,"indicador","TOTAL","mes",12,"año",2008)</f>
        <v>3.6573270518224649E-3</v>
      </c>
      <c r="Q33" s="203">
        <f>GETPIVOTDATA("dato",'[1]evolucion mensual nacionali'!$A$4,"indicador","AUSTRIA","mes",12,"año",2008)/GETPIVOTDATA("dato",'[1]evolucion mensual nacionali'!$A$4,"indicador","TOTAL","mes",12,"año",2008)</f>
        <v>2.1696007934540046E-3</v>
      </c>
      <c r="R33" s="203">
        <f>GETPIVOTDATA("dato",'[1]evolucion mensual nacionali'!$A$4,"indicador","RUSIA","mes",12,"año",2008)/GETPIVOTDATA("dato",'[1]evolucion mensual nacionali'!$A$4,"indicador","TOTAL","mes",12,"año",2008)</f>
        <v>6.012893627572527E-3</v>
      </c>
      <c r="S33" s="203">
        <f>GETPIVOTDATA("dato",'[1]evolucion mensual nacionali'!$A$4,"indicador","PAÍSES DEL ESTE","mes",12,"año",2008)/GETPIVOTDATA("dato",'[1]evolucion mensual nacionali'!$A$4,"indicador","TOTAL","mes",12,"año",2008)</f>
        <v>5.9509050334738411E-3</v>
      </c>
      <c r="T33" s="203">
        <f>GETPIVOTDATA("dato",'[1]evolucion mensual nacionali'!$A$4,"indicador","RESTO DE EUROPA","mes",12,"año",2008)/GETPIVOTDATA("dato",'[1]evolucion mensual nacionali'!$A$4,"indicador","TOTAL","mes",12,"año",2008)</f>
        <v>1.4567319613191174E-2</v>
      </c>
      <c r="U33" s="203">
        <f>GETPIVOTDATA("dato",'[1]evolucion mensual nacionali'!$A$4,"indicador","USA","mes",12,"año",2008)/GETPIVOTDATA("dato",'[1]evolucion mensual nacionali'!$A$4,"indicador","TOTAL","mes",12,"año",2008)</f>
        <v>5.9509050334738411E-3</v>
      </c>
      <c r="V33" s="203">
        <f>GETPIVOTDATA("dato",'[1]evolucion mensual nacionali'!$A$4,"indicador","RESTO DE AMÉRICA","mes",12,"año",2008)/GETPIVOTDATA("dato",'[1]evolucion mensual nacionali'!$A$4,"indicador","TOTAL","mes",12,"año",2008)</f>
        <v>3.2296057525415325E-2</v>
      </c>
      <c r="W33" s="203">
        <f>GETPIVOTDATA("dato",'[1]evolucion mensual nacionali'!$A$4,"indicador","RESTO DEL MUNDO","mes",12,"año",2008)/GETPIVOTDATA("dato",'[1]evolucion mensual nacionali'!$A$4,"indicador","TOTAL","mes",12,"año",2008)</f>
        <v>2.7956855938507316E-2</v>
      </c>
      <c r="X33" s="203">
        <f>(GETPIVOTDATA("dato",'[1]evolucion mensual nacionali'!$A$4,"indicador","TOTAL","mes",12,"año",2008)-GETPIVOTDATA("dato",'[1]evolucion mensual nacionali'!$A$4,"indicador","España","mes",12,"año",2008))/GETPIVOTDATA("dato",'[1]evolucion mensual nacionali'!$A$4,"indicador","TOTAL","mes",12,"año",2008)</f>
        <v>0.22340689313166379</v>
      </c>
      <c r="Y33" s="205">
        <f>GETPIVOTDATA("dato",'[1]evolucion mensual nacionali'!$A$4,"indicador","TOTAL","mes",12,"año",2008)/GETPIVOTDATA("dato",'[1]evolucion mensual nacionali'!$A$4,"indicador","TOTAL","mes",12,"año",2008)</f>
        <v>1</v>
      </c>
    </row>
    <row r="34" spans="2:25" ht="15" hidden="1" customHeight="1" outlineLevel="1">
      <c r="B34" s="51" t="s">
        <v>39</v>
      </c>
      <c r="C34" s="203">
        <f>GETPIVOTDATA("dato",'[1]evolucion mensual nacionali'!$A$4,"indicador","España","mes",11,"año",2008)/GETPIVOTDATA("dato",'[1]evolucion mensual nacionali'!$A$4,"indicador","TOTAL","mes",11,"año",2008)</f>
        <v>0.80872050664125983</v>
      </c>
      <c r="D34" s="203">
        <f>GETPIVOTDATA("dato",'[1]evolucion mensual nacionali'!$A$4,"indicador","HOLANDA","mes",11,"año",2008)/GETPIVOTDATA("dato",'[1]evolucion mensual nacionali'!$A$4,"indicador","TOTAL","mes",11,"año",2008)</f>
        <v>3.3626632292775879E-3</v>
      </c>
      <c r="E34" s="203">
        <f>GETPIVOTDATA("dato",'[1]evolucion mensual nacionali'!$A$4,"indicador","BÉLGICA","mes",11,"año",2008)/GETPIVOTDATA("dato",'[1]evolucion mensual nacionali'!$A$4,"indicador","TOTAL","mes",11,"año",2008)</f>
        <v>2.3538642604943117E-3</v>
      </c>
      <c r="F34" s="203">
        <f>GETPIVOTDATA("dato",'[1]evolucion mensual nacionali'!$A$4,"indicador","ALEMANIA","mes",11,"año",2008)/GETPIVOTDATA("dato",'[1]evolucion mensual nacionali'!$A$4,"indicador","TOTAL","mes",11,"año",2008)</f>
        <v>2.3258420669169982E-2</v>
      </c>
      <c r="G34" s="203">
        <f>GETPIVOTDATA("dato",'[1]evolucion mensual nacionali'!$A$4,"indicador","FRANCIA","mes",11,"año",2008)/GETPIVOTDATA("dato",'[1]evolucion mensual nacionali'!$A$4,"indicador","TOTAL","mes",11,"año",2008)</f>
        <v>1.5131984531749146E-2</v>
      </c>
      <c r="H34" s="203">
        <f>GETPIVOTDATA("dato",'[1]evolucion mensual nacionali'!$A$4,"indicador","REINO UNIDO","mes",11,"año",2008)/GETPIVOTDATA("dato",'[1]evolucion mensual nacionali'!$A$4,"indicador","TOTAL","mes",11,"año",2008)</f>
        <v>2.2529843636159837E-2</v>
      </c>
      <c r="I34" s="203">
        <f>GETPIVOTDATA("dato",'[1]evolucion mensual nacionali'!$A$4,"indicador","IRLANDA","mes",11,"año",2008)/GETPIVOTDATA("dato",'[1]evolucion mensual nacionali'!$A$4,"indicador","TOTAL","mes",11,"año",2008)</f>
        <v>1.681331614638794E-3</v>
      </c>
      <c r="J34" s="203">
        <f>GETPIVOTDATA("dato",'[1]evolucion mensual nacionali'!$A$4,"indicador","ITALIA","mes",11,"año",2008)/GETPIVOTDATA("dato",'[1]evolucion mensual nacionali'!$A$4,"indicador","TOTAL","mes",11,"año",2008)</f>
        <v>1.664518298492406E-2</v>
      </c>
      <c r="K34" s="203">
        <f>(GETPIVOTDATA("dato",'[1]evolucion mensual nacionali'!$A$4,"indicador","SUECIA","mes",11,"año",2008)+GETPIVOTDATA("dato",'[1]evolucion mensual nacionali'!$A$4,"indicador","NORUEGA","mes",11,"año",2008)+GETPIVOTDATA("dato",'[1]evolucion mensual nacionali'!$A$4,"indicador","DINAMARCA","mes",11,"año",2008)+GETPIVOTDATA("dato",'[1]evolucion mensual nacionali'!$A$4,"indicador","FINLANDIA","mes",11,"año",2008))/GETPIVOTDATA("dato",'[1]evolucion mensual nacionali'!$A$4,"indicador","TOTAL","mes",11,"año",2008)</f>
        <v>1.7317715630779579E-2</v>
      </c>
      <c r="L34" s="203">
        <f>GETPIVOTDATA("dato",'[1]evolucion mensual nacionali'!$A$4,"indicador","SUECIA","mes",11,"año",2008)/GETPIVOTDATA("dato",'[1]evolucion mensual nacionali'!$A$4,"indicador","TOTAL","mes",11,"año",2008)</f>
        <v>6.0527938126996583E-3</v>
      </c>
      <c r="M34" s="203">
        <f>GETPIVOTDATA("dato",'[1]evolucion mensual nacionali'!$A$4,"indicador","NORUEGA","mes",11,"año",2008)/GETPIVOTDATA("dato",'[1]evolucion mensual nacionali'!$A$4,"indicador","TOTAL","mes",11,"año",2008)</f>
        <v>3.754973939359973E-3</v>
      </c>
      <c r="N34" s="203">
        <f>GETPIVOTDATA("dato",'[1]evolucion mensual nacionali'!$A$4,"indicador","DINAMARCA","mes",11,"año",2008)/GETPIVOTDATA("dato",'[1]evolucion mensual nacionali'!$A$4,"indicador","TOTAL","mes",11,"año",2008)</f>
        <v>2.5780418091128172E-3</v>
      </c>
      <c r="O34" s="203">
        <f>GETPIVOTDATA("dato",'[1]evolucion mensual nacionali'!$A$4,"indicador","FINLANDIA","mes",11,"año",2008)/GETPIVOTDATA("dato",'[1]evolucion mensual nacionali'!$A$4,"indicador","TOTAL","mes",11,"año",2008)</f>
        <v>4.9319060696071289E-3</v>
      </c>
      <c r="P34" s="203">
        <f>GETPIVOTDATA("dato",'[1]evolucion mensual nacionali'!$A$4,"indicador","SUIZA","mes",11,"año",2008)/GETPIVOTDATA("dato",'[1]evolucion mensual nacionali'!$A$4,"indicador","TOTAL","mes",11,"año",2008)</f>
        <v>3.6428851650507203E-3</v>
      </c>
      <c r="Q34" s="203">
        <f>GETPIVOTDATA("dato",'[1]evolucion mensual nacionali'!$A$4,"indicador","AUSTRIA","mes",11,"año",2008)/GETPIVOTDATA("dato",'[1]evolucion mensual nacionali'!$A$4,"indicador","TOTAL","mes",11,"año",2008)</f>
        <v>1.8494647761026733E-3</v>
      </c>
      <c r="R34" s="203">
        <f>GETPIVOTDATA("dato",'[1]evolucion mensual nacionali'!$A$4,"indicador","RUSIA","mes",11,"año",2008)/GETPIVOTDATA("dato",'[1]evolucion mensual nacionali'!$A$4,"indicador","TOTAL","mes",11,"año",2008)</f>
        <v>5.8286162640811519E-3</v>
      </c>
      <c r="S34" s="203">
        <f>GETPIVOTDATA("dato",'[1]evolucion mensual nacionali'!$A$4,"indicador","PAÍSES DEL ESTE","mes",11,"año",2008)/GETPIVOTDATA("dato",'[1]evolucion mensual nacionali'!$A$4,"indicador","TOTAL","mes",11,"año",2008)</f>
        <v>4.9879504567617557E-3</v>
      </c>
      <c r="T34" s="203">
        <f>GETPIVOTDATA("dato",'[1]evolucion mensual nacionali'!$A$4,"indicador","RESTO DE EUROPA","mes",11,"año",2008)/GETPIVOTDATA("dato",'[1]evolucion mensual nacionali'!$A$4,"indicador","TOTAL","mes",11,"año",2008)</f>
        <v>1.7373760017934205E-2</v>
      </c>
      <c r="U34" s="203">
        <f>GETPIVOTDATA("dato",'[1]evolucion mensual nacionali'!$A$4,"indicador","USA","mes",11,"año",2008)/GETPIVOTDATA("dato",'[1]evolucion mensual nacionali'!$A$4,"indicador","TOTAL","mes",11,"año",2008)</f>
        <v>6.7813708457098018E-3</v>
      </c>
      <c r="V34" s="203">
        <f>GETPIVOTDATA("dato",'[1]evolucion mensual nacionali'!$A$4,"indicador","RESTO DE AMÉRICA","mes",11,"año",2008)/GETPIVOTDATA("dato",'[1]evolucion mensual nacionali'!$A$4,"indicador","TOTAL","mes",11,"año",2008)</f>
        <v>2.8078237964467859E-2</v>
      </c>
      <c r="W34" s="203">
        <f>GETPIVOTDATA("dato",'[1]evolucion mensual nacionali'!$A$4,"indicador","RESTO DEL MUNDO","mes",11,"año",2008)/GETPIVOTDATA("dato",'[1]evolucion mensual nacionali'!$A$4,"indicador","TOTAL","mes",11,"año",2008)</f>
        <v>2.045620131143866E-2</v>
      </c>
      <c r="X34" s="203">
        <f>(GETPIVOTDATA("dato",'[1]evolucion mensual nacionali'!$A$4,"indicador","TOTAL","mes",11,"año",2008)-GETPIVOTDATA("dato",'[1]evolucion mensual nacionali'!$A$4,"indicador","España","mes",11,"año",2008))/GETPIVOTDATA("dato",'[1]evolucion mensual nacionali'!$A$4,"indicador","TOTAL","mes",11,"año",2008)</f>
        <v>0.19127949335874012</v>
      </c>
      <c r="Y34" s="205">
        <f>GETPIVOTDATA("dato",'[1]evolucion mensual nacionali'!$A$4,"indicador","TOTAL","mes",11,"año",2008)/GETPIVOTDATA("dato",'[1]evolucion mensual nacionali'!$A$4,"indicador","TOTAL","mes",11,"año",2008)</f>
        <v>1</v>
      </c>
    </row>
    <row r="35" spans="2:25" ht="15" hidden="1" customHeight="1" outlineLevel="1">
      <c r="B35" s="51" t="s">
        <v>40</v>
      </c>
      <c r="C35" s="203">
        <f>GETPIVOTDATA("dato",'[1]evolucion mensual nacionali'!$A$4,"indicador","España","mes",10,"año",2008)/GETPIVOTDATA("dato",'[1]evolucion mensual nacionali'!$A$4,"indicador","TOTAL","mes",10,"año",2008)</f>
        <v>0.81722441997220141</v>
      </c>
      <c r="D35" s="203">
        <f>GETPIVOTDATA("dato",'[1]evolucion mensual nacionali'!$A$4,"indicador","HOLANDA","mes",10,"año",2008)/GETPIVOTDATA("dato",'[1]evolucion mensual nacionali'!$A$4,"indicador","TOTAL","mes",10,"año",2008)</f>
        <v>2.5660215973484445E-3</v>
      </c>
      <c r="E35" s="203">
        <f>GETPIVOTDATA("dato",'[1]evolucion mensual nacionali'!$A$4,"indicador","BÉLGICA","mes",10,"año",2008)/GETPIVOTDATA("dato",'[1]evolucion mensual nacionali'!$A$4,"indicador","TOTAL","mes",10,"año",2008)</f>
        <v>1.8710574147332408E-3</v>
      </c>
      <c r="F35" s="203">
        <f>GETPIVOTDATA("dato",'[1]evolucion mensual nacionali'!$A$4,"indicador","ALEMANIA","mes",10,"año",2008)/GETPIVOTDATA("dato",'[1]evolucion mensual nacionali'!$A$4,"indicador","TOTAL","mes",10,"año",2008)</f>
        <v>1.8015609964717204E-2</v>
      </c>
      <c r="G35" s="203">
        <f>GETPIVOTDATA("dato",'[1]evolucion mensual nacionali'!$A$4,"indicador","FRANCIA","mes",10,"año",2008)/GETPIVOTDATA("dato",'[1]evolucion mensual nacionali'!$A$4,"indicador","TOTAL","mes",10,"año",2008)</f>
        <v>1.1493638404789907E-2</v>
      </c>
      <c r="H35" s="203">
        <f>GETPIVOTDATA("dato",'[1]evolucion mensual nacionali'!$A$4,"indicador","REINO UNIDO","mes",10,"año",2008)/GETPIVOTDATA("dato",'[1]evolucion mensual nacionali'!$A$4,"indicador","TOTAL","mes",10,"año",2008)</f>
        <v>2.2987276809579814E-2</v>
      </c>
      <c r="I35" s="203">
        <f>GETPIVOTDATA("dato",'[1]evolucion mensual nacionali'!$A$4,"indicador","IRLANDA","mes",10,"año",2008)/GETPIVOTDATA("dato",'[1]evolucion mensual nacionali'!$A$4,"indicador","TOTAL","mes",10,"año",2008)</f>
        <v>2.1383513311237037E-3</v>
      </c>
      <c r="J35" s="203">
        <f>GETPIVOTDATA("dato",'[1]evolucion mensual nacionali'!$A$4,"indicador","ITALIA","mes",10,"año",2008)/GETPIVOTDATA("dato",'[1]evolucion mensual nacionali'!$A$4,"indicador","TOTAL","mes",10,"año",2008)</f>
        <v>1.609109376670587E-2</v>
      </c>
      <c r="K35" s="203">
        <f>(GETPIVOTDATA("dato",'[1]evolucion mensual nacionali'!$A$4,"indicador","SUECIA","mes",10,"año",2008)+GETPIVOTDATA("dato",'[1]evolucion mensual nacionali'!$A$4,"indicador","NORUEGA","mes",10,"año",2008)+GETPIVOTDATA("dato",'[1]evolucion mensual nacionali'!$A$4,"indicador","DINAMARCA","mes",10,"año",2008)+GETPIVOTDATA("dato",'[1]evolucion mensual nacionali'!$A$4,"indicador","FINLANDIA","mes",10,"año",2008))/GETPIVOTDATA("dato",'[1]evolucion mensual nacionali'!$A$4,"indicador","TOTAL","mes",10,"año",2008)</f>
        <v>1.0959050572008982E-2</v>
      </c>
      <c r="L35" s="203">
        <f>GETPIVOTDATA("dato",'[1]evolucion mensual nacionali'!$A$4,"indicador","SUECIA","mes",10,"año",2008)/GETPIVOTDATA("dato",'[1]evolucion mensual nacionali'!$A$4,"indicador","TOTAL","mes",10,"año",2008)</f>
        <v>3.0471506468512776E-3</v>
      </c>
      <c r="M35" s="203">
        <f>GETPIVOTDATA("dato",'[1]evolucion mensual nacionali'!$A$4,"indicador","NORUEGA","mes",10,"año",2008)/GETPIVOTDATA("dato",'[1]evolucion mensual nacionali'!$A$4,"indicador","TOTAL","mes",10,"año",2008)</f>
        <v>2.7263979471827222E-3</v>
      </c>
      <c r="N35" s="203">
        <f>GETPIVOTDATA("dato",'[1]evolucion mensual nacionali'!$A$4,"indicador","DINAMARCA","mes",10,"año",2008)/GETPIVOTDATA("dato",'[1]evolucion mensual nacionali'!$A$4,"indicador","TOTAL","mes",10,"año",2008)</f>
        <v>2.6194803806265368E-3</v>
      </c>
      <c r="O35" s="203">
        <f>GETPIVOTDATA("dato",'[1]evolucion mensual nacionali'!$A$4,"indicador","FINLANDIA","mes",10,"año",2008)/GETPIVOTDATA("dato",'[1]evolucion mensual nacionali'!$A$4,"indicador","TOTAL","mes",10,"año",2008)</f>
        <v>2.5660215973484445E-3</v>
      </c>
      <c r="P35" s="203">
        <f>GETPIVOTDATA("dato",'[1]evolucion mensual nacionali'!$A$4,"indicador","SUIZA","mes",10,"año",2008)/GETPIVOTDATA("dato",'[1]evolucion mensual nacionali'!$A$4,"indicador","TOTAL","mes",10,"año",2008)</f>
        <v>5.7200898107559071E-3</v>
      </c>
      <c r="Q35" s="203">
        <f>GETPIVOTDATA("dato",'[1]evolucion mensual nacionali'!$A$4,"indicador","AUSTRIA","mes",10,"año",2008)/GETPIVOTDATA("dato",'[1]evolucion mensual nacionali'!$A$4,"indicador","TOTAL","mes",10,"año",2008)</f>
        <v>9.0879931572757403E-4</v>
      </c>
      <c r="R35" s="203">
        <f>GETPIVOTDATA("dato",'[1]evolucion mensual nacionali'!$A$4,"indicador","RUSIA","mes",10,"año",2008)/GETPIVOTDATA("dato",'[1]evolucion mensual nacionali'!$A$4,"indicador","TOTAL","mes",10,"año",2008)</f>
        <v>3.5817384796322034E-3</v>
      </c>
      <c r="S35" s="203">
        <f>GETPIVOTDATA("dato",'[1]evolucion mensual nacionali'!$A$4,"indicador","PAÍSES DEL ESTE","mes",10,"año",2008)/GETPIVOTDATA("dato",'[1]evolucion mensual nacionali'!$A$4,"indicador","TOTAL","mes",10,"año",2008)</f>
        <v>6.8427242595958514E-3</v>
      </c>
      <c r="T35" s="203">
        <f>GETPIVOTDATA("dato",'[1]evolucion mensual nacionali'!$A$4,"indicador","RESTO DE EUROPA","mes",10,"año",2008)/GETPIVOTDATA("dato",'[1]evolucion mensual nacionali'!$A$4,"indicador","TOTAL","mes",10,"año",2008)</f>
        <v>1.4594247834919277E-2</v>
      </c>
      <c r="U35" s="203">
        <f>GETPIVOTDATA("dato",'[1]evolucion mensual nacionali'!$A$4,"indicador","USA","mes",10,"año",2008)/GETPIVOTDATA("dato",'[1]evolucion mensual nacionali'!$A$4,"indicador","TOTAL","mes",10,"año",2008)</f>
        <v>5.6131722441997217E-3</v>
      </c>
      <c r="V35" s="203">
        <f>GETPIVOTDATA("dato",'[1]evolucion mensual nacionali'!$A$4,"indicador","RESTO DE AMÉRICA","mes",10,"año",2008)/GETPIVOTDATA("dato",'[1]evolucion mensual nacionali'!$A$4,"indicador","TOTAL","mes",10,"año",2008)</f>
        <v>3.7153854378274349E-2</v>
      </c>
      <c r="W35" s="203">
        <f>GETPIVOTDATA("dato",'[1]evolucion mensual nacionali'!$A$4,"indicador","RESTO DEL MUNDO","mes",10,"año",2008)/GETPIVOTDATA("dato",'[1]evolucion mensual nacionali'!$A$4,"indicador","TOTAL","mes",10,"año",2008)</f>
        <v>2.2238853843686519E-2</v>
      </c>
      <c r="X35" s="203">
        <f>(GETPIVOTDATA("dato",'[1]evolucion mensual nacionali'!$A$4,"indicador","TOTAL","mes",10,"año",2008)-GETPIVOTDATA("dato",'[1]evolucion mensual nacionali'!$A$4,"indicador","España","mes",10,"año",2008))/GETPIVOTDATA("dato",'[1]evolucion mensual nacionali'!$A$4,"indicador","TOTAL","mes",10,"año",2008)</f>
        <v>0.18277558002779856</v>
      </c>
      <c r="Y35" s="205">
        <f>GETPIVOTDATA("dato",'[1]evolucion mensual nacionali'!$A$4,"indicador","TOTAL","mes",10,"año",2008)/GETPIVOTDATA("dato",'[1]evolucion mensual nacionali'!$A$4,"indicador","TOTAL","mes",10,"año",2008)</f>
        <v>1</v>
      </c>
    </row>
    <row r="36" spans="2:25" ht="15" hidden="1" customHeight="1" outlineLevel="1">
      <c r="B36" s="51" t="s">
        <v>41</v>
      </c>
      <c r="C36" s="203">
        <f>GETPIVOTDATA("dato",'[1]evolucion mensual nacionali'!$A$4,"indicador","España","mes",9,"año",2008)/GETPIVOTDATA("dato",'[1]evolucion mensual nacionali'!$A$4,"indicador","TOTAL","mes",9,"año",2008)</f>
        <v>0.84670278842341751</v>
      </c>
      <c r="D36" s="203">
        <f>GETPIVOTDATA("dato",'[1]evolucion mensual nacionali'!$A$4,"indicador","HOLANDA","mes",9,"año",2008)/GETPIVOTDATA("dato",'[1]evolucion mensual nacionali'!$A$4,"indicador","TOTAL","mes",9,"año",2008)</f>
        <v>2.5109026034095413E-3</v>
      </c>
      <c r="E36" s="203">
        <f>GETPIVOTDATA("dato",'[1]evolucion mensual nacionali'!$A$4,"indicador","BÉLGICA","mes",9,"año",2008)/GETPIVOTDATA("dato",'[1]evolucion mensual nacionali'!$A$4,"indicador","TOTAL","mes",9,"año",2008)</f>
        <v>1.5197568389057751E-3</v>
      </c>
      <c r="F36" s="203">
        <f>GETPIVOTDATA("dato",'[1]evolucion mensual nacionali'!$A$4,"indicador","ALEMANIA","mes",9,"año",2008)/GETPIVOTDATA("dato",'[1]evolucion mensual nacionali'!$A$4,"indicador","TOTAL","mes",9,"año",2008)</f>
        <v>1.6254790537861767E-2</v>
      </c>
      <c r="G36" s="203">
        <f>GETPIVOTDATA("dato",'[1]evolucion mensual nacionali'!$A$4,"indicador","FRANCIA","mes",9,"año",2008)/GETPIVOTDATA("dato",'[1]evolucion mensual nacionali'!$A$4,"indicador","TOTAL","mes",9,"año",2008)</f>
        <v>1.2752742169948461E-2</v>
      </c>
      <c r="H36" s="203">
        <f>GETPIVOTDATA("dato",'[1]evolucion mensual nacionali'!$A$4,"indicador","REINO UNIDO","mes",9,"año",2008)/GETPIVOTDATA("dato",'[1]evolucion mensual nacionali'!$A$4,"indicador","TOTAL","mes",9,"año",2008)</f>
        <v>1.1299061715342937E-2</v>
      </c>
      <c r="I36" s="203">
        <f>GETPIVOTDATA("dato",'[1]evolucion mensual nacionali'!$A$4,"indicador","IRLANDA","mes",9,"año",2008)/GETPIVOTDATA("dato",'[1]evolucion mensual nacionali'!$A$4,"indicador","TOTAL","mes",9,"año",2008)</f>
        <v>1.7179859918065284E-3</v>
      </c>
      <c r="J36" s="203">
        <f>GETPIVOTDATA("dato",'[1]evolucion mensual nacionali'!$A$4,"indicador","ITALIA","mes",9,"año",2008)/GETPIVOTDATA("dato",'[1]evolucion mensual nacionali'!$A$4,"indicador","TOTAL","mes",9,"año",2008)</f>
        <v>1.328135324435047E-2</v>
      </c>
      <c r="K36" s="203">
        <f>(GETPIVOTDATA("dato",'[1]evolucion mensual nacionali'!$A$4,"indicador","SUECIA","mes",9,"año",2008)+GETPIVOTDATA("dato",'[1]evolucion mensual nacionali'!$A$4,"indicador","NORUEGA","mes",9,"año",2008)+GETPIVOTDATA("dato",'[1]evolucion mensual nacionali'!$A$4,"indicador","DINAMARCA","mes",9,"año",2008)+GETPIVOTDATA("dato",'[1]evolucion mensual nacionali'!$A$4,"indicador","FINLANDIA","mes",9,"año",2008))/GETPIVOTDATA("dato",'[1]evolucion mensual nacionali'!$A$4,"indicador","TOTAL","mes",9,"año",2008)</f>
        <v>5.8147218184220958E-3</v>
      </c>
      <c r="L36" s="203">
        <f>GETPIVOTDATA("dato",'[1]evolucion mensual nacionali'!$A$4,"indicador","SUECIA","mes",9,"año",2008)/GETPIVOTDATA("dato",'[1]evolucion mensual nacionali'!$A$4,"indicador","TOTAL","mes",9,"año",2008)</f>
        <v>9.9114576450376642E-4</v>
      </c>
      <c r="M36" s="203">
        <f>GETPIVOTDATA("dato",'[1]evolucion mensual nacionali'!$A$4,"indicador","NORUEGA","mes",9,"año",2008)/GETPIVOTDATA("dato",'[1]evolucion mensual nacionali'!$A$4,"indicador","TOTAL","mes",9,"año",2008)</f>
        <v>1.5197568389057751E-3</v>
      </c>
      <c r="N36" s="203">
        <f>GETPIVOTDATA("dato",'[1]evolucion mensual nacionali'!$A$4,"indicador","DINAMARCA","mes",9,"año",2008)/GETPIVOTDATA("dato",'[1]evolucion mensual nacionali'!$A$4,"indicador","TOTAL","mes",9,"año",2008)</f>
        <v>7.2684022730276198E-4</v>
      </c>
      <c r="O36" s="203">
        <f>GETPIVOTDATA("dato",'[1]evolucion mensual nacionali'!$A$4,"indicador","FINLANDIA","mes",9,"año",2008)/GETPIVOTDATA("dato",'[1]evolucion mensual nacionali'!$A$4,"indicador","TOTAL","mes",9,"año",2008)</f>
        <v>2.5769789877097926E-3</v>
      </c>
      <c r="P36" s="203">
        <f>GETPIVOTDATA("dato",'[1]evolucion mensual nacionali'!$A$4,"indicador","SUIZA","mes",9,"año",2008)/GETPIVOTDATA("dato",'[1]evolucion mensual nacionali'!$A$4,"indicador","TOTAL","mes",9,"año",2008)</f>
        <v>4.0306594423153161E-3</v>
      </c>
      <c r="Q36" s="203">
        <f>GETPIVOTDATA("dato",'[1]evolucion mensual nacionali'!$A$4,"indicador","AUSTRIA","mes",9,"año",2008)/GETPIVOTDATA("dato",'[1]evolucion mensual nacionali'!$A$4,"indicador","TOTAL","mes",9,"año",2008)</f>
        <v>8.589929959032642E-4</v>
      </c>
      <c r="R36" s="203">
        <f>GETPIVOTDATA("dato",'[1]evolucion mensual nacionali'!$A$4,"indicador","RUSIA","mes",9,"año",2008)/GETPIVOTDATA("dato",'[1]evolucion mensual nacionali'!$A$4,"indicador","TOTAL","mes",9,"año",2008)</f>
        <v>2.114444297608035E-3</v>
      </c>
      <c r="S36" s="203">
        <f>GETPIVOTDATA("dato",'[1]evolucion mensual nacionali'!$A$4,"indicador","PAÍSES DEL ESTE","mes",9,"año",2008)/GETPIVOTDATA("dato",'[1]evolucion mensual nacionali'!$A$4,"indicador","TOTAL","mes",9,"año",2008)</f>
        <v>4.4271177481168232E-3</v>
      </c>
      <c r="T36" s="203">
        <f>GETPIVOTDATA("dato",'[1]evolucion mensual nacionali'!$A$4,"indicador","RESTO DE EUROPA","mes",9,"año",2008)/GETPIVOTDATA("dato",'[1]evolucion mensual nacionali'!$A$4,"indicador","TOTAL","mes",9,"año",2008)</f>
        <v>1.4272499008854236E-2</v>
      </c>
      <c r="U36" s="203">
        <f>GETPIVOTDATA("dato",'[1]evolucion mensual nacionali'!$A$4,"indicador","USA","mes",9,"año",2008)/GETPIVOTDATA("dato",'[1]evolucion mensual nacionali'!$A$4,"indicador","TOTAL","mes",9,"año",2008)</f>
        <v>3.3038192150125546E-3</v>
      </c>
      <c r="V36" s="203">
        <f>GETPIVOTDATA("dato",'[1]evolucion mensual nacionali'!$A$4,"indicador","RESTO DE AMÉRICA","mes",9,"año",2008)/GETPIVOTDATA("dato",'[1]evolucion mensual nacionali'!$A$4,"indicador","TOTAL","mes",9,"año",2008)</f>
        <v>3.1980970001321531E-2</v>
      </c>
      <c r="W36" s="203">
        <f>GETPIVOTDATA("dato",'[1]evolucion mensual nacionali'!$A$4,"indicador","RESTO DEL MUNDO","mes",9,"año",2008)/GETPIVOTDATA("dato",'[1]evolucion mensual nacionali'!$A$4,"indicador","TOTAL","mes",9,"año",2008)</f>
        <v>2.7157393947403199E-2</v>
      </c>
      <c r="X36" s="203">
        <f>(GETPIVOTDATA("dato",'[1]evolucion mensual nacionali'!$A$4,"indicador","TOTAL","mes",9,"año",2008)-GETPIVOTDATA("dato",'[1]evolucion mensual nacionali'!$A$4,"indicador","España","mes",9,"año",2008))/GETPIVOTDATA("dato",'[1]evolucion mensual nacionali'!$A$4,"indicador","TOTAL","mes",9,"año",2008)</f>
        <v>0.15329721157658252</v>
      </c>
      <c r="Y36" s="205">
        <f>GETPIVOTDATA("dato",'[1]evolucion mensual nacionali'!$A$4,"indicador","TOTAL","mes",9,"año",2008)/GETPIVOTDATA("dato",'[1]evolucion mensual nacionali'!$A$4,"indicador","TOTAL","mes",9,"año",2008)</f>
        <v>1</v>
      </c>
    </row>
    <row r="37" spans="2:25" ht="15" hidden="1" customHeight="1" outlineLevel="1">
      <c r="B37" s="51" t="s">
        <v>42</v>
      </c>
      <c r="C37" s="203">
        <f>GETPIVOTDATA("dato",'[1]evolucion mensual nacionali'!$A$4,"indicador","España","mes",8,"año",2008)/GETPIVOTDATA("dato",'[1]evolucion mensual nacionali'!$A$4,"indicador","TOTAL","mes",8,"año",2008)</f>
        <v>0.78144296392590185</v>
      </c>
      <c r="D37" s="203">
        <f>GETPIVOTDATA("dato",'[1]evolucion mensual nacionali'!$A$4,"indicador","HOLANDA","mes",8,"año",2008)/GETPIVOTDATA("dato",'[1]evolucion mensual nacionali'!$A$4,"indicador","TOTAL","mes",8,"año",2008)</f>
        <v>1.9499512512187196E-3</v>
      </c>
      <c r="E37" s="203">
        <f>GETPIVOTDATA("dato",'[1]evolucion mensual nacionali'!$A$4,"indicador","BÉLGICA","mes",8,"año",2008)/GETPIVOTDATA("dato",'[1]evolucion mensual nacionali'!$A$4,"indicador","TOTAL","mes",8,"año",2008)</f>
        <v>2.5999350016249595E-3</v>
      </c>
      <c r="F37" s="203">
        <f>GETPIVOTDATA("dato",'[1]evolucion mensual nacionali'!$A$4,"indicador","ALEMANIA","mes",8,"año",2008)/GETPIVOTDATA("dato",'[1]evolucion mensual nacionali'!$A$4,"indicador","TOTAL","mes",8,"año",2008)</f>
        <v>1.8280792980175497E-2</v>
      </c>
      <c r="G37" s="203">
        <f>GETPIVOTDATA("dato",'[1]evolucion mensual nacionali'!$A$4,"indicador","FRANCIA","mes",8,"año",2008)/GETPIVOTDATA("dato",'[1]evolucion mensual nacionali'!$A$4,"indicador","TOTAL","mes",8,"año",2008)</f>
        <v>3.2417939551511211E-2</v>
      </c>
      <c r="H37" s="203">
        <f>GETPIVOTDATA("dato",'[1]evolucion mensual nacionali'!$A$4,"indicador","REINO UNIDO","mes",8,"año",2008)/GETPIVOTDATA("dato",'[1]evolucion mensual nacionali'!$A$4,"indicador","TOTAL","mes",8,"año",2008)</f>
        <v>1.1699707507312317E-2</v>
      </c>
      <c r="I37" s="203">
        <f>GETPIVOTDATA("dato",'[1]evolucion mensual nacionali'!$A$4,"indicador","IRLANDA","mes",8,"año",2008)/GETPIVOTDATA("dato",'[1]evolucion mensual nacionali'!$A$4,"indicador","TOTAL","mes",8,"año",2008)</f>
        <v>1.8687032824179395E-3</v>
      </c>
      <c r="J37" s="203">
        <f>GETPIVOTDATA("dato",'[1]evolucion mensual nacionali'!$A$4,"indicador","ITALIA","mes",8,"año",2008)/GETPIVOTDATA("dato",'[1]evolucion mensual nacionali'!$A$4,"indicador","TOTAL","mes",8,"año",2008)</f>
        <v>2.9411764705882353E-2</v>
      </c>
      <c r="K37" s="203">
        <f>(GETPIVOTDATA("dato",'[1]evolucion mensual nacionali'!$A$4,"indicador","SUECIA","mes",8,"año",2008)+GETPIVOTDATA("dato",'[1]evolucion mensual nacionali'!$A$4,"indicador","NORUEGA","mes",8,"año",2008)+GETPIVOTDATA("dato",'[1]evolucion mensual nacionali'!$A$4,"indicador","DINAMARCA","mes",8,"año",2008)+GETPIVOTDATA("dato",'[1]evolucion mensual nacionali'!$A$4,"indicador","FINLANDIA","mes",8,"año",2008))/GETPIVOTDATA("dato",'[1]evolucion mensual nacionali'!$A$4,"indicador","TOTAL","mes",8,"año",2008)</f>
        <v>4.5498862528436787E-3</v>
      </c>
      <c r="L37" s="203">
        <f>GETPIVOTDATA("dato",'[1]evolucion mensual nacionali'!$A$4,"indicador","SUECIA","mes",8,"año",2008)/GETPIVOTDATA("dato",'[1]evolucion mensual nacionali'!$A$4,"indicador","TOTAL","mes",8,"año",2008)</f>
        <v>8.9372765680857983E-4</v>
      </c>
      <c r="M37" s="203">
        <f>GETPIVOTDATA("dato",'[1]evolucion mensual nacionali'!$A$4,"indicador","NORUEGA","mes",8,"año",2008)/GETPIVOTDATA("dato",'[1]evolucion mensual nacionali'!$A$4,"indicador","TOTAL","mes",8,"año",2008)</f>
        <v>1.8687032824179395E-3</v>
      </c>
      <c r="N37" s="203">
        <f>GETPIVOTDATA("dato",'[1]evolucion mensual nacionali'!$A$4,"indicador","DINAMARCA","mes",8,"año",2008)/GETPIVOTDATA("dato",'[1]evolucion mensual nacionali'!$A$4,"indicador","TOTAL","mes",8,"año",2008)</f>
        <v>8.1247968800779978E-4</v>
      </c>
      <c r="O37" s="203">
        <f>GETPIVOTDATA("dato",'[1]evolucion mensual nacionali'!$A$4,"indicador","FINLANDIA","mes",8,"año",2008)/GETPIVOTDATA("dato",'[1]evolucion mensual nacionali'!$A$4,"indicador","TOTAL","mes",8,"año",2008)</f>
        <v>9.7497562560935978E-4</v>
      </c>
      <c r="P37" s="203">
        <f>GETPIVOTDATA("dato",'[1]evolucion mensual nacionali'!$A$4,"indicador","SUIZA","mes",8,"año",2008)/GETPIVOTDATA("dato",'[1]evolucion mensual nacionali'!$A$4,"indicador","TOTAL","mes",8,"año",2008)</f>
        <v>5.6873578160545983E-4</v>
      </c>
      <c r="Q37" s="203">
        <f>GETPIVOTDATA("dato",'[1]evolucion mensual nacionali'!$A$4,"indicador","AUSTRIA","mes",8,"año",2008)/GETPIVOTDATA("dato",'[1]evolucion mensual nacionali'!$A$4,"indicador","TOTAL","mes",8,"año",2008)</f>
        <v>2.5186870328241795E-3</v>
      </c>
      <c r="R37" s="203">
        <f>GETPIVOTDATA("dato",'[1]evolucion mensual nacionali'!$A$4,"indicador","RUSIA","mes",8,"año",2008)/GETPIVOTDATA("dato",'[1]evolucion mensual nacionali'!$A$4,"indicador","TOTAL","mes",8,"año",2008)</f>
        <v>3.136171595710107E-2</v>
      </c>
      <c r="S37" s="203">
        <f>GETPIVOTDATA("dato",'[1]evolucion mensual nacionali'!$A$4,"indicador","PAÍSES DEL ESTE","mes",8,"año",2008)/GETPIVOTDATA("dato",'[1]evolucion mensual nacionali'!$A$4,"indicador","TOTAL","mes",8,"año",2008)</f>
        <v>5.1998700032499191E-3</v>
      </c>
      <c r="T37" s="203">
        <f>GETPIVOTDATA("dato",'[1]evolucion mensual nacionali'!$A$4,"indicador","RESTO DE EUROPA","mes",8,"año",2008)/GETPIVOTDATA("dato",'[1]evolucion mensual nacionali'!$A$4,"indicador","TOTAL","mes",8,"año",2008)</f>
        <v>1.2512187195320117E-2</v>
      </c>
      <c r="U37" s="203">
        <f>GETPIVOTDATA("dato",'[1]evolucion mensual nacionali'!$A$4,"indicador","USA","mes",8,"año",2008)/GETPIVOTDATA("dato",'[1]evolucion mensual nacionali'!$A$4,"indicador","TOTAL","mes",8,"año",2008)</f>
        <v>2.9249268768280793E-3</v>
      </c>
      <c r="V37" s="203">
        <f>GETPIVOTDATA("dato",'[1]evolucion mensual nacionali'!$A$4,"indicador","RESTO DE AMÉRICA","mes",8,"año",2008)/GETPIVOTDATA("dato",'[1]evolucion mensual nacionali'!$A$4,"indicador","TOTAL","mes",8,"año",2008)</f>
        <v>3.9242768930776731E-2</v>
      </c>
      <c r="W37" s="203">
        <f>GETPIVOTDATA("dato",'[1]evolucion mensual nacionali'!$A$4,"indicador","RESTO DEL MUNDO","mes",8,"año",2008)/GETPIVOTDATA("dato",'[1]evolucion mensual nacionali'!$A$4,"indicador","TOTAL","mes",8,"año",2008)</f>
        <v>2.1449463763405913E-2</v>
      </c>
      <c r="X37" s="203">
        <f>(GETPIVOTDATA("dato",'[1]evolucion mensual nacionali'!$A$4,"indicador","TOTAL","mes",8,"año",2008)-GETPIVOTDATA("dato",'[1]evolucion mensual nacionali'!$A$4,"indicador","España","mes",8,"año",2008))/GETPIVOTDATA("dato",'[1]evolucion mensual nacionali'!$A$4,"indicador","TOTAL","mes",8,"año",2008)</f>
        <v>0.21855703607409815</v>
      </c>
      <c r="Y37" s="205">
        <f>GETPIVOTDATA("dato",'[1]evolucion mensual nacionali'!$A$4,"indicador","TOTAL","mes",8,"año",2008)/GETPIVOTDATA("dato",'[1]evolucion mensual nacionali'!$A$4,"indicador","TOTAL","mes",8,"año",2008)</f>
        <v>1</v>
      </c>
    </row>
    <row r="38" spans="2:25" ht="15" hidden="1" customHeight="1" outlineLevel="1">
      <c r="B38" s="51" t="s">
        <v>43</v>
      </c>
      <c r="C38" s="203">
        <f>GETPIVOTDATA("dato",'[1]evolucion mensual nacionali'!$A$4,"indicador","España","mes",7,"año",2008)/GETPIVOTDATA("dato",'[1]evolucion mensual nacionali'!$A$4,"indicador","TOTAL","mes",7,"año",2008)</f>
        <v>0.88039419722103196</v>
      </c>
      <c r="D38" s="203">
        <f>GETPIVOTDATA("dato",'[1]evolucion mensual nacionali'!$A$4,"indicador","HOLANDA","mes",7,"año",2008)/GETPIVOTDATA("dato",'[1]evolucion mensual nacionali'!$A$4,"indicador","TOTAL","mes",7,"año",2008)</f>
        <v>1.7751117096162087E-3</v>
      </c>
      <c r="E38" s="203">
        <f>GETPIVOTDATA("dato",'[1]evolucion mensual nacionali'!$A$4,"indicador","BÉLGICA","mes",7,"año",2008)/GETPIVOTDATA("dato",'[1]evolucion mensual nacionali'!$A$4,"indicador","TOTAL","mes",7,"año",2008)</f>
        <v>2.8156944359429515E-3</v>
      </c>
      <c r="F38" s="203">
        <f>GETPIVOTDATA("dato",'[1]evolucion mensual nacionali'!$A$4,"indicador","ALEMANIA","mes",7,"año",2008)/GETPIVOTDATA("dato",'[1]evolucion mensual nacionali'!$A$4,"indicador","TOTAL","mes",7,"año",2008)</f>
        <v>1.0895513252127073E-2</v>
      </c>
      <c r="G38" s="203">
        <f>GETPIVOTDATA("dato",'[1]evolucion mensual nacionali'!$A$4,"indicador","FRANCIA","mes",7,"año",2008)/GETPIVOTDATA("dato",'[1]evolucion mensual nacionali'!$A$4,"indicador","TOTAL","mes",7,"año",2008)</f>
        <v>1.4200893676929669E-2</v>
      </c>
      <c r="H38" s="203">
        <f>GETPIVOTDATA("dato",'[1]evolucion mensual nacionali'!$A$4,"indicador","REINO UNIDO","mes",7,"año",2008)/GETPIVOTDATA("dato",'[1]evolucion mensual nacionali'!$A$4,"indicador","TOTAL","mes",7,"año",2008)</f>
        <v>1.1017934749341984E-2</v>
      </c>
      <c r="I38" s="203">
        <f>GETPIVOTDATA("dato",'[1]evolucion mensual nacionali'!$A$4,"indicador","IRLANDA","mes",7,"año",2008)/GETPIVOTDATA("dato",'[1]evolucion mensual nacionali'!$A$4,"indicador","TOTAL","mes",7,"año",2008)</f>
        <v>1.3466364693640203E-3</v>
      </c>
      <c r="J38" s="203">
        <f>GETPIVOTDATA("dato",'[1]evolucion mensual nacionali'!$A$4,"indicador","ITALIA","mes",7,"año",2008)/GETPIVOTDATA("dato",'[1]evolucion mensual nacionali'!$A$4,"indicador","TOTAL","mes",7,"año",2008)</f>
        <v>1.4078472179714759E-2</v>
      </c>
      <c r="K38" s="203">
        <f>(GETPIVOTDATA("dato",'[1]evolucion mensual nacionali'!$A$4,"indicador","SUECIA","mes",7,"año",2008)+GETPIVOTDATA("dato",'[1]evolucion mensual nacionali'!$A$4,"indicador","NORUEGA","mes",7,"año",2008)+GETPIVOTDATA("dato",'[1]evolucion mensual nacionali'!$A$4,"indicador","DINAMARCA","mes",7,"año",2008)+GETPIVOTDATA("dato",'[1]evolucion mensual nacionali'!$A$4,"indicador","FINLANDIA","mes",7,"año",2008))/GETPIVOTDATA("dato",'[1]evolucion mensual nacionali'!$A$4,"indicador","TOTAL","mes",7,"año",2008)</f>
        <v>3.7950664136622392E-3</v>
      </c>
      <c r="L38" s="203">
        <f>GETPIVOTDATA("dato",'[1]evolucion mensual nacionali'!$A$4,"indicador","SUECIA","mes",7,"año",2008)/GETPIVOTDATA("dato",'[1]evolucion mensual nacionali'!$A$4,"indicador","TOTAL","mes",7,"año",2008)</f>
        <v>9.7937197771928741E-4</v>
      </c>
      <c r="M38" s="203">
        <f>GETPIVOTDATA("dato",'[1]evolucion mensual nacionali'!$A$4,"indicador","NORUEGA","mes",7,"año",2008)/GETPIVOTDATA("dato",'[1]evolucion mensual nacionali'!$A$4,"indicador","TOTAL","mes",7,"año",2008)</f>
        <v>1.2242149721491094E-3</v>
      </c>
      <c r="N38" s="203">
        <f>GETPIVOTDATA("dato",'[1]evolucion mensual nacionali'!$A$4,"indicador","DINAMARCA","mes",7,"año",2008)/GETPIVOTDATA("dato",'[1]evolucion mensual nacionali'!$A$4,"indicador","TOTAL","mes",7,"año",2008)</f>
        <v>4.2847524025218831E-4</v>
      </c>
      <c r="O38" s="203">
        <f>GETPIVOTDATA("dato",'[1]evolucion mensual nacionali'!$A$4,"indicador","FINLANDIA","mes",7,"año",2008)/GETPIVOTDATA("dato",'[1]evolucion mensual nacionali'!$A$4,"indicador","TOTAL","mes",7,"año",2008)</f>
        <v>1.163004223541654E-3</v>
      </c>
      <c r="P38" s="203">
        <f>GETPIVOTDATA("dato",'[1]evolucion mensual nacionali'!$A$4,"indicador","SUIZA","mes",7,"año",2008)/GETPIVOTDATA("dato",'[1]evolucion mensual nacionali'!$A$4,"indicador","TOTAL","mes",7,"año",2008)</f>
        <v>1.4078472179714758E-3</v>
      </c>
      <c r="Q38" s="203">
        <f>GETPIVOTDATA("dato",'[1]evolucion mensual nacionali'!$A$4,"indicador","AUSTRIA","mes",7,"año",2008)/GETPIVOTDATA("dato",'[1]evolucion mensual nacionali'!$A$4,"indicador","TOTAL","mes",7,"año",2008)</f>
        <v>1.836322458223664E-4</v>
      </c>
      <c r="R38" s="203">
        <f>GETPIVOTDATA("dato",'[1]evolucion mensual nacionali'!$A$4,"indicador","RUSIA","mes",7,"año",2008)/GETPIVOTDATA("dato",'[1]evolucion mensual nacionali'!$A$4,"indicador","TOTAL","mes",7,"año",2008)</f>
        <v>2.5096406929056743E-3</v>
      </c>
      <c r="S38" s="203">
        <f>GETPIVOTDATA("dato",'[1]evolucion mensual nacionali'!$A$4,"indicador","PAÍSES DEL ESTE","mes",7,"año",2008)/GETPIVOTDATA("dato",'[1]evolucion mensual nacionali'!$A$4,"indicador","TOTAL","mes",7,"año",2008)</f>
        <v>4.9580706372038931E-3</v>
      </c>
      <c r="T38" s="203">
        <f>GETPIVOTDATA("dato",'[1]evolucion mensual nacionali'!$A$4,"indicador","RESTO DE EUROPA","mes",7,"año",2008)/GETPIVOTDATA("dato",'[1]evolucion mensual nacionali'!$A$4,"indicador","TOTAL","mes",7,"año",2008)</f>
        <v>8.3246618106139446E-3</v>
      </c>
      <c r="U38" s="203">
        <f>GETPIVOTDATA("dato",'[1]evolucion mensual nacionali'!$A$4,"indicador","USA","mes",7,"año",2008)/GETPIVOTDATA("dato",'[1]evolucion mensual nacionali'!$A$4,"indicador","TOTAL","mes",7,"año",2008)</f>
        <v>4.2235416539144277E-3</v>
      </c>
      <c r="V38" s="203">
        <f>GETPIVOTDATA("dato",'[1]evolucion mensual nacionali'!$A$4,"indicador","RESTO DE AMÉRICA","mes",7,"año",2008)/GETPIVOTDATA("dato",'[1]evolucion mensual nacionali'!$A$4,"indicador","TOTAL","mes",7,"año",2008)</f>
        <v>2.4606720940197099E-2</v>
      </c>
      <c r="W38" s="203">
        <f>GETPIVOTDATA("dato",'[1]evolucion mensual nacionali'!$A$4,"indicador","RESTO DEL MUNDO","mes",7,"año",2008)/GETPIVOTDATA("dato",'[1]evolucion mensual nacionali'!$A$4,"indicador","TOTAL","mes",7,"año",2008)</f>
        <v>1.3466364693640204E-2</v>
      </c>
      <c r="X38" s="203">
        <f>(GETPIVOTDATA("dato",'[1]evolucion mensual nacionali'!$A$4,"indicador","TOTAL","mes",7,"año",2008)-GETPIVOTDATA("dato",'[1]evolucion mensual nacionali'!$A$4,"indicador","España","mes",7,"año",2008))/GETPIVOTDATA("dato",'[1]evolucion mensual nacionali'!$A$4,"indicador","TOTAL","mes",7,"año",2008)</f>
        <v>0.11960580277896798</v>
      </c>
      <c r="Y38" s="205">
        <f>GETPIVOTDATA("dato",'[1]evolucion mensual nacionali'!$A$4,"indicador","TOTAL","mes",7,"año",2008)/GETPIVOTDATA("dato",'[1]evolucion mensual nacionali'!$A$4,"indicador","TOTAL","mes",7,"año",2008)</f>
        <v>1</v>
      </c>
    </row>
    <row r="39" spans="2:25" ht="15" hidden="1" customHeight="1" outlineLevel="1">
      <c r="B39" s="51" t="s">
        <v>44</v>
      </c>
      <c r="C39" s="203">
        <f>GETPIVOTDATA("dato",'[1]evolucion mensual nacionali'!$A$4,"indicador","España","mes",6,"año",2008)/GETPIVOTDATA("dato",'[1]evolucion mensual nacionali'!$A$4,"indicador","TOTAL","mes",6,"año",2008)</f>
        <v>0.88193005181347151</v>
      </c>
      <c r="D39" s="203">
        <f>GETPIVOTDATA("dato",'[1]evolucion mensual nacionali'!$A$4,"indicador","HOLANDA","mes",6,"año",2008)/GETPIVOTDATA("dato",'[1]evolucion mensual nacionali'!$A$4,"indicador","TOTAL","mes",6,"año",2008)</f>
        <v>1.4896373056994818E-3</v>
      </c>
      <c r="E39" s="203">
        <f>GETPIVOTDATA("dato",'[1]evolucion mensual nacionali'!$A$4,"indicador","BÉLGICA","mes",6,"año",2008)/GETPIVOTDATA("dato",'[1]evolucion mensual nacionali'!$A$4,"indicador","TOTAL","mes",6,"año",2008)</f>
        <v>2.3963730569948188E-3</v>
      </c>
      <c r="F39" s="203">
        <f>GETPIVOTDATA("dato",'[1]evolucion mensual nacionali'!$A$4,"indicador","ALEMANIA","mes",6,"año",2008)/GETPIVOTDATA("dato",'[1]evolucion mensual nacionali'!$A$4,"indicador","TOTAL","mes",6,"año",2008)</f>
        <v>1.2240932642487047E-2</v>
      </c>
      <c r="G39" s="203">
        <f>GETPIVOTDATA("dato",'[1]evolucion mensual nacionali'!$A$4,"indicador","FRANCIA","mes",6,"año",2008)/GETPIVOTDATA("dato",'[1]evolucion mensual nacionali'!$A$4,"indicador","TOTAL","mes",6,"año",2008)</f>
        <v>1.0945595854922279E-2</v>
      </c>
      <c r="H39" s="203">
        <f>GETPIVOTDATA("dato",'[1]evolucion mensual nacionali'!$A$4,"indicador","REINO UNIDO","mes",6,"año",2008)/GETPIVOTDATA("dato",'[1]evolucion mensual nacionali'!$A$4,"indicador","TOTAL","mes",6,"año",2008)</f>
        <v>7.9015544041450784E-3</v>
      </c>
      <c r="I39" s="203">
        <f>GETPIVOTDATA("dato",'[1]evolucion mensual nacionali'!$A$4,"indicador","IRLANDA","mes",6,"año",2008)/GETPIVOTDATA("dato",'[1]evolucion mensual nacionali'!$A$4,"indicador","TOTAL","mes",6,"año",2008)</f>
        <v>2.5259067357512955E-3</v>
      </c>
      <c r="J39" s="203">
        <f>GETPIVOTDATA("dato",'[1]evolucion mensual nacionali'!$A$4,"indicador","ITALIA","mes",6,"año",2008)/GETPIVOTDATA("dato",'[1]evolucion mensual nacionali'!$A$4,"indicador","TOTAL","mes",6,"año",2008)</f>
        <v>1.055699481865285E-2</v>
      </c>
      <c r="K39" s="203">
        <f>(GETPIVOTDATA("dato",'[1]evolucion mensual nacionali'!$A$4,"indicador","SUECIA","mes",6,"año",2008)+GETPIVOTDATA("dato",'[1]evolucion mensual nacionali'!$A$4,"indicador","NORUEGA","mes",6,"año",2008)+GETPIVOTDATA("dato",'[1]evolucion mensual nacionali'!$A$4,"indicador","DINAMARCA","mes",6,"año",2008)+GETPIVOTDATA("dato",'[1]evolucion mensual nacionali'!$A$4,"indicador","FINLANDIA","mes",6,"año",2008))/GETPIVOTDATA("dato",'[1]evolucion mensual nacionali'!$A$4,"indicador","TOTAL","mes",6,"año",2008)</f>
        <v>4.9870466321243522E-3</v>
      </c>
      <c r="L39" s="203">
        <f>GETPIVOTDATA("dato",'[1]evolucion mensual nacionali'!$A$4,"indicador","SUECIA","mes",6,"año",2008)/GETPIVOTDATA("dato",'[1]evolucion mensual nacionali'!$A$4,"indicador","TOTAL","mes",6,"año",2008)</f>
        <v>1.0362694300518134E-3</v>
      </c>
      <c r="M39" s="203">
        <f>GETPIVOTDATA("dato",'[1]evolucion mensual nacionali'!$A$4,"indicador","NORUEGA","mes",6,"año",2008)/GETPIVOTDATA("dato",'[1]evolucion mensual nacionali'!$A$4,"indicador","TOTAL","mes",6,"año",2008)</f>
        <v>8.4196891191709849E-4</v>
      </c>
      <c r="N39" s="203">
        <f>GETPIVOTDATA("dato",'[1]evolucion mensual nacionali'!$A$4,"indicador","DINAMARCA","mes",6,"año",2008)/GETPIVOTDATA("dato",'[1]evolucion mensual nacionali'!$A$4,"indicador","TOTAL","mes",6,"año",2008)</f>
        <v>9.7150259067357511E-4</v>
      </c>
      <c r="O39" s="203">
        <f>GETPIVOTDATA("dato",'[1]evolucion mensual nacionali'!$A$4,"indicador","FINLANDIA","mes",6,"año",2008)/GETPIVOTDATA("dato",'[1]evolucion mensual nacionali'!$A$4,"indicador","TOTAL","mes",6,"año",2008)</f>
        <v>2.1373056994818652E-3</v>
      </c>
      <c r="P39" s="203">
        <f>GETPIVOTDATA("dato",'[1]evolucion mensual nacionali'!$A$4,"indicador","SUIZA","mes",6,"año",2008)/GETPIVOTDATA("dato",'[1]evolucion mensual nacionali'!$A$4,"indicador","TOTAL","mes",6,"año",2008)</f>
        <v>1.8134715025906736E-3</v>
      </c>
      <c r="Q39" s="203">
        <f>GETPIVOTDATA("dato",'[1]evolucion mensual nacionali'!$A$4,"indicador","AUSTRIA","mes",6,"año",2008)/GETPIVOTDATA("dato",'[1]evolucion mensual nacionali'!$A$4,"indicador","TOTAL","mes",6,"año",2008)</f>
        <v>9.7150259067357511E-4</v>
      </c>
      <c r="R39" s="203">
        <f>GETPIVOTDATA("dato",'[1]evolucion mensual nacionali'!$A$4,"indicador","RUSIA","mes",6,"año",2008)/GETPIVOTDATA("dato",'[1]evolucion mensual nacionali'!$A$4,"indicador","TOTAL","mes",6,"año",2008)</f>
        <v>1.0362694300518134E-3</v>
      </c>
      <c r="S39" s="203">
        <f>GETPIVOTDATA("dato",'[1]evolucion mensual nacionali'!$A$4,"indicador","PAÍSES DEL ESTE","mes",6,"año",2008)/GETPIVOTDATA("dato",'[1]evolucion mensual nacionali'!$A$4,"indicador","TOTAL","mes",6,"año",2008)</f>
        <v>2.9792746113989636E-3</v>
      </c>
      <c r="T39" s="203">
        <f>GETPIVOTDATA("dato",'[1]evolucion mensual nacionali'!$A$4,"indicador","RESTO DE EUROPA","mes",6,"año",2008)/GETPIVOTDATA("dato",'[1]evolucion mensual nacionali'!$A$4,"indicador","TOTAL","mes",6,"año",2008)</f>
        <v>8.095854922279792E-3</v>
      </c>
      <c r="U39" s="203">
        <f>GETPIVOTDATA("dato",'[1]evolucion mensual nacionali'!$A$4,"indicador","USA","mes",6,"año",2008)/GETPIVOTDATA("dato",'[1]evolucion mensual nacionali'!$A$4,"indicador","TOTAL","mes",6,"año",2008)</f>
        <v>6.2823834196891193E-3</v>
      </c>
      <c r="V39" s="203">
        <f>GETPIVOTDATA("dato",'[1]evolucion mensual nacionali'!$A$4,"indicador","RESTO DE AMÉRICA","mes",6,"año",2008)/GETPIVOTDATA("dato",'[1]evolucion mensual nacionali'!$A$4,"indicador","TOTAL","mes",6,"año",2008)</f>
        <v>2.7655440414507772E-2</v>
      </c>
      <c r="W39" s="203">
        <f>GETPIVOTDATA("dato",'[1]evolucion mensual nacionali'!$A$4,"indicador","RESTO DEL MUNDO","mes",6,"año",2008)/GETPIVOTDATA("dato",'[1]evolucion mensual nacionali'!$A$4,"indicador","TOTAL","mes",6,"año",2008)</f>
        <v>1.6191709844559584E-2</v>
      </c>
      <c r="X39" s="203">
        <f>(GETPIVOTDATA("dato",'[1]evolucion mensual nacionali'!$A$4,"indicador","TOTAL","mes",6,"año",2008)-GETPIVOTDATA("dato",'[1]evolucion mensual nacionali'!$A$4,"indicador","España","mes",6,"año",2008))/GETPIVOTDATA("dato",'[1]evolucion mensual nacionali'!$A$4,"indicador","TOTAL","mes",6,"año",2008)</f>
        <v>0.11806994818652849</v>
      </c>
      <c r="Y39" s="205">
        <f>GETPIVOTDATA("dato",'[1]evolucion mensual nacionali'!$A$4,"indicador","TOTAL","mes",6,"año",2008)/GETPIVOTDATA("dato",'[1]evolucion mensual nacionali'!$A$4,"indicador","TOTAL","mes",6,"año",2008)</f>
        <v>1</v>
      </c>
    </row>
    <row r="40" spans="2:25" ht="15" hidden="1" customHeight="1" outlineLevel="1">
      <c r="B40" s="51" t="s">
        <v>45</v>
      </c>
      <c r="C40" s="203">
        <f>GETPIVOTDATA("dato",'[1]evolucion mensual nacionali'!$A$4,"indicador","España","mes",5,"año",2008)/GETPIVOTDATA("dato",'[1]evolucion mensual nacionali'!$A$4,"indicador","TOTAL","mes",5,"año",2008)</f>
        <v>0.87601078167115898</v>
      </c>
      <c r="D40" s="203">
        <f>GETPIVOTDATA("dato",'[1]evolucion mensual nacionali'!$A$4,"indicador","HOLANDA","mes",5,"año",2008)/GETPIVOTDATA("dato",'[1]evolucion mensual nacionali'!$A$4,"indicador","TOTAL","mes",5,"año",2008)</f>
        <v>3.0395136778115501E-3</v>
      </c>
      <c r="E40" s="203">
        <f>GETPIVOTDATA("dato",'[1]evolucion mensual nacionali'!$A$4,"indicador","BÉLGICA","mes",5,"año",2008)/GETPIVOTDATA("dato",'[1]evolucion mensual nacionali'!$A$4,"indicador","TOTAL","mes",5,"año",2008)</f>
        <v>2.2366232723518955E-3</v>
      </c>
      <c r="F40" s="203">
        <f>GETPIVOTDATA("dato",'[1]evolucion mensual nacionali'!$A$4,"indicador","ALEMANIA","mes",5,"año",2008)/GETPIVOTDATA("dato",'[1]evolucion mensual nacionali'!$A$4,"indicador","TOTAL","mes",5,"año",2008)</f>
        <v>1.4279979354246717E-2</v>
      </c>
      <c r="G40" s="203">
        <f>GETPIVOTDATA("dato",'[1]evolucion mensual nacionali'!$A$4,"indicador","FRANCIA","mes",5,"año",2008)/GETPIVOTDATA("dato",'[1]evolucion mensual nacionali'!$A$4,"indicador","TOTAL","mes",5,"año",2008)</f>
        <v>1.2100705396570511E-2</v>
      </c>
      <c r="H40" s="203">
        <f>GETPIVOTDATA("dato",'[1]evolucion mensual nacionali'!$A$4,"indicador","REINO UNIDO","mes",5,"año",2008)/GETPIVOTDATA("dato",'[1]evolucion mensual nacionali'!$A$4,"indicador","TOTAL","mes",5,"año",2008)</f>
        <v>1.1011068417732408E-2</v>
      </c>
      <c r="I40" s="203">
        <f>GETPIVOTDATA("dato",'[1]evolucion mensual nacionali'!$A$4,"indicador","IRLANDA","mes",5,"año",2008)/GETPIVOTDATA("dato",'[1]evolucion mensual nacionali'!$A$4,"indicador","TOTAL","mes",5,"año",2008)</f>
        <v>9.1758903481103406E-4</v>
      </c>
      <c r="J40" s="203">
        <f>GETPIVOTDATA("dato",'[1]evolucion mensual nacionali'!$A$4,"indicador","ITALIA","mes",5,"año",2008)/GETPIVOTDATA("dato",'[1]evolucion mensual nacionali'!$A$4,"indicador","TOTAL","mes",5,"año",2008)</f>
        <v>1.1527212249813614E-2</v>
      </c>
      <c r="K40" s="203">
        <f>(GETPIVOTDATA("dato",'[1]evolucion mensual nacionali'!$A$4,"indicador","SUECIA","mes",5,"año",2008)+GETPIVOTDATA("dato",'[1]evolucion mensual nacionali'!$A$4,"indicador","NORUEGA","mes",5,"año",2008)+GETPIVOTDATA("dato",'[1]evolucion mensual nacionali'!$A$4,"indicador","DINAMARCA","mes",5,"año",2008)+GETPIVOTDATA("dato",'[1]evolucion mensual nacionali'!$A$4,"indicador","FINLANDIA","mes",5,"año",2008))/GETPIVOTDATA("dato",'[1]evolucion mensual nacionali'!$A$4,"indicador","TOTAL","mes",5,"año",2008)</f>
        <v>4.874691747433618E-3</v>
      </c>
      <c r="L40" s="203">
        <f>GETPIVOTDATA("dato",'[1]evolucion mensual nacionali'!$A$4,"indicador","SUECIA","mes",5,"año",2008)/GETPIVOTDATA("dato",'[1]evolucion mensual nacionali'!$A$4,"indicador","TOTAL","mes",5,"año",2008)</f>
        <v>8.6023972013534442E-4</v>
      </c>
      <c r="M40" s="203">
        <f>GETPIVOTDATA("dato",'[1]evolucion mensual nacionali'!$A$4,"indicador","NORUEGA","mes",5,"año",2008)/GETPIVOTDATA("dato",'[1]evolucion mensual nacionali'!$A$4,"indicador","TOTAL","mes",5,"año",2008)</f>
        <v>1.2043356081894822E-3</v>
      </c>
      <c r="N40" s="203">
        <f>GETPIVOTDATA("dato",'[1]evolucion mensual nacionali'!$A$4,"indicador","DINAMARCA","mes",5,"año",2008)/GETPIVOTDATA("dato",'[1]evolucion mensual nacionali'!$A$4,"indicador","TOTAL","mes",5,"año",2008)</f>
        <v>1.3190342375408613E-3</v>
      </c>
      <c r="O40" s="203">
        <f>GETPIVOTDATA("dato",'[1]evolucion mensual nacionali'!$A$4,"indicador","FINLANDIA","mes",5,"año",2008)/GETPIVOTDATA("dato",'[1]evolucion mensual nacionali'!$A$4,"indicador","TOTAL","mes",5,"año",2008)</f>
        <v>1.4910821815679303E-3</v>
      </c>
      <c r="P40" s="203">
        <f>GETPIVOTDATA("dato",'[1]evolucion mensual nacionali'!$A$4,"indicador","SUIZA","mes",5,"año",2008)/GETPIVOTDATA("dato",'[1]evolucion mensual nacionali'!$A$4,"indicador","TOTAL","mes",5,"año",2008)</f>
        <v>2.5233698457303435E-3</v>
      </c>
      <c r="Q40" s="203">
        <f>GETPIVOTDATA("dato",'[1]evolucion mensual nacionali'!$A$4,"indicador","AUSTRIA","mes",5,"año",2008)/GETPIVOTDATA("dato",'[1]evolucion mensual nacionali'!$A$4,"indicador","TOTAL","mes",5,"año",2008)</f>
        <v>6.3084246143258588E-4</v>
      </c>
      <c r="R40" s="203">
        <f>GETPIVOTDATA("dato",'[1]evolucion mensual nacionali'!$A$4,"indicador","RUSIA","mes",5,"año",2008)/GETPIVOTDATA("dato",'[1]evolucion mensual nacionali'!$A$4,"indicador","TOTAL","mes",5,"año",2008)</f>
        <v>2.293972587027585E-3</v>
      </c>
      <c r="S40" s="203">
        <f>GETPIVOTDATA("dato",'[1]evolucion mensual nacionali'!$A$4,"indicador","PAÍSES DEL ESTE","mes",5,"año",2008)/GETPIVOTDATA("dato",'[1]evolucion mensual nacionali'!$A$4,"indicador","TOTAL","mes",5,"año",2008)</f>
        <v>5.7349314675689623E-3</v>
      </c>
      <c r="T40" s="203">
        <f>GETPIVOTDATA("dato",'[1]evolucion mensual nacionali'!$A$4,"indicador","RESTO DE EUROPA","mes",5,"año",2008)/GETPIVOTDATA("dato",'[1]evolucion mensual nacionali'!$A$4,"indicador","TOTAL","mes",5,"año",2008)</f>
        <v>8.6023972013534438E-3</v>
      </c>
      <c r="U40" s="203">
        <f>GETPIVOTDATA("dato",'[1]evolucion mensual nacionali'!$A$4,"indicador","USA","mes",5,"año",2008)/GETPIVOTDATA("dato",'[1]evolucion mensual nacionali'!$A$4,"indicador","TOTAL","mes",5,"año",2008)</f>
        <v>3.5556575098927568E-3</v>
      </c>
      <c r="V40" s="203">
        <f>GETPIVOTDATA("dato",'[1]evolucion mensual nacionali'!$A$4,"indicador","RESTO DE AMÉRICA","mes",5,"año",2008)/GETPIVOTDATA("dato",'[1]evolucion mensual nacionali'!$A$4,"indicador","TOTAL","mes",5,"año",2008)</f>
        <v>2.5749842289384643E-2</v>
      </c>
      <c r="W40" s="203">
        <f>GETPIVOTDATA("dato",'[1]evolucion mensual nacionali'!$A$4,"indicador","RESTO DEL MUNDO","mes",5,"año",2008)/GETPIVOTDATA("dato",'[1]evolucion mensual nacionali'!$A$4,"indicador","TOTAL","mes",5,"año",2008)</f>
        <v>1.4910821815679303E-2</v>
      </c>
      <c r="X40" s="203">
        <f>(GETPIVOTDATA("dato",'[1]evolucion mensual nacionali'!$A$4,"indicador","TOTAL","mes",5,"año",2008)-GETPIVOTDATA("dato",'[1]evolucion mensual nacionali'!$A$4,"indicador","España","mes",5,"año",2008))/GETPIVOTDATA("dato",'[1]evolucion mensual nacionali'!$A$4,"indicador","TOTAL","mes",5,"año",2008)</f>
        <v>0.12398921832884097</v>
      </c>
      <c r="Y40" s="205">
        <f>GETPIVOTDATA("dato",'[1]evolucion mensual nacionali'!$A$4,"indicador","TOTAL","mes",5,"año",2008)/GETPIVOTDATA("dato",'[1]evolucion mensual nacionali'!$A$4,"indicador","TOTAL","mes",5,"año",2008)</f>
        <v>1</v>
      </c>
    </row>
    <row r="41" spans="2:25" ht="15" hidden="1" customHeight="1" outlineLevel="1">
      <c r="B41" s="51" t="s">
        <v>46</v>
      </c>
      <c r="C41" s="203">
        <f>GETPIVOTDATA("dato",'[1]evolucion mensual nacionali'!$A$4,"indicador","España","mes",4,"año",2008)/GETPIVOTDATA("dato",'[1]evolucion mensual nacionali'!$A$4,"indicador","TOTAL","mes",4,"año",2008)</f>
        <v>0.86352526573068833</v>
      </c>
      <c r="D41" s="203">
        <f>GETPIVOTDATA("dato",'[1]evolucion mensual nacionali'!$A$4,"indicador","HOLANDA","mes",4,"año",2008)/GETPIVOTDATA("dato",'[1]evolucion mensual nacionali'!$A$4,"indicador","TOTAL","mes",4,"año",2008)</f>
        <v>2.9557210254078327E-3</v>
      </c>
      <c r="E41" s="203">
        <f>GETPIVOTDATA("dato",'[1]evolucion mensual nacionali'!$A$4,"indicador","BÉLGICA","mes",4,"año",2008)/GETPIVOTDATA("dato",'[1]evolucion mensual nacionali'!$A$4,"indicador","TOTAL","mes",4,"año",2008)</f>
        <v>2.8420394475075312E-3</v>
      </c>
      <c r="F41" s="203">
        <f>GETPIVOTDATA("dato",'[1]evolucion mensual nacionali'!$A$4,"indicador","ALEMANIA","mes",4,"año",2008)/GETPIVOTDATA("dato",'[1]evolucion mensual nacionali'!$A$4,"indicador","TOTAL","mes",4,"año",2008)</f>
        <v>2.165634059000739E-2</v>
      </c>
      <c r="G41" s="203">
        <f>GETPIVOTDATA("dato",'[1]evolucion mensual nacionali'!$A$4,"indicador","FRANCIA","mes",4,"año",2008)/GETPIVOTDATA("dato",'[1]evolucion mensual nacionali'!$A$4,"indicador","TOTAL","mes",4,"año",2008)</f>
        <v>1.3812311714886602E-2</v>
      </c>
      <c r="H41" s="203">
        <f>GETPIVOTDATA("dato",'[1]evolucion mensual nacionali'!$A$4,"indicador","REINO UNIDO","mes",4,"año",2008)/GETPIVOTDATA("dato",'[1]evolucion mensual nacionali'!$A$4,"indicador","TOTAL","mes",4,"año",2008)</f>
        <v>1.4551241971238561E-2</v>
      </c>
      <c r="I41" s="203">
        <f>GETPIVOTDATA("dato",'[1]evolucion mensual nacionali'!$A$4,"indicador","IRLANDA","mes",4,"año",2008)/GETPIVOTDATA("dato",'[1]evolucion mensual nacionali'!$A$4,"indicador","TOTAL","mes",4,"año",2008)</f>
        <v>1.3641789348036151E-3</v>
      </c>
      <c r="J41" s="203">
        <f>GETPIVOTDATA("dato",'[1]evolucion mensual nacionali'!$A$4,"indicador","ITALIA","mes",4,"año",2008)/GETPIVOTDATA("dato",'[1]evolucion mensual nacionali'!$A$4,"indicador","TOTAL","mes",4,"año",2008)</f>
        <v>1.267549593588359E-2</v>
      </c>
      <c r="K41" s="203">
        <f>(GETPIVOTDATA("dato",'[1]evolucion mensual nacionali'!$A$4,"indicador","SUECIA","mes",4,"año",2008)+GETPIVOTDATA("dato",'[1]evolucion mensual nacionali'!$A$4,"indicador","NORUEGA","mes",4,"año",2008)+GETPIVOTDATA("dato",'[1]evolucion mensual nacionali'!$A$4,"indicador","DINAMARCA","mes",4,"año",2008)+GETPIVOTDATA("dato",'[1]evolucion mensual nacionali'!$A$4,"indicador","FINLANDIA","mes",4,"año",2008))/GETPIVOTDATA("dato",'[1]evolucion mensual nacionali'!$A$4,"indicador","TOTAL","mes",4,"año",2008)</f>
        <v>6.3661683624168701E-3</v>
      </c>
      <c r="L41" s="203">
        <f>GETPIVOTDATA("dato",'[1]evolucion mensual nacionali'!$A$4,"indicador","SUECIA","mes",4,"año",2008)/GETPIVOTDATA("dato",'[1]evolucion mensual nacionali'!$A$4,"indicador","TOTAL","mes",4,"año",2008)</f>
        <v>1.9325868243051214E-3</v>
      </c>
      <c r="M41" s="203">
        <f>GETPIVOTDATA("dato",'[1]evolucion mensual nacionali'!$A$4,"indicador","NORUEGA","mes",4,"año",2008)/GETPIVOTDATA("dato",'[1]evolucion mensual nacionali'!$A$4,"indicador","TOTAL","mes",4,"año",2008)</f>
        <v>5.6840788950150625E-4</v>
      </c>
      <c r="N41" s="203">
        <f>GETPIVOTDATA("dato",'[1]evolucion mensual nacionali'!$A$4,"indicador","DINAMARCA","mes",4,"año",2008)/GETPIVOTDATA("dato",'[1]evolucion mensual nacionali'!$A$4,"indicador","TOTAL","mes",4,"año",2008)</f>
        <v>1.5915420906042175E-3</v>
      </c>
      <c r="O41" s="203">
        <f>GETPIVOTDATA("dato",'[1]evolucion mensual nacionali'!$A$4,"indicador","FINLANDIA","mes",4,"año",2008)/GETPIVOTDATA("dato",'[1]evolucion mensual nacionali'!$A$4,"indicador","TOTAL","mes",4,"año",2008)</f>
        <v>2.273631558006025E-3</v>
      </c>
      <c r="P41" s="203">
        <f>GETPIVOTDATA("dato",'[1]evolucion mensual nacionali'!$A$4,"indicador","SUIZA","mes",4,"año",2008)/GETPIVOTDATA("dato",'[1]evolucion mensual nacionali'!$A$4,"indicador","TOTAL","mes",4,"año",2008)</f>
        <v>3.2399249701585858E-3</v>
      </c>
      <c r="Q41" s="203">
        <f>GETPIVOTDATA("dato",'[1]evolucion mensual nacionali'!$A$4,"indicador","AUSTRIA","mes",4,"año",2008)/GETPIVOTDATA("dato",'[1]evolucion mensual nacionali'!$A$4,"indicador","TOTAL","mes",4,"año",2008)</f>
        <v>1.8757460353549707E-3</v>
      </c>
      <c r="R41" s="203">
        <f>GETPIVOTDATA("dato",'[1]evolucion mensual nacionali'!$A$4,"indicador","RUSIA","mes",4,"año",2008)/GETPIVOTDATA("dato",'[1]evolucion mensual nacionali'!$A$4,"indicador","TOTAL","mes",4,"año",2008)</f>
        <v>2.6715170806570795E-3</v>
      </c>
      <c r="S41" s="203">
        <f>GETPIVOTDATA("dato",'[1]evolucion mensual nacionali'!$A$4,"indicador","PAÍSES DEL ESTE","mes",4,"año",2008)/GETPIVOTDATA("dato",'[1]evolucion mensual nacionali'!$A$4,"indicador","TOTAL","mes",4,"año",2008)</f>
        <v>3.3536065480588872E-3</v>
      </c>
      <c r="T41" s="203">
        <f>GETPIVOTDATA("dato",'[1]evolucion mensual nacionali'!$A$4,"indicador","RESTO DE EUROPA","mes",4,"año",2008)/GETPIVOTDATA("dato",'[1]evolucion mensual nacionali'!$A$4,"indicador","TOTAL","mes",4,"año",2008)</f>
        <v>8.4124367646222931E-3</v>
      </c>
      <c r="U41" s="203">
        <f>GETPIVOTDATA("dato",'[1]evolucion mensual nacionali'!$A$4,"indicador","USA","mes",4,"año",2008)/GETPIVOTDATA("dato",'[1]evolucion mensual nacionali'!$A$4,"indicador","TOTAL","mes",4,"año",2008)</f>
        <v>4.2630591712612973E-3</v>
      </c>
      <c r="V41" s="203">
        <f>GETPIVOTDATA("dato",'[1]evolucion mensual nacionali'!$A$4,"indicador","RESTO DE AMÉRICA","mes",4,"año",2008)/GETPIVOTDATA("dato",'[1]evolucion mensual nacionali'!$A$4,"indicador","TOTAL","mes",4,"año",2008)</f>
        <v>2.4839424771215826E-2</v>
      </c>
      <c r="W41" s="203">
        <f>GETPIVOTDATA("dato",'[1]evolucion mensual nacionali'!$A$4,"indicador","RESTO DEL MUNDO","mes",4,"año",2008)/GETPIVOTDATA("dato",'[1]evolucion mensual nacionali'!$A$4,"indicador","TOTAL","mes",4,"año",2008)</f>
        <v>1.1595520945830728E-2</v>
      </c>
      <c r="X41" s="203">
        <f>(GETPIVOTDATA("dato",'[1]evolucion mensual nacionali'!$A$4,"indicador","TOTAL","mes",4,"año",2008)-GETPIVOTDATA("dato",'[1]evolucion mensual nacionali'!$A$4,"indicador","España","mes",4,"año",2008))/GETPIVOTDATA("dato",'[1]evolucion mensual nacionali'!$A$4,"indicador","TOTAL","mes",4,"año",2008)</f>
        <v>0.13647473426931167</v>
      </c>
      <c r="Y41" s="205">
        <f>GETPIVOTDATA("dato",'[1]evolucion mensual nacionali'!$A$4,"indicador","TOTAL","mes",4,"año",2008)/GETPIVOTDATA("dato",'[1]evolucion mensual nacionali'!$A$4,"indicador","TOTAL","mes",4,"año",2008)</f>
        <v>1</v>
      </c>
    </row>
    <row r="42" spans="2:25" ht="15" hidden="1" customHeight="1" outlineLevel="1">
      <c r="B42" s="51" t="s">
        <v>47</v>
      </c>
      <c r="C42" s="203">
        <f>GETPIVOTDATA("dato",'[1]evolucion mensual nacionali'!$A$4,"indicador","España","mes",3,"año",2008)/GETPIVOTDATA("dato",'[1]evolucion mensual nacionali'!$A$4,"indicador","TOTAL","mes",3,"año",2008)</f>
        <v>0.80466437073288621</v>
      </c>
      <c r="D42" s="203">
        <f>GETPIVOTDATA("dato",'[1]evolucion mensual nacionali'!$A$4,"indicador","HOLANDA","mes",3,"año",2008)/GETPIVOTDATA("dato",'[1]evolucion mensual nacionali'!$A$4,"indicador","TOTAL","mes",3,"año",2008)</f>
        <v>4.0480937707691378E-3</v>
      </c>
      <c r="E42" s="203">
        <f>GETPIVOTDATA("dato",'[1]evolucion mensual nacionali'!$A$4,"indicador","BÉLGICA","mes",3,"año",2008)/GETPIVOTDATA("dato",'[1]evolucion mensual nacionali'!$A$4,"indicador","TOTAL","mes",3,"año",2008)</f>
        <v>5.2564799709987316E-3</v>
      </c>
      <c r="F42" s="203">
        <f>GETPIVOTDATA("dato",'[1]evolucion mensual nacionali'!$A$4,"indicador","ALEMANIA","mes",3,"año",2008)/GETPIVOTDATA("dato",'[1]evolucion mensual nacionali'!$A$4,"indicador","TOTAL","mes",3,"año",2008)</f>
        <v>3.4499426016554889E-2</v>
      </c>
      <c r="G42" s="203">
        <f>GETPIVOTDATA("dato",'[1]evolucion mensual nacionali'!$A$4,"indicador","FRANCIA","mes",3,"año",2008)/GETPIVOTDATA("dato",'[1]evolucion mensual nacionali'!$A$4,"indicador","TOTAL","mes",3,"año",2008)</f>
        <v>1.5709020602984715E-2</v>
      </c>
      <c r="H42" s="203">
        <f>GETPIVOTDATA("dato",'[1]evolucion mensual nacionali'!$A$4,"indicador","REINO UNIDO","mes",3,"año",2008)/GETPIVOTDATA("dato",'[1]evolucion mensual nacionali'!$A$4,"indicador","TOTAL","mes",3,"año",2008)</f>
        <v>2.1086339194006404E-2</v>
      </c>
      <c r="I42" s="203">
        <f>GETPIVOTDATA("dato",'[1]evolucion mensual nacionali'!$A$4,"indicador","IRLANDA","mes",3,"año",2008)/GETPIVOTDATA("dato",'[1]evolucion mensual nacionali'!$A$4,"indicador","TOTAL","mes",3,"año",2008)</f>
        <v>3.2626427406199023E-3</v>
      </c>
      <c r="J42" s="203">
        <f>GETPIVOTDATA("dato",'[1]evolucion mensual nacionali'!$A$4,"indicador","ITALIA","mes",3,"año",2008)/GETPIVOTDATA("dato",'[1]evolucion mensual nacionali'!$A$4,"indicador","TOTAL","mes",3,"año",2008)</f>
        <v>1.7279922663283185E-2</v>
      </c>
      <c r="K42" s="203">
        <f>(GETPIVOTDATA("dato",'[1]evolucion mensual nacionali'!$A$4,"indicador","SUECIA","mes",3,"año",2008)+GETPIVOTDATA("dato",'[1]evolucion mensual nacionali'!$A$4,"indicador","NORUEGA","mes",3,"año",2008)+GETPIVOTDATA("dato",'[1]evolucion mensual nacionali'!$A$4,"indicador","DINAMARCA","mes",3,"año",2008)+GETPIVOTDATA("dato",'[1]evolucion mensual nacionali'!$A$4,"indicador","FINLANDIA","mes",3,"año",2008))/GETPIVOTDATA("dato",'[1]evolucion mensual nacionali'!$A$4,"indicador","TOTAL","mes",3,"año",2008)</f>
        <v>1.7461180593317624E-2</v>
      </c>
      <c r="L42" s="203">
        <f>GETPIVOTDATA("dato",'[1]evolucion mensual nacionali'!$A$4,"indicador","SUECIA","mes",3,"año",2008)/GETPIVOTDATA("dato",'[1]evolucion mensual nacionali'!$A$4,"indicador","TOTAL","mes",3,"año",2008)</f>
        <v>6.1627696211709266E-3</v>
      </c>
      <c r="M42" s="203">
        <f>GETPIVOTDATA("dato",'[1]evolucion mensual nacionali'!$A$4,"indicador","NORUEGA","mes",3,"año",2008)/GETPIVOTDATA("dato",'[1]evolucion mensual nacionali'!$A$4,"indicador","TOTAL","mes",3,"año",2008)</f>
        <v>4.8335448009183737E-3</v>
      </c>
      <c r="N42" s="203">
        <f>GETPIVOTDATA("dato",'[1]evolucion mensual nacionali'!$A$4,"indicador","DINAMARCA","mes",3,"año",2008)/GETPIVOTDATA("dato",'[1]evolucion mensual nacionali'!$A$4,"indicador","TOTAL","mes",3,"año",2008)</f>
        <v>3.3834813606428613E-3</v>
      </c>
      <c r="O42" s="203">
        <f>GETPIVOTDATA("dato",'[1]evolucion mensual nacionali'!$A$4,"indicador","FINLANDIA","mes",3,"año",2008)/GETPIVOTDATA("dato",'[1]evolucion mensual nacionali'!$A$4,"indicador","TOTAL","mes",3,"año",2008)</f>
        <v>3.0813848105854633E-3</v>
      </c>
      <c r="P42" s="203">
        <f>GETPIVOTDATA("dato",'[1]evolucion mensual nacionali'!$A$4,"indicador","SUIZA","mes",3,"año",2008)/GETPIVOTDATA("dato",'[1]evolucion mensual nacionali'!$A$4,"indicador","TOTAL","mes",3,"año",2008)</f>
        <v>3.2022234306084223E-3</v>
      </c>
      <c r="Q42" s="203">
        <f>GETPIVOTDATA("dato",'[1]evolucion mensual nacionali'!$A$4,"indicador","AUSTRIA","mes",3,"año",2008)/GETPIVOTDATA("dato",'[1]evolucion mensual nacionali'!$A$4,"indicador","TOTAL","mes",3,"año",2008)</f>
        <v>2.5376110204821463E-3</v>
      </c>
      <c r="R42" s="203">
        <f>GETPIVOTDATA("dato",'[1]evolucion mensual nacionali'!$A$4,"indicador","RUSIA","mes",3,"año",2008)/GETPIVOTDATA("dato",'[1]evolucion mensual nacionali'!$A$4,"indicador","TOTAL","mes",3,"año",2008)</f>
        <v>1.6917406803214307E-3</v>
      </c>
      <c r="S42" s="203">
        <f>GETPIVOTDATA("dato",'[1]evolucion mensual nacionali'!$A$4,"indicador","PAÍSES DEL ESTE","mes",3,"año",2008)/GETPIVOTDATA("dato",'[1]evolucion mensual nacionali'!$A$4,"indicador","TOTAL","mes",3,"año",2008)</f>
        <v>6.9482206513201616E-3</v>
      </c>
      <c r="T42" s="203">
        <f>GETPIVOTDATA("dato",'[1]evolucion mensual nacionali'!$A$4,"indicador","RESTO DE EUROPA","mes",3,"año",2008)/GETPIVOTDATA("dato",'[1]evolucion mensual nacionali'!$A$4,"indicador","TOTAL","mes",3,"año",2008)</f>
        <v>1.2506797172376292E-2</v>
      </c>
      <c r="U42" s="203">
        <f>GETPIVOTDATA("dato",'[1]evolucion mensual nacionali'!$A$4,"indicador","USA","mes",3,"año",2008)/GETPIVOTDATA("dato",'[1]evolucion mensual nacionali'!$A$4,"indicador","TOTAL","mes",3,"año",2008)</f>
        <v>4.6522868708839347E-3</v>
      </c>
      <c r="V42" s="203">
        <f>GETPIVOTDATA("dato",'[1]evolucion mensual nacionali'!$A$4,"indicador","RESTO DE AMÉRICA","mes",3,"año",2008)/GETPIVOTDATA("dato",'[1]evolucion mensual nacionali'!$A$4,"indicador","TOTAL","mes",3,"año",2008)</f>
        <v>3.0572170865808712E-2</v>
      </c>
      <c r="W42" s="203">
        <f>GETPIVOTDATA("dato",'[1]evolucion mensual nacionali'!$A$4,"indicador","RESTO DEL MUNDO","mes",3,"año",2008)/GETPIVOTDATA("dato",'[1]evolucion mensual nacionali'!$A$4,"indicador","TOTAL","mes",3,"año",2008)</f>
        <v>1.4621473022778079E-2</v>
      </c>
      <c r="X42" s="203">
        <f>(GETPIVOTDATA("dato",'[1]evolucion mensual nacionali'!$A$4,"indicador","TOTAL","mes",3,"año",2008)-GETPIVOTDATA("dato",'[1]evolucion mensual nacionali'!$A$4,"indicador","España","mes",3,"año",2008))/GETPIVOTDATA("dato",'[1]evolucion mensual nacionali'!$A$4,"indicador","TOTAL","mes",3,"año",2008)</f>
        <v>0.19533562926711376</v>
      </c>
      <c r="Y42" s="205">
        <f>GETPIVOTDATA("dato",'[1]evolucion mensual nacionali'!$A$4,"indicador","TOTAL","mes",3,"año",2008)/GETPIVOTDATA("dato",'[1]evolucion mensual nacionali'!$A$4,"indicador","TOTAL","mes",3,"año",2008)</f>
        <v>1</v>
      </c>
    </row>
    <row r="43" spans="2:25" ht="15" hidden="1" customHeight="1" outlineLevel="1">
      <c r="B43" s="51" t="s">
        <v>48</v>
      </c>
      <c r="C43" s="203">
        <f>GETPIVOTDATA("dato",'[1]evolucion mensual nacionali'!$A$4,"indicador","España","mes",2,"año",2008)/GETPIVOTDATA("dato",'[1]evolucion mensual nacionali'!$A$4,"indicador","TOTAL","mes",2,"año",2008)</f>
        <v>0.84727460604494964</v>
      </c>
      <c r="D43" s="203">
        <f>GETPIVOTDATA("dato",'[1]evolucion mensual nacionali'!$A$4,"indicador","HOLANDA","mes",2,"año",2008)/GETPIVOTDATA("dato",'[1]evolucion mensual nacionali'!$A$4,"indicador","TOTAL","mes",2,"año",2008)</f>
        <v>3.0999741668819429E-3</v>
      </c>
      <c r="E43" s="203">
        <f>GETPIVOTDATA("dato",'[1]evolucion mensual nacionali'!$A$4,"indicador","BÉLGICA","mes",2,"año",2008)/GETPIVOTDATA("dato",'[1]evolucion mensual nacionali'!$A$4,"indicador","TOTAL","mes",2,"año",2008)</f>
        <v>2.3766468612761559E-3</v>
      </c>
      <c r="F43" s="203">
        <f>GETPIVOTDATA("dato",'[1]evolucion mensual nacionali'!$A$4,"indicador","ALEMANIA","mes",2,"año",2008)/GETPIVOTDATA("dato",'[1]evolucion mensual nacionali'!$A$4,"indicador","TOTAL","mes",2,"año",2008)</f>
        <v>2.3404804959958666E-2</v>
      </c>
      <c r="G43" s="203">
        <f>GETPIVOTDATA("dato",'[1]evolucion mensual nacionali'!$A$4,"indicador","FRANCIA","mes",2,"año",2008)/GETPIVOTDATA("dato",'[1]evolucion mensual nacionali'!$A$4,"indicador","TOTAL","mes",2,"año",2008)</f>
        <v>1.4466546112115732E-2</v>
      </c>
      <c r="H43" s="203">
        <f>GETPIVOTDATA("dato",'[1]evolucion mensual nacionali'!$A$4,"indicador","REINO UNIDO","mes",2,"año",2008)/GETPIVOTDATA("dato",'[1]evolucion mensual nacionali'!$A$4,"indicador","TOTAL","mes",2,"año",2008)</f>
        <v>2.0769826918109014E-2</v>
      </c>
      <c r="I43" s="203">
        <f>GETPIVOTDATA("dato",'[1]evolucion mensual nacionali'!$A$4,"indicador","IRLANDA","mes",2,"año",2008)/GETPIVOTDATA("dato",'[1]evolucion mensual nacionali'!$A$4,"indicador","TOTAL","mes",2,"año",2008)</f>
        <v>2.0149832084732627E-3</v>
      </c>
      <c r="J43" s="203">
        <f>GETPIVOTDATA("dato",'[1]evolucion mensual nacionali'!$A$4,"indicador","ITALIA","mes",2,"año",2008)/GETPIVOTDATA("dato",'[1]evolucion mensual nacionali'!$A$4,"indicador","TOTAL","mes",2,"año",2008)</f>
        <v>1.5241539653836218E-2</v>
      </c>
      <c r="K43" s="203">
        <f>(GETPIVOTDATA("dato",'[1]evolucion mensual nacionali'!$A$4,"indicador","SUECIA","mes",2,"año",2008)+GETPIVOTDATA("dato",'[1]evolucion mensual nacionali'!$A$4,"indicador","NORUEGA","mes",2,"año",2008)+GETPIVOTDATA("dato",'[1]evolucion mensual nacionali'!$A$4,"indicador","DINAMARCA","mes",2,"año",2008)+GETPIVOTDATA("dato",'[1]evolucion mensual nacionali'!$A$4,"indicador","FINLANDIA","mes",2,"año",2008))/GETPIVOTDATA("dato",'[1]evolucion mensual nacionali'!$A$4,"indicador","TOTAL","mes",2,"año",2008)</f>
        <v>1.6946525445621287E-2</v>
      </c>
      <c r="L43" s="203">
        <f>GETPIVOTDATA("dato",'[1]evolucion mensual nacionali'!$A$4,"indicador","SUECIA","mes",2,"año",2008)/GETPIVOTDATA("dato",'[1]evolucion mensual nacionali'!$A$4,"indicador","TOTAL","mes",2,"año",2008)</f>
        <v>6.044949625419788E-3</v>
      </c>
      <c r="M43" s="203">
        <f>GETPIVOTDATA("dato",'[1]evolucion mensual nacionali'!$A$4,"indicador","NORUEGA","mes",2,"año",2008)/GETPIVOTDATA("dato",'[1]evolucion mensual nacionali'!$A$4,"indicador","TOTAL","mes",2,"año",2008)</f>
        <v>3.1516404029966415E-3</v>
      </c>
      <c r="N43" s="203">
        <f>GETPIVOTDATA("dato",'[1]evolucion mensual nacionali'!$A$4,"indicador","DINAMARCA","mes",2,"año",2008)/GETPIVOTDATA("dato",'[1]evolucion mensual nacionali'!$A$4,"indicador","TOTAL","mes",2,"año",2008)</f>
        <v>5.0632911392405064E-3</v>
      </c>
      <c r="O43" s="203">
        <f>GETPIVOTDATA("dato",'[1]evolucion mensual nacionali'!$A$4,"indicador","FINLANDIA","mes",2,"año",2008)/GETPIVOTDATA("dato",'[1]evolucion mensual nacionali'!$A$4,"indicador","TOTAL","mes",2,"año",2008)</f>
        <v>2.6866442779643505E-3</v>
      </c>
      <c r="P43" s="203">
        <f>GETPIVOTDATA("dato",'[1]evolucion mensual nacionali'!$A$4,"indicador","SUIZA","mes",2,"año",2008)/GETPIVOTDATA("dato",'[1]evolucion mensual nacionali'!$A$4,"indicador","TOTAL","mes",2,"año",2008)</f>
        <v>2.9449754585378456E-3</v>
      </c>
      <c r="Q43" s="203">
        <f>GETPIVOTDATA("dato",'[1]evolucion mensual nacionali'!$A$4,"indicador","AUSTRIA","mes",2,"año",2008)/GETPIVOTDATA("dato",'[1]evolucion mensual nacionali'!$A$4,"indicador","TOTAL","mes",2,"año",2008)</f>
        <v>2.9966416946525447E-3</v>
      </c>
      <c r="R43" s="203">
        <f>GETPIVOTDATA("dato",'[1]evolucion mensual nacionali'!$A$4,"indicador","RUSIA","mes",2,"año",2008)/GETPIVOTDATA("dato",'[1]evolucion mensual nacionali'!$A$4,"indicador","TOTAL","mes",2,"año",2008)</f>
        <v>1.8599845001291656E-3</v>
      </c>
      <c r="S43" s="203">
        <f>GETPIVOTDATA("dato",'[1]evolucion mensual nacionali'!$A$4,"indicador","PAÍSES DEL ESTE","mes",2,"año",2008)/GETPIVOTDATA("dato",'[1]evolucion mensual nacionali'!$A$4,"indicador","TOTAL","mes",2,"año",2008)</f>
        <v>2.0666494445879618E-3</v>
      </c>
      <c r="T43" s="203">
        <f>GETPIVOTDATA("dato",'[1]evolucion mensual nacionali'!$A$4,"indicador","RESTO DE EUROPA","mes",2,"año",2008)/GETPIVOTDATA("dato",'[1]evolucion mensual nacionali'!$A$4,"indicador","TOTAL","mes",2,"año",2008)</f>
        <v>8.266597778351847E-3</v>
      </c>
      <c r="U43" s="203">
        <f>GETPIVOTDATA("dato",'[1]evolucion mensual nacionali'!$A$4,"indicador","USA","mes",2,"año",2008)/GETPIVOTDATA("dato",'[1]evolucion mensual nacionali'!$A$4,"indicador","TOTAL","mes",2,"año",2008)</f>
        <v>3.3066391113407388E-3</v>
      </c>
      <c r="V43" s="203">
        <f>GETPIVOTDATA("dato",'[1]evolucion mensual nacionali'!$A$4,"indicador","RESTO DE AMÉRICA","mes",2,"año",2008)/GETPIVOTDATA("dato",'[1]evolucion mensual nacionali'!$A$4,"indicador","TOTAL","mes",2,"año",2008)</f>
        <v>2.1441487987600105E-2</v>
      </c>
      <c r="W43" s="203">
        <f>GETPIVOTDATA("dato",'[1]evolucion mensual nacionali'!$A$4,"indicador","RESTO DEL MUNDO","mes",2,"año",2008)/GETPIVOTDATA("dato",'[1]evolucion mensual nacionali'!$A$4,"indicador","TOTAL","mes",2,"año",2008)</f>
        <v>1.1521570653577886E-2</v>
      </c>
      <c r="X43" s="203">
        <f>(GETPIVOTDATA("dato",'[1]evolucion mensual nacionali'!$A$4,"indicador","TOTAL","mes",2,"año",2008)-GETPIVOTDATA("dato",'[1]evolucion mensual nacionali'!$A$4,"indicador","España","mes",2,"año",2008))/GETPIVOTDATA("dato",'[1]evolucion mensual nacionali'!$A$4,"indicador","TOTAL","mes",2,"año",2008)</f>
        <v>0.15272539395505039</v>
      </c>
      <c r="Y43" s="205">
        <f>GETPIVOTDATA("dato",'[1]evolucion mensual nacionali'!$A$4,"indicador","TOTAL","mes",2,"año",2008)/GETPIVOTDATA("dato",'[1]evolucion mensual nacionali'!$A$4,"indicador","TOTAL","mes",2,"año",2008)</f>
        <v>1</v>
      </c>
    </row>
    <row r="44" spans="2:25" ht="15" hidden="1" customHeight="1" outlineLevel="1">
      <c r="B44" s="51" t="s">
        <v>49</v>
      </c>
      <c r="C44" s="203">
        <f>GETPIVOTDATA("dato",'[1]evolucion mensual nacionali'!$A$4,"indicador","España","mes",1,"año",2008)/GETPIVOTDATA("dato",'[1]evolucion mensual nacionali'!$A$4,"indicador","TOTAL","mes",1,"año",2008)</f>
        <v>0.83606171240136617</v>
      </c>
      <c r="D44" s="203">
        <f>GETPIVOTDATA("dato",'[1]evolucion mensual nacionali'!$A$4,"indicador","HOLANDA","mes",1,"año",2008)/GETPIVOTDATA("dato",'[1]evolucion mensual nacionali'!$A$4,"indicador","TOTAL","mes",1,"año",2008)</f>
        <v>2.8854080791426216E-3</v>
      </c>
      <c r="E44" s="203">
        <f>GETPIVOTDATA("dato",'[1]evolucion mensual nacionali'!$A$4,"indicador","BÉLGICA","mes",1,"año",2008)/GETPIVOTDATA("dato",'[1]evolucion mensual nacionali'!$A$4,"indicador","TOTAL","mes",1,"año",2008)</f>
        <v>2.8265221999764457E-3</v>
      </c>
      <c r="F44" s="203">
        <f>GETPIVOTDATA("dato",'[1]evolucion mensual nacionali'!$A$4,"indicador","ALEMANIA","mes",1,"año",2008)/GETPIVOTDATA("dato",'[1]evolucion mensual nacionali'!$A$4,"indicador","TOTAL","mes",1,"año",2008)</f>
        <v>2.8441879637262985E-2</v>
      </c>
      <c r="G44" s="203">
        <f>GETPIVOTDATA("dato",'[1]evolucion mensual nacionali'!$A$4,"indicador","FRANCIA","mes",1,"año",2008)/GETPIVOTDATA("dato",'[1]evolucion mensual nacionali'!$A$4,"indicador","TOTAL","mes",1,"año",2008)</f>
        <v>9.7750559415852086E-3</v>
      </c>
      <c r="H44" s="203">
        <f>GETPIVOTDATA("dato",'[1]evolucion mensual nacionali'!$A$4,"indicador","REINO UNIDO","mes",1,"año",2008)/GETPIVOTDATA("dato",'[1]evolucion mensual nacionali'!$A$4,"indicador","TOTAL","mes",1,"año",2008)</f>
        <v>2.0492285949829232E-2</v>
      </c>
      <c r="I44" s="203">
        <f>GETPIVOTDATA("dato",'[1]evolucion mensual nacionali'!$A$4,"indicador","IRLANDA","mes",1,"año",2008)/GETPIVOTDATA("dato",'[1]evolucion mensual nacionali'!$A$4,"indicador","TOTAL","mes",1,"año",2008)</f>
        <v>1.7665763749852785E-3</v>
      </c>
      <c r="J44" s="203">
        <f>GETPIVOTDATA("dato",'[1]evolucion mensual nacionali'!$A$4,"indicador","ITALIA","mes",1,"año",2008)/GETPIVOTDATA("dato",'[1]evolucion mensual nacionali'!$A$4,"indicador","TOTAL","mes",1,"año",2008)</f>
        <v>1.790130726651749E-2</v>
      </c>
      <c r="K44" s="203">
        <f>(GETPIVOTDATA("dato",'[1]evolucion mensual nacionali'!$A$4,"indicador","SUECIA","mes",1,"año",2008)+GETPIVOTDATA("dato",'[1]evolucion mensual nacionali'!$A$4,"indicador","NORUEGA","mes",1,"año",2008)+GETPIVOTDATA("dato",'[1]evolucion mensual nacionali'!$A$4,"indicador","DINAMARCA","mes",1,"año",2008)+GETPIVOTDATA("dato",'[1]evolucion mensual nacionali'!$A$4,"indicador","FINLANDIA","mes",1,"año",2008))/GETPIVOTDATA("dato",'[1]evolucion mensual nacionali'!$A$4,"indicador","TOTAL","mes",1,"año",2008)</f>
        <v>1.1011659404074902E-2</v>
      </c>
      <c r="L44" s="203">
        <f>GETPIVOTDATA("dato",'[1]evolucion mensual nacionali'!$A$4,"indicador","SUECIA","mes",1,"año",2008)/GETPIVOTDATA("dato",'[1]evolucion mensual nacionali'!$A$4,"indicador","TOTAL","mes",1,"año",2008)</f>
        <v>4.2986691791308445E-3</v>
      </c>
      <c r="M44" s="203">
        <f>GETPIVOTDATA("dato",'[1]evolucion mensual nacionali'!$A$4,"indicador","NORUEGA","mes",1,"año",2008)/GETPIVOTDATA("dato",'[1]evolucion mensual nacionali'!$A$4,"indicador","TOTAL","mes",1,"año",2008)</f>
        <v>2.8265221999764457E-3</v>
      </c>
      <c r="N44" s="203">
        <f>GETPIVOTDATA("dato",'[1]evolucion mensual nacionali'!$A$4,"indicador","DINAMARCA","mes",1,"año",2008)/GETPIVOTDATA("dato",'[1]evolucion mensual nacionali'!$A$4,"indicador","TOTAL","mes",1,"año",2008)</f>
        <v>1.9432340124838064E-3</v>
      </c>
      <c r="O44" s="203">
        <f>GETPIVOTDATA("dato",'[1]evolucion mensual nacionali'!$A$4,"indicador","FINLANDIA","mes",1,"año",2008)/GETPIVOTDATA("dato",'[1]evolucion mensual nacionali'!$A$4,"indicador","TOTAL","mes",1,"año",2008)</f>
        <v>1.9432340124838064E-3</v>
      </c>
      <c r="P44" s="203">
        <f>GETPIVOTDATA("dato",'[1]evolucion mensual nacionali'!$A$4,"indicador","SUIZA","mes",1,"año",2008)/GETPIVOTDATA("dato",'[1]evolucion mensual nacionali'!$A$4,"indicador","TOTAL","mes",1,"año",2008)</f>
        <v>3.5331527499705569E-3</v>
      </c>
      <c r="Q44" s="203">
        <f>GETPIVOTDATA("dato",'[1]evolucion mensual nacionali'!$A$4,"indicador","AUSTRIA","mes",1,"año",2008)/GETPIVOTDATA("dato",'[1]evolucion mensual nacionali'!$A$4,"indicador","TOTAL","mes",1,"año",2008)</f>
        <v>1.6488046166529267E-3</v>
      </c>
      <c r="R44" s="203">
        <f>GETPIVOTDATA("dato",'[1]evolucion mensual nacionali'!$A$4,"indicador","RUSIA","mes",1,"año",2008)/GETPIVOTDATA("dato",'[1]evolucion mensual nacionali'!$A$4,"indicador","TOTAL","mes",1,"año",2008)</f>
        <v>2.8854080791426216E-3</v>
      </c>
      <c r="S44" s="203">
        <f>GETPIVOTDATA("dato",'[1]evolucion mensual nacionali'!$A$4,"indicador","PAÍSES DEL ESTE","mes",1,"año",2008)/GETPIVOTDATA("dato",'[1]evolucion mensual nacionali'!$A$4,"indicador","TOTAL","mes",1,"año",2008)</f>
        <v>4.0631256624661409E-3</v>
      </c>
      <c r="T44" s="203">
        <f>GETPIVOTDATA("dato",'[1]evolucion mensual nacionali'!$A$4,"indicador","RESTO DE EUROPA","mes",1,"año",2008)/GETPIVOTDATA("dato",'[1]evolucion mensual nacionali'!$A$4,"indicador","TOTAL","mes",1,"año",2008)</f>
        <v>1.0835001766576376E-2</v>
      </c>
      <c r="U44" s="203">
        <f>GETPIVOTDATA("dato",'[1]evolucion mensual nacionali'!$A$4,"indicador","USA","mes",1,"año",2008)/GETPIVOTDATA("dato",'[1]evolucion mensual nacionali'!$A$4,"indicador","TOTAL","mes",1,"año",2008)</f>
        <v>5.9474737957837713E-3</v>
      </c>
      <c r="V44" s="203">
        <f>GETPIVOTDATA("dato",'[1]evolucion mensual nacionali'!$A$4,"indicador","RESTO DE AMÉRICA","mes",1,"año",2008)/GETPIVOTDATA("dato",'[1]evolucion mensual nacionali'!$A$4,"indicador","TOTAL","mes",1,"año",2008)</f>
        <v>2.6439759745613002E-2</v>
      </c>
      <c r="W44" s="203">
        <f>GETPIVOTDATA("dato",'[1]evolucion mensual nacionali'!$A$4,"indicador","RESTO DEL MUNDO","mes",1,"año",2008)/GETPIVOTDATA("dato",'[1]evolucion mensual nacionali'!$A$4,"indicador","TOTAL","mes",1,"año",2008)</f>
        <v>1.3484866329054292E-2</v>
      </c>
      <c r="X44" s="203">
        <f>(GETPIVOTDATA("dato",'[1]evolucion mensual nacionali'!$A$4,"indicador","TOTAL","mes",1,"año",2008)-GETPIVOTDATA("dato",'[1]evolucion mensual nacionali'!$A$4,"indicador","España","mes",1,"año",2008))/GETPIVOTDATA("dato",'[1]evolucion mensual nacionali'!$A$4,"indicador","TOTAL","mes",1,"año",2008)</f>
        <v>0.16393828759863385</v>
      </c>
      <c r="Y44" s="205">
        <f>GETPIVOTDATA("dato",'[1]evolucion mensual nacionali'!$A$4,"indicador","TOTAL","mes",1,"año",2008)/GETPIVOTDATA("dato",'[1]evolucion mensual nacionali'!$A$4,"indicador","TOTAL","mes",1,"año",2008)</f>
        <v>1</v>
      </c>
    </row>
    <row r="45" spans="2:25" collapsed="1">
      <c r="B45" s="214">
        <v>2008</v>
      </c>
      <c r="C45" s="216">
        <f>GETPIVOTDATA("dato",'[1]evolucion mensual nacionali'!$A$4,"indicador","España","año",2008)/GETPIVOTDATA("dato",'[1]evolucion mensual nacionali'!$A$4,"indicador","TOTAL","año",2008)</f>
        <v>0.83605581078781688</v>
      </c>
      <c r="D45" s="216">
        <f>GETPIVOTDATA("dato",'[1]evolucion mensual nacionali'!$A$4,"indicador","HOLANDA","año",2008)/GETPIVOTDATA("dato",'[1]evolucion mensual nacionali'!$A$4,"indicador","TOTAL","año",2008)</f>
        <v>3.0577825821497561E-3</v>
      </c>
      <c r="E45" s="216">
        <f>GETPIVOTDATA("dato",'[1]evolucion mensual nacionali'!$A$4,"indicador","BÉLGICA","año",2008)/GETPIVOTDATA("dato",'[1]evolucion mensual nacionali'!$A$4,"indicador","TOTAL","año",2008)</f>
        <v>2.687445575473681E-3</v>
      </c>
      <c r="F45" s="216">
        <f>GETPIVOTDATA("dato",'[1]evolucion mensual nacionali'!$A$4,"indicador","ALEMANIA","año",2008)/GETPIVOTDATA("dato",'[1]evolucion mensual nacionali'!$A$4,"indicador","TOTAL","año",2008)</f>
        <v>2.1364441641894123E-2</v>
      </c>
      <c r="G45" s="216">
        <f>GETPIVOTDATA("dato",'[1]evolucion mensual nacionali'!$A$4,"indicador","FRANCIA","año",2008)/GETPIVOTDATA("dato",'[1]evolucion mensual nacionali'!$A$4,"indicador","TOTAL","año",2008)</f>
        <v>1.4668348196859141E-2</v>
      </c>
      <c r="H45" s="216">
        <f>GETPIVOTDATA("dato",'[1]evolucion mensual nacionali'!$A$4,"indicador","REINO UNIDO","año",2008)/GETPIVOTDATA("dato",'[1]evolucion mensual nacionali'!$A$4,"indicador","TOTAL","año",2008)</f>
        <v>1.7330771001611466E-2</v>
      </c>
      <c r="I45" s="216">
        <f>GETPIVOTDATA("dato",'[1]evolucion mensual nacionali'!$A$4,"indicador","IRLANDA","año",2008)/GETPIVOTDATA("dato",'[1]evolucion mensual nacionali'!$A$4,"indicador","TOTAL","año",2008)</f>
        <v>2.0518671991512278E-3</v>
      </c>
      <c r="J45" s="216">
        <f>GETPIVOTDATA("dato",'[1]evolucion mensual nacionali'!$A$4,"indicador","ITALIA","año",2008)/GETPIVOTDATA("dato",'[1]evolucion mensual nacionali'!$A$4,"indicador","TOTAL","año",2008)</f>
        <v>1.5644236254992044E-2</v>
      </c>
      <c r="K45" s="216">
        <f>(GETPIVOTDATA("dato",'[1]evolucion mensual nacionali'!$A$4,"indicador","SUECIA","año",2008)+GETPIVOTDATA("dato",'[1]evolucion mensual nacionali'!$A$4,"indicador","NORUEGA","año",2008)+GETPIVOTDATA("dato",'[1]evolucion mensual nacionali'!$A$4,"indicador","DINAMARCA","año",2008)+GETPIVOTDATA("dato",'[1]evolucion mensual nacionali'!$A$4,"indicador","FINLANDIA","año",2008))/GETPIVOTDATA("dato",'[1]evolucion mensual nacionali'!$A$4,"indicador","TOTAL","año",2008)</f>
        <v>1.0109199371427999E-2</v>
      </c>
      <c r="L45" s="216">
        <f>GETPIVOTDATA("dato",'[1]evolucion mensual nacionali'!$A$4,"indicador","SUECIA","año",2008)/GETPIVOTDATA("dato",'[1]evolucion mensual nacionali'!$A$4,"indicador","TOTAL","año",2008)</f>
        <v>2.9977279324185009E-3</v>
      </c>
      <c r="M45" s="216">
        <f>GETPIVOTDATA("dato",'[1]evolucion mensual nacionali'!$A$4,"indicador","NORUEGA","año",2008)/GETPIVOTDATA("dato",'[1]evolucion mensual nacionali'!$A$4,"indicador","TOTAL","año",2008)</f>
        <v>2.4722497472700155E-3</v>
      </c>
      <c r="N45" s="216">
        <f>GETPIVOTDATA("dato",'[1]evolucion mensual nacionali'!$A$4,"indicador","DINAMARCA","año",2008)/GETPIVOTDATA("dato",'[1]evolucion mensual nacionali'!$A$4,"indicador","TOTAL","año",2008)</f>
        <v>2.0368535367184136E-3</v>
      </c>
      <c r="O45" s="216">
        <f>GETPIVOTDATA("dato",'[1]evolucion mensual nacionali'!$A$4,"indicador","FINLANDIA","año",2008)/GETPIVOTDATA("dato",'[1]evolucion mensual nacionali'!$A$4,"indicador","TOTAL","año",2008)</f>
        <v>2.6023681550210692E-3</v>
      </c>
      <c r="P45" s="216">
        <f>GETPIVOTDATA("dato",'[1]evolucion mensual nacionali'!$A$4,"indicador","SUIZA","año",2008)/GETPIVOTDATA("dato",'[1]evolucion mensual nacionali'!$A$4,"indicador","TOTAL","año",2008)</f>
        <v>3.1078281235924691E-3</v>
      </c>
      <c r="Q45" s="216">
        <f>GETPIVOTDATA("dato",'[1]evolucion mensual nacionali'!$A$4,"indicador","AUSTRIA","año",2008)/GETPIVOTDATA("dato",'[1]evolucion mensual nacionali'!$A$4,"indicador","TOTAL","año",2008)</f>
        <v>1.5964527720225405E-3</v>
      </c>
      <c r="R45" s="216">
        <f>GETPIVOTDATA("dato",'[1]evolucion mensual nacionali'!$A$4,"indicador","RUSIA","año",2008)/GETPIVOTDATA("dato",'[1]evolucion mensual nacionali'!$A$4,"indicador","TOTAL","año",2008)</f>
        <v>4.7192945580478238E-3</v>
      </c>
      <c r="S45" s="216">
        <f>GETPIVOTDATA("dato",'[1]evolucion mensual nacionali'!$A$4,"indicador","PAÍSES DEL ESTE","año",2008)/GETPIVOTDATA("dato",'[1]evolucion mensual nacionali'!$A$4,"indicador","TOTAL","año",2008)</f>
        <v>4.7743446536348075E-3</v>
      </c>
      <c r="T45" s="216">
        <f>GETPIVOTDATA("dato",'[1]evolucion mensual nacionali'!$A$4,"indicador","RESTO DE EUROPA","año",2008)/GETPIVOTDATA("dato",'[1]evolucion mensual nacionali'!$A$4,"indicador","TOTAL","año",2008)</f>
        <v>1.1500465423535416E-2</v>
      </c>
      <c r="U45" s="216">
        <f>GETPIVOTDATA("dato",'[1]evolucion mensual nacionali'!$A$4,"indicador","USA","año",2008)/GETPIVOTDATA("dato",'[1]evolucion mensual nacionali'!$A$4,"indicador","TOTAL","año",2008)</f>
        <v>4.769340099490536E-3</v>
      </c>
      <c r="V45" s="216">
        <f>GETPIVOTDATA("dato",'[1]evolucion mensual nacionali'!$A$4,"indicador","RESTO DE AMÉRICA","año",2008)/GETPIVOTDATA("dato",'[1]evolucion mensual nacionali'!$A$4,"indicador","TOTAL","año",2008)</f>
        <v>2.8871272858301055E-2</v>
      </c>
      <c r="W45" s="216">
        <f>GETPIVOTDATA("dato",'[1]evolucion mensual nacionali'!$A$4,"indicador","RESTO DEL MUNDO","año",2008)/GETPIVOTDATA("dato",'[1]evolucion mensual nacionali'!$A$4,"indicador","TOTAL","año",2008)</f>
        <v>1.7691098899998998E-2</v>
      </c>
      <c r="X45" s="216">
        <f>(GETPIVOTDATA("dato",'[1]evolucion mensual nacionali'!$A$4,"indicador","TOTAL","año",2008)-GETPIVOTDATA("dato",'[1]evolucion mensual nacionali'!$A$4,"indicador","España","año",2008))/GETPIVOTDATA("dato",'[1]evolucion mensual nacionali'!$A$4,"indicador","TOTAL","año",2008)</f>
        <v>0.16394418921218309</v>
      </c>
      <c r="Y45" s="293">
        <f>GETPIVOTDATA("dato",'[1]evolucion mensual nacionali'!$A$4,"indicador","TOTAL","año",2008)/GETPIVOTDATA("dato",'[1]evolucion mensual nacionali'!$A$4,"indicador","TOTAL","año",2008)</f>
        <v>1</v>
      </c>
    </row>
    <row r="46" spans="2:25" hidden="1" outlineLevel="1">
      <c r="B46" s="51" t="s">
        <v>38</v>
      </c>
      <c r="C46" s="203">
        <f>GETPIVOTDATA("dato",'[1]evolucion mensual nacionali'!$A$4,"indicador","España","mes",12,"año",2007)/GETPIVOTDATA("dato",'[1]evolucion mensual nacionali'!$A$4,"indicador","TOTAL","mes",12,"año",2007)</f>
        <v>0.80916301645554634</v>
      </c>
      <c r="D46" s="203">
        <f>GETPIVOTDATA("dato",'[1]evolucion mensual nacionali'!$A$4,"indicador","HOLANDA","mes",12,"año",2007)/GETPIVOTDATA("dato",'[1]evolucion mensual nacionali'!$A$4,"indicador","TOTAL","mes",12,"año",2007)</f>
        <v>6.3336095655262227E-3</v>
      </c>
      <c r="E46" s="203">
        <f>GETPIVOTDATA("dato",'[1]evolucion mensual nacionali'!$A$4,"indicador","BÉLGICA","mes",12,"año",2007)/GETPIVOTDATA("dato",'[1]evolucion mensual nacionali'!$A$4,"indicador","TOTAL","mes",12,"año",2007)</f>
        <v>4.0842902805729841E-3</v>
      </c>
      <c r="F46" s="203">
        <f>GETPIVOTDATA("dato",'[1]evolucion mensual nacionali'!$A$4,"indicador","ALEMANIA","mes",12,"año",2007)/GETPIVOTDATA("dato",'[1]evolucion mensual nacionali'!$A$4,"indicador","TOTAL","mes",12,"año",2007)</f>
        <v>3.0898543861726056E-2</v>
      </c>
      <c r="G46" s="203">
        <f>GETPIVOTDATA("dato",'[1]evolucion mensual nacionali'!$A$4,"indicador","FRANCIA","mes",12,"año",2007)/GETPIVOTDATA("dato",'[1]evolucion mensual nacionali'!$A$4,"indicador","TOTAL","mes",12,"año",2007)</f>
        <v>1.0062744169527642E-2</v>
      </c>
      <c r="H46" s="203">
        <f>GETPIVOTDATA("dato",'[1]evolucion mensual nacionali'!$A$4,"indicador","REINO UNIDO","mes",12,"año",2007)/GETPIVOTDATA("dato",'[1]evolucion mensual nacionali'!$A$4,"indicador","TOTAL","mes",12,"año",2007)</f>
        <v>2.7346987096010418E-2</v>
      </c>
      <c r="I46" s="203">
        <f>GETPIVOTDATA("dato",'[1]evolucion mensual nacionali'!$A$4,"indicador","IRLANDA","mes",12,"año",2007)/GETPIVOTDATA("dato",'[1]evolucion mensual nacionali'!$A$4,"indicador","TOTAL","mes",12,"año",2007)</f>
        <v>4.2026755060968393E-3</v>
      </c>
      <c r="J46" s="203">
        <f>GETPIVOTDATA("dato",'[1]evolucion mensual nacionali'!$A$4,"indicador","ITALIA","mes",12,"año",2007)/GETPIVOTDATA("dato",'[1]evolucion mensual nacionali'!$A$4,"indicador","TOTAL","mes",12,"año",2007)</f>
        <v>1.9592754824197939E-2</v>
      </c>
      <c r="K46" s="203">
        <f>(GETPIVOTDATA("dato",'[1]evolucion mensual nacionali'!$A$4,"indicador","SUECIA","mes",12,"año",2007)+GETPIVOTDATA("dato",'[1]evolucion mensual nacionali'!$A$4,"indicador","NORUEGA","mes",12,"año",2007)+GETPIVOTDATA("dato",'[1]evolucion mensual nacionali'!$A$4,"indicador","DINAMARCA","mes",12,"año",2007)+GETPIVOTDATA("dato",'[1]evolucion mensual nacionali'!$A$4,"indicador","FINLANDIA","mes",12,"año",2007))/GETPIVOTDATA("dato",'[1]evolucion mensual nacionali'!$A$4,"indicador","TOTAL","mes",12,"año",2007)</f>
        <v>1.1542559488575826E-2</v>
      </c>
      <c r="L46" s="203">
        <f>GETPIVOTDATA("dato",'[1]evolucion mensual nacionali'!$A$4,"indicador","SUECIA","mes",12,"año",2007)/GETPIVOTDATA("dato",'[1]evolucion mensual nacionali'!$A$4,"indicador","TOTAL","mes",12,"año",2007)</f>
        <v>3.0780158636202204E-3</v>
      </c>
      <c r="M46" s="203">
        <f>GETPIVOTDATA("dato",'[1]evolucion mensual nacionali'!$A$4,"indicador","NORUEGA","mes",12,"año",2007)/GETPIVOTDATA("dato",'[1]evolucion mensual nacionali'!$A$4,"indicador","TOTAL","mes",12,"año",2007)</f>
        <v>2.5452823487628743E-3</v>
      </c>
      <c r="N46" s="203">
        <f>GETPIVOTDATA("dato",'[1]evolucion mensual nacionali'!$A$4,"indicador","DINAMARCA","mes",12,"año",2007)/GETPIVOTDATA("dato",'[1]evolucion mensual nacionali'!$A$4,"indicador","TOTAL","mes",12,"año",2007)</f>
        <v>2.7820527998105838E-3</v>
      </c>
      <c r="O46" s="203">
        <f>GETPIVOTDATA("dato",'[1]evolucion mensual nacionali'!$A$4,"indicador","FINLANDIA","mes",12,"año",2007)/GETPIVOTDATA("dato",'[1]evolucion mensual nacionali'!$A$4,"indicador","TOTAL","mes",12,"año",2007)</f>
        <v>3.1372084763821475E-3</v>
      </c>
      <c r="P46" s="203">
        <f>GETPIVOTDATA("dato",'[1]evolucion mensual nacionali'!$A$4,"indicador","SUIZA","mes",12,"año",2007)/GETPIVOTDATA("dato",'[1]evolucion mensual nacionali'!$A$4,"indicador","TOTAL","mes",12,"año",2007)</f>
        <v>3.0780158636202204E-3</v>
      </c>
      <c r="Q46" s="203">
        <f>GETPIVOTDATA("dato",'[1]evolucion mensual nacionali'!$A$4,"indicador","AUSTRIA","mes",12,"año",2007)/GETPIVOTDATA("dato",'[1]evolucion mensual nacionali'!$A$4,"indicador","TOTAL","mes",12,"año",2007)</f>
        <v>1.3614300935243281E-3</v>
      </c>
      <c r="R46" s="203">
        <f>GETPIVOTDATA("dato",'[1]evolucion mensual nacionali'!$A$4,"indicador","RUSIA","mes",12,"año",2007)/GETPIVOTDATA("dato",'[1]evolucion mensual nacionali'!$A$4,"indicador","TOTAL","mes",12,"año",2007)</f>
        <v>2.2493192849532377E-3</v>
      </c>
      <c r="S46" s="203">
        <f>GETPIVOTDATA("dato",'[1]evolucion mensual nacionali'!$A$4,"indicador","PAÍSES DEL ESTE","mes",12,"año",2007)/GETPIVOTDATA("dato",'[1]evolucion mensual nacionali'!$A$4,"indicador","TOTAL","mes",12,"año",2007)</f>
        <v>4.2618681188587668E-3</v>
      </c>
      <c r="T46" s="203">
        <f>GETPIVOTDATA("dato",'[1]evolucion mensual nacionali'!$A$4,"indicador","RESTO DE EUROPA","mes",12,"año",2007)/GETPIVOTDATA("dato",'[1]evolucion mensual nacionali'!$A$4,"indicador","TOTAL","mes",12,"año",2007)</f>
        <v>1.0181129395051497E-2</v>
      </c>
      <c r="U46" s="203">
        <f>GETPIVOTDATA("dato",'[1]evolucion mensual nacionali'!$A$4,"indicador","USA","mes",12,"año",2007)/GETPIVOTDATA("dato",'[1]evolucion mensual nacionali'!$A$4,"indicador","TOTAL","mes",12,"año",2007)</f>
        <v>4.0250976678110574E-3</v>
      </c>
      <c r="V46" s="203">
        <f>GETPIVOTDATA("dato",'[1]evolucion mensual nacionali'!$A$4,"indicador","RESTO DE AMÉRICA","mes",12,"año",2007)/GETPIVOTDATA("dato",'[1]evolucion mensual nacionali'!$A$4,"indicador","TOTAL","mes",12,"año",2007)</f>
        <v>2.7524564934296201E-2</v>
      </c>
      <c r="W46" s="203">
        <f>GETPIVOTDATA("dato",'[1]evolucion mensual nacionali'!$A$4,"indicador","RESTO DEL MUNDO","mes",12,"año",2007)/GETPIVOTDATA("dato",'[1]evolucion mensual nacionali'!$A$4,"indicador","TOTAL","mes",12,"año",2007)</f>
        <v>2.4091393394104415E-2</v>
      </c>
      <c r="X46" s="203">
        <f>(GETPIVOTDATA("dato",'[1]evolucion mensual nacionali'!$A$4,"indicador","TOTAL","mes",12,"año",2007)-GETPIVOTDATA("dato",'[1]evolucion mensual nacionali'!$A$4,"indicador","España","mes",12,"año",2007))/GETPIVOTDATA("dato",'[1]evolucion mensual nacionali'!$A$4,"indicador","TOTAL","mes",12,"año",2007)</f>
        <v>0.19083698354445366</v>
      </c>
      <c r="Y46" s="205">
        <f>GETPIVOTDATA("dato",'[1]evolucion mensual nacionali'!$A$4,"indicador","TOTAL","mes",12,"año",2007)/GETPIVOTDATA("dato",'[1]evolucion mensual nacionali'!$A$4,"indicador","TOTAL","mes",12,"año",2007)</f>
        <v>1</v>
      </c>
    </row>
    <row r="47" spans="2:25" hidden="1" outlineLevel="1">
      <c r="B47" s="51" t="s">
        <v>39</v>
      </c>
      <c r="C47" s="203">
        <f>GETPIVOTDATA("dato",'[1]evolucion mensual nacionali'!$A$4,"indicador","España","mes",11,"año",2007)/GETPIVOTDATA("dato",'[1]evolucion mensual nacionali'!$A$4,"indicador","TOTAL","mes",11,"año",2007)</f>
        <v>0.83595113438045376</v>
      </c>
      <c r="D47" s="203">
        <f>GETPIVOTDATA("dato",'[1]evolucion mensual nacionali'!$A$4,"indicador","HOLANDA","mes",11,"año",2007)/GETPIVOTDATA("dato",'[1]evolucion mensual nacionali'!$A$4,"indicador","TOTAL","mes",11,"año",2007)</f>
        <v>1.7980855677190756E-3</v>
      </c>
      <c r="E47" s="203">
        <f>GETPIVOTDATA("dato",'[1]evolucion mensual nacionali'!$A$4,"indicador","BÉLGICA","mes",11,"año",2007)/GETPIVOTDATA("dato",'[1]evolucion mensual nacionali'!$A$4,"indicador","TOTAL","mes",11,"año",2007)</f>
        <v>2.009625046274261E-3</v>
      </c>
      <c r="F47" s="203">
        <f>GETPIVOTDATA("dato",'[1]evolucion mensual nacionali'!$A$4,"indicador","ALEMANIA","mes",11,"año",2007)/GETPIVOTDATA("dato",'[1]evolucion mensual nacionali'!$A$4,"indicador","TOTAL","mes",11,"año",2007)</f>
        <v>2.6706859167592151E-2</v>
      </c>
      <c r="G47" s="203">
        <f>GETPIVOTDATA("dato",'[1]evolucion mensual nacionali'!$A$4,"indicador","FRANCIA","mes",11,"año",2007)/GETPIVOTDATA("dato",'[1]evolucion mensual nacionali'!$A$4,"indicador","TOTAL","mes",11,"año",2007)</f>
        <v>1.0259664709926491E-2</v>
      </c>
      <c r="H47" s="203">
        <f>GETPIVOTDATA("dato",'[1]evolucion mensual nacionali'!$A$4,"indicador","REINO UNIDO","mes",11,"año",2007)/GETPIVOTDATA("dato",'[1]evolucion mensual nacionali'!$A$4,"indicador","TOTAL","mes",11,"año",2007)</f>
        <v>2.0519329419852982E-2</v>
      </c>
      <c r="I47" s="203">
        <f>GETPIVOTDATA("dato",'[1]evolucion mensual nacionali'!$A$4,"indicador","IRLANDA","mes",11,"año",2007)/GETPIVOTDATA("dato",'[1]evolucion mensual nacionali'!$A$4,"indicador","TOTAL","mes",11,"año",2007)</f>
        <v>2.2740493944682426E-3</v>
      </c>
      <c r="J47" s="203">
        <f>GETPIVOTDATA("dato",'[1]evolucion mensual nacionali'!$A$4,"indicador","ITALIA","mes",11,"año",2007)/GETPIVOTDATA("dato",'[1]evolucion mensual nacionali'!$A$4,"indicador","TOTAL","mes",11,"año",2007)</f>
        <v>1.0048125231371304E-2</v>
      </c>
      <c r="K47" s="203">
        <f>(GETPIVOTDATA("dato",'[1]evolucion mensual nacionali'!$A$4,"indicador","SUECIA","mes",11,"año",2007)+GETPIVOTDATA("dato",'[1]evolucion mensual nacionali'!$A$4,"indicador","NORUEGA","mes",11,"año",2007)+GETPIVOTDATA("dato",'[1]evolucion mensual nacionali'!$A$4,"indicador","DINAMARCA","mes",11,"año",2007)+GETPIVOTDATA("dato",'[1]evolucion mensual nacionali'!$A$4,"indicador","FINLANDIA","mes",11,"año",2007))/GETPIVOTDATA("dato",'[1]evolucion mensual nacionali'!$A$4,"indicador","TOTAL","mes",11,"año",2007)</f>
        <v>1.6923158284414829E-2</v>
      </c>
      <c r="L47" s="203">
        <f>GETPIVOTDATA("dato",'[1]evolucion mensual nacionali'!$A$4,"indicador","SUECIA","mes",11,"año",2007)/GETPIVOTDATA("dato",'[1]evolucion mensual nacionali'!$A$4,"indicador","TOTAL","mes",11,"año",2007)</f>
        <v>6.7163784441271355E-3</v>
      </c>
      <c r="M47" s="203">
        <f>GETPIVOTDATA("dato",'[1]evolucion mensual nacionali'!$A$4,"indicador","NORUEGA","mes",11,"año",2007)/GETPIVOTDATA("dato",'[1]evolucion mensual nacionali'!$A$4,"indicador","TOTAL","mes",11,"año",2007)</f>
        <v>4.0721349621873184E-3</v>
      </c>
      <c r="N47" s="203">
        <f>GETPIVOTDATA("dato",'[1]evolucion mensual nacionali'!$A$4,"indicador","DINAMARCA","mes",11,"año",2007)/GETPIVOTDATA("dato",'[1]evolucion mensual nacionali'!$A$4,"indicador","TOTAL","mes",11,"año",2007)</f>
        <v>2.3269342641070389E-3</v>
      </c>
      <c r="O47" s="203">
        <f>GETPIVOTDATA("dato",'[1]evolucion mensual nacionali'!$A$4,"indicador","FINLANDIA","mes",11,"año",2007)/GETPIVOTDATA("dato",'[1]evolucion mensual nacionali'!$A$4,"indicador","TOTAL","mes",11,"año",2007)</f>
        <v>3.8077106139933364E-3</v>
      </c>
      <c r="P47" s="203">
        <f>GETPIVOTDATA("dato",'[1]evolucion mensual nacionali'!$A$4,"indicador","SUIZA","mes",11,"año",2007)/GETPIVOTDATA("dato",'[1]evolucion mensual nacionali'!$A$4,"indicador","TOTAL","mes",11,"año",2007)</f>
        <v>4.7596382674916704E-3</v>
      </c>
      <c r="Q47" s="203">
        <f>GETPIVOTDATA("dato",'[1]evolucion mensual nacionali'!$A$4,"indicador","AUSTRIA","mes",11,"año",2007)/GETPIVOTDATA("dato",'[1]evolucion mensual nacionali'!$A$4,"indicador","TOTAL","mes",11,"año",2007)</f>
        <v>1.7980855677190756E-3</v>
      </c>
      <c r="R47" s="203">
        <f>GETPIVOTDATA("dato",'[1]evolucion mensual nacionali'!$A$4,"indicador","RUSIA","mes",11,"año",2007)/GETPIVOTDATA("dato",'[1]evolucion mensual nacionali'!$A$4,"indicador","TOTAL","mes",11,"año",2007)</f>
        <v>8.4615791422074148E-4</v>
      </c>
      <c r="S47" s="203">
        <f>GETPIVOTDATA("dato",'[1]evolucion mensual nacionali'!$A$4,"indicador","PAÍSES DEL ESTE","mes",11,"año",2007)/GETPIVOTDATA("dato",'[1]evolucion mensual nacionali'!$A$4,"indicador","TOTAL","mes",11,"año",2007)</f>
        <v>5.5529113120736159E-3</v>
      </c>
      <c r="T47" s="203">
        <f>GETPIVOTDATA("dato",'[1]evolucion mensual nacionali'!$A$4,"indicador","RESTO DE EUROPA","mes",11,"año",2007)/GETPIVOTDATA("dato",'[1]evolucion mensual nacionali'!$A$4,"indicador","TOTAL","mes",11,"año",2007)</f>
        <v>9.1490824475117666E-3</v>
      </c>
      <c r="U47" s="203">
        <f>GETPIVOTDATA("dato",'[1]evolucion mensual nacionali'!$A$4,"indicador","USA","mes",11,"año",2007)/GETPIVOTDATA("dato",'[1]evolucion mensual nacionali'!$A$4,"indicador","TOTAL","mes",11,"año",2007)</f>
        <v>4.9182928764080593E-3</v>
      </c>
      <c r="V47" s="203">
        <f>GETPIVOTDATA("dato",'[1]evolucion mensual nacionali'!$A$4,"indicador","RESTO DE AMÉRICA","mes",11,"año",2007)/GETPIVOTDATA("dato",'[1]evolucion mensual nacionali'!$A$4,"indicador","TOTAL","mes",11,"año",2007)</f>
        <v>2.9245332910254378E-2</v>
      </c>
      <c r="W47" s="203">
        <f>GETPIVOTDATA("dato",'[1]evolucion mensual nacionali'!$A$4,"indicador","RESTO DEL MUNDO","mes",11,"año",2007)/GETPIVOTDATA("dato",'[1]evolucion mensual nacionali'!$A$4,"indicador","TOTAL","mes",11,"año",2007)</f>
        <v>1.7240467502247607E-2</v>
      </c>
      <c r="X47" s="203">
        <f>(GETPIVOTDATA("dato",'[1]evolucion mensual nacionali'!$A$4,"indicador","TOTAL","mes",11,"año",2007)-GETPIVOTDATA("dato",'[1]evolucion mensual nacionali'!$A$4,"indicador","España","mes",11,"año",2007))/GETPIVOTDATA("dato",'[1]evolucion mensual nacionali'!$A$4,"indicador","TOTAL","mes",11,"año",2007)</f>
        <v>0.16404886561954624</v>
      </c>
      <c r="Y47" s="205">
        <f>GETPIVOTDATA("dato",'[1]evolucion mensual nacionali'!$A$4,"indicador","TOTAL","mes",11,"año",2007)/GETPIVOTDATA("dato",'[1]evolucion mensual nacionali'!$A$4,"indicador","TOTAL","mes",11,"año",2007)</f>
        <v>1</v>
      </c>
    </row>
    <row r="48" spans="2:25" hidden="1" outlineLevel="1">
      <c r="B48" s="51" t="s">
        <v>40</v>
      </c>
      <c r="C48" s="203">
        <f>GETPIVOTDATA("dato",'[1]evolucion mensual nacionali'!$A$4,"indicador","España","mes",10,"año",2007)/GETPIVOTDATA("dato",'[1]evolucion mensual nacionali'!$A$4,"indicador","TOTAL","mes",10,"año",2007)</f>
        <v>0.84953303355240406</v>
      </c>
      <c r="D48" s="203">
        <f>GETPIVOTDATA("dato",'[1]evolucion mensual nacionali'!$A$4,"indicador","HOLANDA","mes",10,"año",2007)/GETPIVOTDATA("dato",'[1]evolucion mensual nacionali'!$A$4,"indicador","TOTAL","mes",10,"año",2007)</f>
        <v>2.767208578346593E-3</v>
      </c>
      <c r="E48" s="203">
        <f>GETPIVOTDATA("dato",'[1]evolucion mensual nacionali'!$A$4,"indicador","BÉLGICA","mes",10,"año",2007)/GETPIVOTDATA("dato",'[1]evolucion mensual nacionali'!$A$4,"indicador","TOTAL","mes",10,"año",2007)</f>
        <v>2.1330566124754986E-3</v>
      </c>
      <c r="F48" s="203">
        <f>GETPIVOTDATA("dato",'[1]evolucion mensual nacionali'!$A$4,"indicador","ALEMANIA","mes",10,"año",2007)/GETPIVOTDATA("dato",'[1]evolucion mensual nacionali'!$A$4,"indicador","TOTAL","mes",10,"año",2007)</f>
        <v>1.9658710942003919E-2</v>
      </c>
      <c r="G48" s="203">
        <f>GETPIVOTDATA("dato",'[1]evolucion mensual nacionali'!$A$4,"indicador","FRANCIA","mes",10,"año",2007)/GETPIVOTDATA("dato",'[1]evolucion mensual nacionali'!$A$4,"indicador","TOTAL","mes",10,"año",2007)</f>
        <v>1.0377032168799724E-2</v>
      </c>
      <c r="H48" s="203">
        <f>GETPIVOTDATA("dato",'[1]evolucion mensual nacionali'!$A$4,"indicador","REINO UNIDO","mes",10,"año",2007)/GETPIVOTDATA("dato",'[1]evolucion mensual nacionali'!$A$4,"indicador","TOTAL","mes",10,"año",2007)</f>
        <v>1.4412544678888504E-2</v>
      </c>
      <c r="I48" s="203">
        <f>GETPIVOTDATA("dato",'[1]evolucion mensual nacionali'!$A$4,"indicador","IRLANDA","mes",10,"año",2007)/GETPIVOTDATA("dato",'[1]evolucion mensual nacionali'!$A$4,"indicador","TOTAL","mes",10,"año",2007)</f>
        <v>3.6319612590799033E-3</v>
      </c>
      <c r="J48" s="203">
        <f>GETPIVOTDATA("dato",'[1]evolucion mensual nacionali'!$A$4,"indicador","ITALIA","mes",10,"año",2007)/GETPIVOTDATA("dato",'[1]evolucion mensual nacionali'!$A$4,"indicador","TOTAL","mes",10,"año",2007)</f>
        <v>1.1587685921826357E-2</v>
      </c>
      <c r="K48" s="203">
        <f>(GETPIVOTDATA("dato",'[1]evolucion mensual nacionali'!$A$4,"indicador","SUECIA","mes",10,"año",2007)+GETPIVOTDATA("dato",'[1]evolucion mensual nacionali'!$A$4,"indicador","NORUEGA","mes",10,"año",2007)+GETPIVOTDATA("dato",'[1]evolucion mensual nacionali'!$A$4,"indicador","DINAMARCA","mes",10,"año",2007)+GETPIVOTDATA("dato",'[1]evolucion mensual nacionali'!$A$4,"indicador","FINLANDIA","mes",10,"año",2007))/GETPIVOTDATA("dato",'[1]evolucion mensual nacionali'!$A$4,"indicador","TOTAL","mes",10,"año",2007)</f>
        <v>1.262538913870633E-2</v>
      </c>
      <c r="L48" s="203">
        <f>GETPIVOTDATA("dato",'[1]evolucion mensual nacionali'!$A$4,"indicador","SUECIA","mes",10,"año",2007)/GETPIVOTDATA("dato",'[1]evolucion mensual nacionali'!$A$4,"indicador","TOTAL","mes",10,"año",2007)</f>
        <v>3.170759829355471E-3</v>
      </c>
      <c r="M48" s="203">
        <f>GETPIVOTDATA("dato",'[1]evolucion mensual nacionali'!$A$4,"indicador","NORUEGA","mes",10,"año",2007)/GETPIVOTDATA("dato",'[1]evolucion mensual nacionali'!$A$4,"indicador","TOTAL","mes",10,"año",2007)</f>
        <v>4.381413582382105E-3</v>
      </c>
      <c r="N48" s="203">
        <f>GETPIVOTDATA("dato",'[1]evolucion mensual nacionali'!$A$4,"indicador","DINAMARCA","mes",10,"año",2007)/GETPIVOTDATA("dato",'[1]evolucion mensual nacionali'!$A$4,"indicador","TOTAL","mes",10,"año",2007)</f>
        <v>2.5366078634843766E-3</v>
      </c>
      <c r="O48" s="203">
        <f>GETPIVOTDATA("dato",'[1]evolucion mensual nacionali'!$A$4,"indicador","FINLANDIA","mes",10,"año",2007)/GETPIVOTDATA("dato",'[1]evolucion mensual nacionali'!$A$4,"indicador","TOTAL","mes",10,"año",2007)</f>
        <v>2.5366078634843766E-3</v>
      </c>
      <c r="P48" s="203">
        <f>GETPIVOTDATA("dato",'[1]evolucion mensual nacionali'!$A$4,"indicador","SUIZA","mes",10,"año",2007)/GETPIVOTDATA("dato",'[1]evolucion mensual nacionali'!$A$4,"indicador","TOTAL","mes",10,"año",2007)</f>
        <v>5.8226680502709563E-3</v>
      </c>
      <c r="Q48" s="203">
        <f>GETPIVOTDATA("dato",'[1]evolucion mensual nacionali'!$A$4,"indicador","AUSTRIA","mes",10,"año",2007)/GETPIVOTDATA("dato",'[1]evolucion mensual nacionali'!$A$4,"indicador","TOTAL","mes",10,"año",2007)</f>
        <v>1.4412544678888504E-3</v>
      </c>
      <c r="R48" s="203">
        <f>GETPIVOTDATA("dato",'[1]evolucion mensual nacionali'!$A$4,"indicador","RUSIA","mes",10,"año",2007)/GETPIVOTDATA("dato",'[1]evolucion mensual nacionali'!$A$4,"indicador","TOTAL","mes",10,"año",2007)</f>
        <v>9.224028594488643E-4</v>
      </c>
      <c r="S48" s="203">
        <f>GETPIVOTDATA("dato",'[1]evolucion mensual nacionali'!$A$4,"indicador","PAÍSES DEL ESTE","mes",10,"año",2007)/GETPIVOTDATA("dato",'[1]evolucion mensual nacionali'!$A$4,"indicador","TOTAL","mes",10,"año",2007)</f>
        <v>5.2461662631154158E-3</v>
      </c>
      <c r="T48" s="203">
        <f>GETPIVOTDATA("dato",'[1]evolucion mensual nacionali'!$A$4,"indicador","RESTO DE EUROPA","mes",10,"año",2007)/GETPIVOTDATA("dato",'[1]evolucion mensual nacionali'!$A$4,"indicador","TOTAL","mes",10,"año",2007)</f>
        <v>6.74507090971982E-3</v>
      </c>
      <c r="U48" s="203">
        <f>GETPIVOTDATA("dato",'[1]evolucion mensual nacionali'!$A$4,"indicador","USA","mes",10,"año",2007)/GETPIVOTDATA("dato",'[1]evolucion mensual nacionali'!$A$4,"indicador","TOTAL","mes",10,"año",2007)</f>
        <v>7.0909719820131441E-3</v>
      </c>
      <c r="V48" s="203">
        <f>GETPIVOTDATA("dato",'[1]evolucion mensual nacionali'!$A$4,"indicador","RESTO DE AMÉRICA","mes",10,"año",2007)/GETPIVOTDATA("dato",'[1]evolucion mensual nacionali'!$A$4,"indicador","TOTAL","mes",10,"año",2007)</f>
        <v>2.5711979707137091E-2</v>
      </c>
      <c r="W48" s="203">
        <f>GETPIVOTDATA("dato",'[1]evolucion mensual nacionali'!$A$4,"indicador","RESTO DEL MUNDO","mes",10,"año",2007)/GETPIVOTDATA("dato",'[1]evolucion mensual nacionali'!$A$4,"indicador","TOTAL","mes",10,"año",2007)</f>
        <v>2.0292862907875013E-2</v>
      </c>
      <c r="X48" s="203">
        <f>(GETPIVOTDATA("dato",'[1]evolucion mensual nacionali'!$A$4,"indicador","TOTAL","mes",10,"año",2007)-GETPIVOTDATA("dato",'[1]evolucion mensual nacionali'!$A$4,"indicador","España","mes",10,"año",2007))/GETPIVOTDATA("dato",'[1]evolucion mensual nacionali'!$A$4,"indicador","TOTAL","mes",10,"año",2007)</f>
        <v>0.150466966447596</v>
      </c>
      <c r="Y48" s="205">
        <f>GETPIVOTDATA("dato",'[1]evolucion mensual nacionali'!$A$4,"indicador","TOTAL","mes",10,"año",2007)/GETPIVOTDATA("dato",'[1]evolucion mensual nacionali'!$A$4,"indicador","TOTAL","mes",10,"año",2007)</f>
        <v>1</v>
      </c>
    </row>
    <row r="49" spans="2:25" hidden="1" outlineLevel="1">
      <c r="B49" s="51" t="s">
        <v>41</v>
      </c>
      <c r="C49" s="203">
        <f>GETPIVOTDATA("dato",'[1]evolucion mensual nacionali'!$A$4,"indicador","España","mes",9,"año",2007)/GETPIVOTDATA("dato",'[1]evolucion mensual nacionali'!$A$4,"indicador","TOTAL","mes",9,"año",2007)</f>
        <v>0.85773195876288655</v>
      </c>
      <c r="D49" s="203">
        <f>GETPIVOTDATA("dato",'[1]evolucion mensual nacionali'!$A$4,"indicador","HOLANDA","mes",9,"año",2007)/GETPIVOTDATA("dato",'[1]evolucion mensual nacionali'!$A$4,"indicador","TOTAL","mes",9,"año",2007)</f>
        <v>3.0572342694632063E-3</v>
      </c>
      <c r="E49" s="203">
        <f>GETPIVOTDATA("dato",'[1]evolucion mensual nacionali'!$A$4,"indicador","BÉLGICA","mes",9,"año",2007)/GETPIVOTDATA("dato",'[1]evolucion mensual nacionali'!$A$4,"indicador","TOTAL","mes",9,"año",2007)</f>
        <v>3.0572342694632063E-3</v>
      </c>
      <c r="F49" s="203">
        <f>GETPIVOTDATA("dato",'[1]evolucion mensual nacionali'!$A$4,"indicador","ALEMANIA","mes",9,"año",2007)/GETPIVOTDATA("dato",'[1]evolucion mensual nacionali'!$A$4,"indicador","TOTAL","mes",9,"año",2007)</f>
        <v>1.4788482047635975E-2</v>
      </c>
      <c r="G49" s="203">
        <f>GETPIVOTDATA("dato",'[1]evolucion mensual nacionali'!$A$4,"indicador","FRANCIA","mes",9,"año",2007)/GETPIVOTDATA("dato",'[1]evolucion mensual nacionali'!$A$4,"indicador","TOTAL","mes",9,"año",2007)</f>
        <v>9.8826875222182715E-3</v>
      </c>
      <c r="H49" s="203">
        <f>GETPIVOTDATA("dato",'[1]evolucion mensual nacionali'!$A$4,"indicador","REINO UNIDO","mes",9,"año",2007)/GETPIVOTDATA("dato",'[1]evolucion mensual nacionali'!$A$4,"indicador","TOTAL","mes",9,"año",2007)</f>
        <v>1.3224315677212941E-2</v>
      </c>
      <c r="I49" s="203">
        <f>GETPIVOTDATA("dato",'[1]evolucion mensual nacionali'!$A$4,"indicador","IRLANDA","mes",9,"año",2007)/GETPIVOTDATA("dato",'[1]evolucion mensual nacionali'!$A$4,"indicador","TOTAL","mes",9,"año",2007)</f>
        <v>3.2705296836118025E-3</v>
      </c>
      <c r="J49" s="203">
        <f>GETPIVOTDATA("dato",'[1]evolucion mensual nacionali'!$A$4,"indicador","ITALIA","mes",9,"año",2007)/GETPIVOTDATA("dato",'[1]evolucion mensual nacionali'!$A$4,"indicador","TOTAL","mes",9,"año",2007)</f>
        <v>1.429079274795592E-2</v>
      </c>
      <c r="K49" s="203">
        <f>(GETPIVOTDATA("dato",'[1]evolucion mensual nacionali'!$A$4,"indicador","SUECIA","mes",9,"año",2007)+GETPIVOTDATA("dato",'[1]evolucion mensual nacionali'!$A$4,"indicador","NORUEGA","mes",9,"año",2007)+GETPIVOTDATA("dato",'[1]evolucion mensual nacionali'!$A$4,"indicador","DINAMARCA","mes",9,"año",2007)+GETPIVOTDATA("dato",'[1]evolucion mensual nacionali'!$A$4,"indicador","FINLANDIA","mes",9,"año",2007))/GETPIVOTDATA("dato",'[1]evolucion mensual nacionali'!$A$4,"indicador","TOTAL","mes",9,"año",2007)</f>
        <v>4.8346960540348385E-3</v>
      </c>
      <c r="L49" s="203">
        <f>GETPIVOTDATA("dato",'[1]evolucion mensual nacionali'!$A$4,"indicador","SUECIA","mes",9,"año",2007)/GETPIVOTDATA("dato",'[1]evolucion mensual nacionali'!$A$4,"indicador","TOTAL","mes",9,"año",2007)</f>
        <v>1.2797724848915748E-3</v>
      </c>
      <c r="M49" s="203">
        <f>GETPIVOTDATA("dato",'[1]evolucion mensual nacionali'!$A$4,"indicador","NORUEGA","mes",9,"año",2007)/GETPIVOTDATA("dato",'[1]evolucion mensual nacionali'!$A$4,"indicador","TOTAL","mes",9,"año",2007)</f>
        <v>9.9537859936011373E-4</v>
      </c>
      <c r="N49" s="203">
        <f>GETPIVOTDATA("dato",'[1]evolucion mensual nacionali'!$A$4,"indicador","DINAMARCA","mes",9,"año",2007)/GETPIVOTDATA("dato",'[1]evolucion mensual nacionali'!$A$4,"indicador","TOTAL","mes",9,"año",2007)</f>
        <v>4.9768929968005686E-4</v>
      </c>
      <c r="O49" s="203">
        <f>GETPIVOTDATA("dato",'[1]evolucion mensual nacionali'!$A$4,"indicador","FINLANDIA","mes",9,"año",2007)/GETPIVOTDATA("dato",'[1]evolucion mensual nacionali'!$A$4,"indicador","TOTAL","mes",9,"año",2007)</f>
        <v>2.0618556701030928E-3</v>
      </c>
      <c r="P49" s="203">
        <f>GETPIVOTDATA("dato",'[1]evolucion mensual nacionali'!$A$4,"indicador","SUIZA","mes",9,"año",2007)/GETPIVOTDATA("dato",'[1]evolucion mensual nacionali'!$A$4,"indicador","TOTAL","mes",9,"año",2007)</f>
        <v>1.7774617845716318E-3</v>
      </c>
      <c r="Q49" s="203">
        <f>GETPIVOTDATA("dato",'[1]evolucion mensual nacionali'!$A$4,"indicador","AUSTRIA","mes",9,"año",2007)/GETPIVOTDATA("dato",'[1]evolucion mensual nacionali'!$A$4,"indicador","TOTAL","mes",9,"año",2007)</f>
        <v>1.4219694276573053E-3</v>
      </c>
      <c r="R49" s="203">
        <f>GETPIVOTDATA("dato",'[1]evolucion mensual nacionali'!$A$4,"indicador","RUSIA","mes",9,"año",2007)/GETPIVOTDATA("dato",'[1]evolucion mensual nacionali'!$A$4,"indicador","TOTAL","mes",9,"año",2007)</f>
        <v>7.8208318521151793E-4</v>
      </c>
      <c r="S49" s="203">
        <f>GETPIVOTDATA("dato",'[1]evolucion mensual nacionali'!$A$4,"indicador","PAÍSES DEL ESTE","mes",9,"año",2007)/GETPIVOTDATA("dato",'[1]evolucion mensual nacionali'!$A$4,"indicador","TOTAL","mes",9,"año",2007)</f>
        <v>6.7543547813722002E-3</v>
      </c>
      <c r="T49" s="203">
        <f>GETPIVOTDATA("dato",'[1]evolucion mensual nacionali'!$A$4,"indicador","RESTO DE EUROPA","mes",9,"año",2007)/GETPIVOTDATA("dato",'[1]evolucion mensual nacionali'!$A$4,"indicador","TOTAL","mes",9,"año",2007)</f>
        <v>6.7543547813722002E-3</v>
      </c>
      <c r="U49" s="203">
        <f>GETPIVOTDATA("dato",'[1]evolucion mensual nacionali'!$A$4,"indicador","USA","mes",9,"año",2007)/GETPIVOTDATA("dato",'[1]evolucion mensual nacionali'!$A$4,"indicador","TOTAL","mes",9,"año",2007)</f>
        <v>5.9722715961606828E-3</v>
      </c>
      <c r="V49" s="203">
        <f>GETPIVOTDATA("dato",'[1]evolucion mensual nacionali'!$A$4,"indicador","RESTO DE AMÉRICA","mes",9,"año",2007)/GETPIVOTDATA("dato",'[1]evolucion mensual nacionali'!$A$4,"indicador","TOTAL","mes",9,"año",2007)</f>
        <v>2.616423746889442E-2</v>
      </c>
      <c r="W49" s="203">
        <f>GETPIVOTDATA("dato",'[1]evolucion mensual nacionali'!$A$4,"indicador","RESTO DEL MUNDO","mes",9,"año",2007)/GETPIVOTDATA("dato",'[1]evolucion mensual nacionali'!$A$4,"indicador","TOTAL","mes",9,"año",2007)</f>
        <v>2.6235335940277285E-2</v>
      </c>
      <c r="X49" s="203">
        <f>(GETPIVOTDATA("dato",'[1]evolucion mensual nacionali'!$A$4,"indicador","TOTAL","mes",9,"año",2007)-GETPIVOTDATA("dato",'[1]evolucion mensual nacionali'!$A$4,"indicador","España","mes",9,"año",2007))/GETPIVOTDATA("dato",'[1]evolucion mensual nacionali'!$A$4,"indicador","TOTAL","mes",9,"año",2007)</f>
        <v>0.1422680412371134</v>
      </c>
      <c r="Y49" s="205">
        <f>GETPIVOTDATA("dato",'[1]evolucion mensual nacionali'!$A$4,"indicador","TOTAL","mes",9,"año",2007)/GETPIVOTDATA("dato",'[1]evolucion mensual nacionali'!$A$4,"indicador","TOTAL","mes",9,"año",2007)</f>
        <v>1</v>
      </c>
    </row>
    <row r="50" spans="2:25" hidden="1" outlineLevel="1">
      <c r="B50" s="51" t="s">
        <v>42</v>
      </c>
      <c r="C50" s="203">
        <f>GETPIVOTDATA("dato",'[1]evolucion mensual nacionali'!$A$4,"indicador","España","mes",8,"año",2007)/GETPIVOTDATA("dato",'[1]evolucion mensual nacionali'!$A$4,"indicador","TOTAL","mes",8,"año",2007)</f>
        <v>0.82090899969900677</v>
      </c>
      <c r="D50" s="203">
        <f>GETPIVOTDATA("dato",'[1]evolucion mensual nacionali'!$A$4,"indicador","HOLANDA","mes",8,"año",2007)/GETPIVOTDATA("dato",'[1]evolucion mensual nacionali'!$A$4,"indicador","TOTAL","mes",8,"año",2007)</f>
        <v>2.2072840373231666E-3</v>
      </c>
      <c r="E50" s="203">
        <f>GETPIVOTDATA("dato",'[1]evolucion mensual nacionali'!$A$4,"indicador","BÉLGICA","mes",8,"año",2007)/GETPIVOTDATA("dato",'[1]evolucion mensual nacionali'!$A$4,"indicador","TOTAL","mes",8,"año",2007)</f>
        <v>7.0231764823918937E-4</v>
      </c>
      <c r="F50" s="203">
        <f>GETPIVOTDATA("dato",'[1]evolucion mensual nacionali'!$A$4,"indicador","ALEMANIA","mes",8,"año",2007)/GETPIVOTDATA("dato",'[1]evolucion mensual nacionali'!$A$4,"indicador","TOTAL","mes",8,"año",2007)</f>
        <v>1.514999498344537E-2</v>
      </c>
      <c r="G50" s="203">
        <f>GETPIVOTDATA("dato",'[1]evolucion mensual nacionali'!$A$4,"indicador","FRANCIA","mes",8,"año",2007)/GETPIVOTDATA("dato",'[1]evolucion mensual nacionali'!$A$4,"indicador","TOTAL","mes",8,"año",2007)</f>
        <v>2.3778468947526839E-2</v>
      </c>
      <c r="H50" s="203">
        <f>GETPIVOTDATA("dato",'[1]evolucion mensual nacionali'!$A$4,"indicador","REINO UNIDO","mes",8,"año",2007)/GETPIVOTDATA("dato",'[1]evolucion mensual nacionali'!$A$4,"indicador","TOTAL","mes",8,"año",2007)</f>
        <v>9.8324470753486503E-3</v>
      </c>
      <c r="I50" s="203">
        <f>GETPIVOTDATA("dato",'[1]evolucion mensual nacionali'!$A$4,"indicador","IRLANDA","mes",8,"año",2007)/GETPIVOTDATA("dato",'[1]evolucion mensual nacionali'!$A$4,"indicador","TOTAL","mes",8,"año",2007)</f>
        <v>4.3142369820407343E-3</v>
      </c>
      <c r="J50" s="203">
        <f>GETPIVOTDATA("dato",'[1]evolucion mensual nacionali'!$A$4,"indicador","ITALIA","mes",8,"año",2007)/GETPIVOTDATA("dato",'[1]evolucion mensual nacionali'!$A$4,"indicador","TOTAL","mes",8,"año",2007)</f>
        <v>2.698906391090599E-2</v>
      </c>
      <c r="K50" s="203">
        <f>(GETPIVOTDATA("dato",'[1]evolucion mensual nacionali'!$A$4,"indicador","SUECIA","mes",8,"año",2007)+GETPIVOTDATA("dato",'[1]evolucion mensual nacionali'!$A$4,"indicador","NORUEGA","mes",8,"año",2007)+GETPIVOTDATA("dato",'[1]evolucion mensual nacionali'!$A$4,"indicador","DINAMARCA","mes",8,"año",2007)+GETPIVOTDATA("dato",'[1]evolucion mensual nacionali'!$A$4,"indicador","FINLANDIA","mes",8,"año",2007))/GETPIVOTDATA("dato",'[1]evolucion mensual nacionali'!$A$4,"indicador","TOTAL","mes",8,"año",2007)</f>
        <v>1.0033109260559848E-2</v>
      </c>
      <c r="L50" s="203">
        <f>GETPIVOTDATA("dato",'[1]evolucion mensual nacionali'!$A$4,"indicador","SUECIA","mes",8,"año",2007)/GETPIVOTDATA("dato",'[1]evolucion mensual nacionali'!$A$4,"indicador","TOTAL","mes",8,"año",2007)</f>
        <v>5.0165546302799241E-4</v>
      </c>
      <c r="M50" s="203">
        <f>GETPIVOTDATA("dato",'[1]evolucion mensual nacionali'!$A$4,"indicador","NORUEGA","mes",8,"año",2007)/GETPIVOTDATA("dato",'[1]evolucion mensual nacionali'!$A$4,"indicador","TOTAL","mes",8,"año",2007)</f>
        <v>8.0264874084478785E-4</v>
      </c>
      <c r="N50" s="203">
        <f>GETPIVOTDATA("dato",'[1]evolucion mensual nacionali'!$A$4,"indicador","DINAMARCA","mes",8,"año",2007)/GETPIVOTDATA("dato",'[1]evolucion mensual nacionali'!$A$4,"indicador","TOTAL","mes",8,"año",2007)</f>
        <v>7.5248319454198857E-3</v>
      </c>
      <c r="O50" s="203">
        <f>GETPIVOTDATA("dato",'[1]evolucion mensual nacionali'!$A$4,"indicador","FINLANDIA","mes",8,"año",2007)/GETPIVOTDATA("dato",'[1]evolucion mensual nacionali'!$A$4,"indicador","TOTAL","mes",8,"año",2007)</f>
        <v>1.2039731112671818E-3</v>
      </c>
      <c r="P50" s="203">
        <f>GETPIVOTDATA("dato",'[1]evolucion mensual nacionali'!$A$4,"indicador","SUIZA","mes",8,"año",2007)/GETPIVOTDATA("dato",'[1]evolucion mensual nacionali'!$A$4,"indicador","TOTAL","mes",8,"año",2007)</f>
        <v>1.6052974816895757E-3</v>
      </c>
      <c r="Q50" s="203">
        <f>GETPIVOTDATA("dato",'[1]evolucion mensual nacionali'!$A$4,"indicador","AUSTRIA","mes",8,"año",2007)/GETPIVOTDATA("dato",'[1]evolucion mensual nacionali'!$A$4,"indicador","TOTAL","mes",8,"año",2007)</f>
        <v>2.0066218521119696E-3</v>
      </c>
      <c r="R50" s="203">
        <f>GETPIVOTDATA("dato",'[1]evolucion mensual nacionali'!$A$4,"indicador","RUSIA","mes",8,"año",2007)/GETPIVOTDATA("dato",'[1]evolucion mensual nacionali'!$A$4,"indicador","TOTAL","mes",8,"año",2007)</f>
        <v>1.8059596669007724E-3</v>
      </c>
      <c r="S50" s="203">
        <f>GETPIVOTDATA("dato",'[1]evolucion mensual nacionali'!$A$4,"indicador","PAÍSES DEL ESTE","mes",8,"año",2007)/GETPIVOTDATA("dato",'[1]evolucion mensual nacionali'!$A$4,"indicador","TOTAL","mes",8,"año",2007)</f>
        <v>6.2205277415471058E-3</v>
      </c>
      <c r="T50" s="203">
        <f>GETPIVOTDATA("dato",'[1]evolucion mensual nacionali'!$A$4,"indicador","RESTO DE EUROPA","mes",8,"año",2007)/GETPIVOTDATA("dato",'[1]evolucion mensual nacionali'!$A$4,"indicador","TOTAL","mes",8,"año",2007)</f>
        <v>1.4548008427811778E-2</v>
      </c>
      <c r="U50" s="203">
        <f>GETPIVOTDATA("dato",'[1]evolucion mensual nacionali'!$A$4,"indicador","USA","mes",8,"año",2007)/GETPIVOTDATA("dato",'[1]evolucion mensual nacionali'!$A$4,"indicador","TOTAL","mes",8,"año",2007)</f>
        <v>7.4245008528142867E-3</v>
      </c>
      <c r="V50" s="203">
        <f>GETPIVOTDATA("dato",'[1]evolucion mensual nacionali'!$A$4,"indicador","RESTO DE AMÉRICA","mes",8,"año",2007)/GETPIVOTDATA("dato",'[1]evolucion mensual nacionali'!$A$4,"indicador","TOTAL","mes",8,"año",2007)</f>
        <v>3.2507274004213903E-2</v>
      </c>
      <c r="W50" s="203">
        <f>GETPIVOTDATA("dato",'[1]evolucion mensual nacionali'!$A$4,"indicador","RESTO DEL MUNDO","mes",8,"año",2007)/GETPIVOTDATA("dato",'[1]evolucion mensual nacionali'!$A$4,"indicador","TOTAL","mes",8,"año",2007)</f>
        <v>1.9965887428514097E-2</v>
      </c>
      <c r="X50" s="203">
        <f>(GETPIVOTDATA("dato",'[1]evolucion mensual nacionali'!$A$4,"indicador","TOTAL","mes",8,"año",2007)-GETPIVOTDATA("dato",'[1]evolucion mensual nacionali'!$A$4,"indicador","España","mes",8,"año",2007))/GETPIVOTDATA("dato",'[1]evolucion mensual nacionali'!$A$4,"indicador","TOTAL","mes",8,"año",2007)</f>
        <v>0.17909100030099329</v>
      </c>
      <c r="Y50" s="205">
        <f>GETPIVOTDATA("dato",'[1]evolucion mensual nacionali'!$A$4,"indicador","TOTAL","mes",8,"año",2007)/GETPIVOTDATA("dato",'[1]evolucion mensual nacionali'!$A$4,"indicador","TOTAL","mes",8,"año",2007)</f>
        <v>1</v>
      </c>
    </row>
    <row r="51" spans="2:25" hidden="1" outlineLevel="1">
      <c r="B51" s="51" t="s">
        <v>43</v>
      </c>
      <c r="C51" s="203">
        <f>GETPIVOTDATA("dato",'[1]evolucion mensual nacionali'!$A$4,"indicador","España","mes",7,"año",2007)/GETPIVOTDATA("dato",'[1]evolucion mensual nacionali'!$A$4,"indicador","TOTAL","mes",7,"año",2007)</f>
        <v>0.8860724233983287</v>
      </c>
      <c r="D51" s="203">
        <f>GETPIVOTDATA("dato",'[1]evolucion mensual nacionali'!$A$4,"indicador","HOLANDA","mes",7,"año",2007)/GETPIVOTDATA("dato",'[1]evolucion mensual nacionali'!$A$4,"indicador","TOTAL","mes",7,"año",2007)</f>
        <v>2.0891364902506965E-3</v>
      </c>
      <c r="E51" s="203">
        <f>GETPIVOTDATA("dato",'[1]evolucion mensual nacionali'!$A$4,"indicador","BÉLGICA","mes",7,"año",2007)/GETPIVOTDATA("dato",'[1]evolucion mensual nacionali'!$A$4,"indicador","TOTAL","mes",7,"año",2007)</f>
        <v>2.3676880222841226E-3</v>
      </c>
      <c r="F51" s="203">
        <f>GETPIVOTDATA("dato",'[1]evolucion mensual nacionali'!$A$4,"indicador","ALEMANIA","mes",7,"año",2007)/GETPIVOTDATA("dato",'[1]evolucion mensual nacionali'!$A$4,"indicador","TOTAL","mes",7,"año",2007)</f>
        <v>1.2116991643454039E-2</v>
      </c>
      <c r="G51" s="203">
        <f>GETPIVOTDATA("dato",'[1]evolucion mensual nacionali'!$A$4,"indicador","FRANCIA","mes",7,"año",2007)/GETPIVOTDATA("dato",'[1]evolucion mensual nacionali'!$A$4,"indicador","TOTAL","mes",7,"año",2007)</f>
        <v>9.401114206128134E-3</v>
      </c>
      <c r="H51" s="203">
        <f>GETPIVOTDATA("dato",'[1]evolucion mensual nacionali'!$A$4,"indicador","REINO UNIDO","mes",7,"año",2007)/GETPIVOTDATA("dato",'[1]evolucion mensual nacionali'!$A$4,"indicador","TOTAL","mes",7,"año",2007)</f>
        <v>1.0376044568245125E-2</v>
      </c>
      <c r="I51" s="203">
        <f>GETPIVOTDATA("dato",'[1]evolucion mensual nacionali'!$A$4,"indicador","IRLANDA","mes",7,"año",2007)/GETPIVOTDATA("dato",'[1]evolucion mensual nacionali'!$A$4,"indicador","TOTAL","mes",7,"año",2007)</f>
        <v>2.5766016713091922E-3</v>
      </c>
      <c r="J51" s="203">
        <f>GETPIVOTDATA("dato",'[1]evolucion mensual nacionali'!$A$4,"indicador","ITALIA","mes",7,"año",2007)/GETPIVOTDATA("dato",'[1]evolucion mensual nacionali'!$A$4,"indicador","TOTAL","mes",7,"año",2007)</f>
        <v>1.2883008356545961E-2</v>
      </c>
      <c r="K51" s="203">
        <f>(GETPIVOTDATA("dato",'[1]evolucion mensual nacionali'!$A$4,"indicador","SUECIA","mes",7,"año",2007)+GETPIVOTDATA("dato",'[1]evolucion mensual nacionali'!$A$4,"indicador","NORUEGA","mes",7,"año",2007)+GETPIVOTDATA("dato",'[1]evolucion mensual nacionali'!$A$4,"indicador","DINAMARCA","mes",7,"año",2007)+GETPIVOTDATA("dato",'[1]evolucion mensual nacionali'!$A$4,"indicador","FINLANDIA","mes",7,"año",2007))/GETPIVOTDATA("dato",'[1]evolucion mensual nacionali'!$A$4,"indicador","TOTAL","mes",7,"año",2007)</f>
        <v>3.3426183844011141E-3</v>
      </c>
      <c r="L51" s="203">
        <f>GETPIVOTDATA("dato",'[1]evolucion mensual nacionali'!$A$4,"indicador","SUECIA","mes",7,"año",2007)/GETPIVOTDATA("dato",'[1]evolucion mensual nacionali'!$A$4,"indicador","TOTAL","mes",7,"año",2007)</f>
        <v>6.9637883008356546E-4</v>
      </c>
      <c r="M51" s="203">
        <f>GETPIVOTDATA("dato",'[1]evolucion mensual nacionali'!$A$4,"indicador","NORUEGA","mes",7,"año",2007)/GETPIVOTDATA("dato",'[1]evolucion mensual nacionali'!$A$4,"indicador","TOTAL","mes",7,"año",2007)</f>
        <v>1.4623955431754875E-3</v>
      </c>
      <c r="N51" s="203">
        <f>GETPIVOTDATA("dato",'[1]evolucion mensual nacionali'!$A$4,"indicador","DINAMARCA","mes",7,"año",2007)/GETPIVOTDATA("dato",'[1]evolucion mensual nacionali'!$A$4,"indicador","TOTAL","mes",7,"año",2007)</f>
        <v>3.4818941504178273E-4</v>
      </c>
      <c r="O51" s="203">
        <f>GETPIVOTDATA("dato",'[1]evolucion mensual nacionali'!$A$4,"indicador","FINLANDIA","mes",7,"año",2007)/GETPIVOTDATA("dato",'[1]evolucion mensual nacionali'!$A$4,"indicador","TOTAL","mes",7,"año",2007)</f>
        <v>8.3565459610027853E-4</v>
      </c>
      <c r="P51" s="203">
        <f>GETPIVOTDATA("dato",'[1]evolucion mensual nacionali'!$A$4,"indicador","SUIZA","mes",7,"año",2007)/GETPIVOTDATA("dato",'[1]evolucion mensual nacionali'!$A$4,"indicador","TOTAL","mes",7,"año",2007)</f>
        <v>8.3565459610027853E-4</v>
      </c>
      <c r="Q51" s="203">
        <f>GETPIVOTDATA("dato",'[1]evolucion mensual nacionali'!$A$4,"indicador","AUSTRIA","mes",7,"año",2007)/GETPIVOTDATA("dato",'[1]evolucion mensual nacionali'!$A$4,"indicador","TOTAL","mes",7,"año",2007)</f>
        <v>1.6016713091922005E-3</v>
      </c>
      <c r="R51" s="203">
        <f>GETPIVOTDATA("dato",'[1]evolucion mensual nacionali'!$A$4,"indicador","RUSIA","mes",7,"año",2007)/GETPIVOTDATA("dato",'[1]evolucion mensual nacionali'!$A$4,"indicador","TOTAL","mes",7,"año",2007)</f>
        <v>5.5710306406685239E-4</v>
      </c>
      <c r="S51" s="203">
        <f>GETPIVOTDATA("dato",'[1]evolucion mensual nacionali'!$A$4,"indicador","PAÍSES DEL ESTE","mes",7,"año",2007)/GETPIVOTDATA("dato",'[1]evolucion mensual nacionali'!$A$4,"indicador","TOTAL","mes",7,"año",2007)</f>
        <v>5.5013927576601672E-3</v>
      </c>
      <c r="T51" s="203">
        <f>GETPIVOTDATA("dato",'[1]evolucion mensual nacionali'!$A$4,"indicador","RESTO DE EUROPA","mes",7,"año",2007)/GETPIVOTDATA("dato",'[1]evolucion mensual nacionali'!$A$4,"indicador","TOTAL","mes",7,"año",2007)</f>
        <v>1.0236768802228412E-2</v>
      </c>
      <c r="U51" s="203">
        <f>GETPIVOTDATA("dato",'[1]evolucion mensual nacionali'!$A$4,"indicador","USA","mes",7,"año",2007)/GETPIVOTDATA("dato",'[1]evolucion mensual nacionali'!$A$4,"indicador","TOTAL","mes",7,"año",2007)</f>
        <v>4.178272980501393E-3</v>
      </c>
      <c r="V51" s="203">
        <f>GETPIVOTDATA("dato",'[1]evolucion mensual nacionali'!$A$4,"indicador","RESTO DE AMÉRICA","mes",7,"año",2007)/GETPIVOTDATA("dato",'[1]evolucion mensual nacionali'!$A$4,"indicador","TOTAL","mes",7,"año",2007)</f>
        <v>2.5626740947075208E-2</v>
      </c>
      <c r="W51" s="203">
        <f>GETPIVOTDATA("dato",'[1]evolucion mensual nacionali'!$A$4,"indicador","RESTO DEL MUNDO","mes",7,"año",2007)/GETPIVOTDATA("dato",'[1]evolucion mensual nacionali'!$A$4,"indicador","TOTAL","mes",7,"año",2007)</f>
        <v>1.0236768802228412E-2</v>
      </c>
      <c r="X51" s="203">
        <f>(GETPIVOTDATA("dato",'[1]evolucion mensual nacionali'!$A$4,"indicador","TOTAL","mes",7,"año",2007)-GETPIVOTDATA("dato",'[1]evolucion mensual nacionali'!$A$4,"indicador","España","mes",7,"año",2007))/GETPIVOTDATA("dato",'[1]evolucion mensual nacionali'!$A$4,"indicador","TOTAL","mes",7,"año",2007)</f>
        <v>0.11392757660167131</v>
      </c>
      <c r="Y51" s="205">
        <f>GETPIVOTDATA("dato",'[1]evolucion mensual nacionali'!$A$4,"indicador","TOTAL","mes",7,"año",2007)/GETPIVOTDATA("dato",'[1]evolucion mensual nacionali'!$A$4,"indicador","TOTAL","mes",7,"año",2007)</f>
        <v>1</v>
      </c>
    </row>
    <row r="52" spans="2:25" hidden="1" outlineLevel="1">
      <c r="B52" s="51" t="s">
        <v>44</v>
      </c>
      <c r="C52" s="203">
        <f>GETPIVOTDATA("dato",'[1]evolucion mensual nacionali'!$A$4,"indicador","España","mes",6,"año",2007)/GETPIVOTDATA("dato",'[1]evolucion mensual nacionali'!$A$4,"indicador","TOTAL","mes",6,"año",2007)</f>
        <v>0.90562599650747855</v>
      </c>
      <c r="D52" s="203">
        <f>GETPIVOTDATA("dato",'[1]evolucion mensual nacionali'!$A$4,"indicador","HOLANDA","mes",6,"año",2007)/GETPIVOTDATA("dato",'[1]evolucion mensual nacionali'!$A$4,"indicador","TOTAL","mes",6,"año",2007)</f>
        <v>3.7962189659099537E-4</v>
      </c>
      <c r="E52" s="203">
        <f>GETPIVOTDATA("dato",'[1]evolucion mensual nacionali'!$A$4,"indicador","BÉLGICA","mes",6,"año",2007)/GETPIVOTDATA("dato",'[1]evolucion mensual nacionali'!$A$4,"indicador","TOTAL","mes",6,"año",2007)</f>
        <v>1.1388656897729861E-3</v>
      </c>
      <c r="F52" s="203">
        <f>GETPIVOTDATA("dato",'[1]evolucion mensual nacionali'!$A$4,"indicador","ALEMANIA","mes",6,"año",2007)/GETPIVOTDATA("dato",'[1]evolucion mensual nacionali'!$A$4,"indicador","TOTAL","mes",6,"año",2007)</f>
        <v>1.146458127704806E-2</v>
      </c>
      <c r="G52" s="203">
        <f>GETPIVOTDATA("dato",'[1]evolucion mensual nacionali'!$A$4,"indicador","FRANCIA","mes",6,"año",2007)/GETPIVOTDATA("dato",'[1]evolucion mensual nacionali'!$A$4,"indicador","TOTAL","mes",6,"año",2007)</f>
        <v>7.7442866904563054E-3</v>
      </c>
      <c r="H52" s="203">
        <f>GETPIVOTDATA("dato",'[1]evolucion mensual nacionali'!$A$4,"indicador","REINO UNIDO","mes",6,"año",2007)/GETPIVOTDATA("dato",'[1]evolucion mensual nacionali'!$A$4,"indicador","TOTAL","mes",6,"año",2007)</f>
        <v>6.6054210006833191E-3</v>
      </c>
      <c r="I52" s="203">
        <f>GETPIVOTDATA("dato",'[1]evolucion mensual nacionali'!$A$4,"indicador","IRLANDA","mes",6,"año",2007)/GETPIVOTDATA("dato",'[1]evolucion mensual nacionali'!$A$4,"indicador","TOTAL","mes",6,"año",2007)</f>
        <v>2.5055045175005693E-3</v>
      </c>
      <c r="J52" s="203">
        <f>GETPIVOTDATA("dato",'[1]evolucion mensual nacionali'!$A$4,"indicador","ITALIA","mes",6,"año",2007)/GETPIVOTDATA("dato",'[1]evolucion mensual nacionali'!$A$4,"indicador","TOTAL","mes",6,"año",2007)</f>
        <v>9.3386986561384867E-3</v>
      </c>
      <c r="K52" s="203">
        <f>(GETPIVOTDATA("dato",'[1]evolucion mensual nacionali'!$A$4,"indicador","SUECIA","mes",6,"año",2007)+GETPIVOTDATA("dato",'[1]evolucion mensual nacionali'!$A$4,"indicador","NORUEGA","mes",6,"año",2007)+GETPIVOTDATA("dato",'[1]evolucion mensual nacionali'!$A$4,"indicador","DINAMARCA","mes",6,"año",2007)+GETPIVOTDATA("dato",'[1]evolucion mensual nacionali'!$A$4,"indicador","FINLANDIA","mes",6,"año",2007))/GETPIVOTDATA("dato",'[1]evolucion mensual nacionali'!$A$4,"indicador","TOTAL","mes",6,"año",2007)</f>
        <v>2.7332776554551668E-3</v>
      </c>
      <c r="L52" s="203">
        <f>GETPIVOTDATA("dato",'[1]evolucion mensual nacionali'!$A$4,"indicador","SUECIA","mes",6,"año",2007)/GETPIVOTDATA("dato",'[1]evolucion mensual nacionali'!$A$4,"indicador","TOTAL","mes",6,"año",2007)</f>
        <v>9.8701693113658804E-4</v>
      </c>
      <c r="M52" s="203">
        <f>GETPIVOTDATA("dato",'[1]evolucion mensual nacionali'!$A$4,"indicador","NORUEGA","mes",6,"año",2007)/GETPIVOTDATA("dato",'[1]evolucion mensual nacionali'!$A$4,"indicador","TOTAL","mes",6,"año",2007)</f>
        <v>1.2147900690911851E-3</v>
      </c>
      <c r="N52" s="203">
        <f>GETPIVOTDATA("dato",'[1]evolucion mensual nacionali'!$A$4,"indicador","DINAMARCA","mes",6,"año",2007)/GETPIVOTDATA("dato",'[1]evolucion mensual nacionali'!$A$4,"indicador","TOTAL","mes",6,"año",2007)</f>
        <v>3.7962189659099537E-4</v>
      </c>
      <c r="O52" s="203">
        <f>GETPIVOTDATA("dato",'[1]evolucion mensual nacionali'!$A$4,"indicador","FINLANDIA","mes",6,"año",2007)/GETPIVOTDATA("dato",'[1]evolucion mensual nacionali'!$A$4,"indicador","TOTAL","mes",6,"año",2007)</f>
        <v>1.5184875863639814E-4</v>
      </c>
      <c r="P52" s="203">
        <f>GETPIVOTDATA("dato",'[1]evolucion mensual nacionali'!$A$4,"indicador","SUIZA","mes",6,"año",2007)/GETPIVOTDATA("dato",'[1]evolucion mensual nacionali'!$A$4,"indicador","TOTAL","mes",6,"año",2007)</f>
        <v>9.110925518183889E-4</v>
      </c>
      <c r="Q52" s="203">
        <f>GETPIVOTDATA("dato",'[1]evolucion mensual nacionali'!$A$4,"indicador","AUSTRIA","mes",6,"año",2007)/GETPIVOTDATA("dato",'[1]evolucion mensual nacionali'!$A$4,"indicador","TOTAL","mes",6,"año",2007)</f>
        <v>1.0629413104547871E-3</v>
      </c>
      <c r="R52" s="203">
        <f>GETPIVOTDATA("dato",'[1]evolucion mensual nacionali'!$A$4,"indicador","RUSIA","mes",6,"año",2007)/GETPIVOTDATA("dato",'[1]evolucion mensual nacionali'!$A$4,"indicador","TOTAL","mes",6,"año",2007)</f>
        <v>1.5184875863639814E-4</v>
      </c>
      <c r="S52" s="203">
        <f>GETPIVOTDATA("dato",'[1]evolucion mensual nacionali'!$A$4,"indicador","PAÍSES DEL ESTE","mes",6,"año",2007)/GETPIVOTDATA("dato",'[1]evolucion mensual nacionali'!$A$4,"indicador","TOTAL","mes",6,"año",2007)</f>
        <v>4.9350846556829395E-3</v>
      </c>
      <c r="T52" s="203">
        <f>GETPIVOTDATA("dato",'[1]evolucion mensual nacionali'!$A$4,"indicador","RESTO DE EUROPA","mes",6,"año",2007)/GETPIVOTDATA("dato",'[1]evolucion mensual nacionali'!$A$4,"indicador","TOTAL","mes",6,"año",2007)</f>
        <v>9.1109255181838888E-3</v>
      </c>
      <c r="U52" s="203">
        <f>GETPIVOTDATA("dato",'[1]evolucion mensual nacionali'!$A$4,"indicador","USA","mes",6,"año",2007)/GETPIVOTDATA("dato",'[1]evolucion mensual nacionali'!$A$4,"indicador","TOTAL","mes",6,"año",2007)</f>
        <v>2.8851264140915649E-3</v>
      </c>
      <c r="V52" s="203">
        <f>GETPIVOTDATA("dato",'[1]evolucion mensual nacionali'!$A$4,"indicador","RESTO DE AMÉRICA","mes",6,"año",2007)/GETPIVOTDATA("dato",'[1]evolucion mensual nacionali'!$A$4,"indicador","TOTAL","mes",6,"año",2007)</f>
        <v>2.3916179485232707E-2</v>
      </c>
      <c r="W52" s="203">
        <f>GETPIVOTDATA("dato",'[1]evolucion mensual nacionali'!$A$4,"indicador","RESTO DEL MUNDO","mes",6,"año",2007)/GETPIVOTDATA("dato",'[1]evolucion mensual nacionali'!$A$4,"indicador","TOTAL","mes",6,"año",2007)</f>
        <v>9.4905474147748848E-3</v>
      </c>
      <c r="X52" s="203">
        <f>(GETPIVOTDATA("dato",'[1]evolucion mensual nacionali'!$A$4,"indicador","TOTAL","mes",6,"año",2007)-GETPIVOTDATA("dato",'[1]evolucion mensual nacionali'!$A$4,"indicador","España","mes",6,"año",2007))/GETPIVOTDATA("dato",'[1]evolucion mensual nacionali'!$A$4,"indicador","TOTAL","mes",6,"año",2007)</f>
        <v>9.4374003492521452E-2</v>
      </c>
      <c r="Y52" s="205">
        <f>GETPIVOTDATA("dato",'[1]evolucion mensual nacionali'!$A$4,"indicador","TOTAL","mes",6,"año",2007)/GETPIVOTDATA("dato",'[1]evolucion mensual nacionali'!$A$4,"indicador","TOTAL","mes",6,"año",2007)</f>
        <v>1</v>
      </c>
    </row>
    <row r="53" spans="2:25" hidden="1" outlineLevel="1">
      <c r="B53" s="51" t="s">
        <v>45</v>
      </c>
      <c r="C53" s="203">
        <f>GETPIVOTDATA("dato",'[1]evolucion mensual nacionali'!$A$4,"indicador","España","mes",5,"año",2007)/GETPIVOTDATA("dato",'[1]evolucion mensual nacionali'!$A$4,"indicador","TOTAL","mes",5,"año",2007)</f>
        <v>0.87783512155371457</v>
      </c>
      <c r="D53" s="203">
        <f>GETPIVOTDATA("dato",'[1]evolucion mensual nacionali'!$A$4,"indicador","HOLANDA","mes",5,"año",2007)/GETPIVOTDATA("dato",'[1]evolucion mensual nacionali'!$A$4,"indicador","TOTAL","mes",5,"año",2007)</f>
        <v>1.1544207524107021E-3</v>
      </c>
      <c r="E53" s="203">
        <f>GETPIVOTDATA("dato",'[1]evolucion mensual nacionali'!$A$4,"indicador","BÉLGICA","mes",5,"año",2007)/GETPIVOTDATA("dato",'[1]evolucion mensual nacionali'!$A$4,"indicador","TOTAL","mes",5,"año",2007)</f>
        <v>1.9013988863235095E-3</v>
      </c>
      <c r="F53" s="203">
        <f>GETPIVOTDATA("dato",'[1]evolucion mensual nacionali'!$A$4,"indicador","ALEMANIA","mes",5,"año",2007)/GETPIVOTDATA("dato",'[1]evolucion mensual nacionali'!$A$4,"indicador","TOTAL","mes",5,"año",2007)</f>
        <v>1.2970256688849654E-2</v>
      </c>
      <c r="G53" s="203">
        <f>GETPIVOTDATA("dato",'[1]evolucion mensual nacionali'!$A$4,"indicador","FRANCIA","mes",5,"año",2007)/GETPIVOTDATA("dato",'[1]evolucion mensual nacionali'!$A$4,"indicador","TOTAL","mes",5,"año",2007)</f>
        <v>9.9144370501154412E-3</v>
      </c>
      <c r="H53" s="203">
        <f>GETPIVOTDATA("dato",'[1]evolucion mensual nacionali'!$A$4,"indicador","REINO UNIDO","mes",5,"año",2007)/GETPIVOTDATA("dato",'[1]evolucion mensual nacionali'!$A$4,"indicador","TOTAL","mes",5,"año",2007)</f>
        <v>7.6735026483770201E-3</v>
      </c>
      <c r="I53" s="203">
        <f>GETPIVOTDATA("dato",'[1]evolucion mensual nacionali'!$A$4,"indicador","IRLANDA","mes",5,"año",2007)/GETPIVOTDATA("dato",'[1]evolucion mensual nacionali'!$A$4,"indicador","TOTAL","mes",5,"año",2007)</f>
        <v>1.7655846801575444E-3</v>
      </c>
      <c r="J53" s="203">
        <f>GETPIVOTDATA("dato",'[1]evolucion mensual nacionali'!$A$4,"indicador","ITALIA","mes",5,"año",2007)/GETPIVOTDATA("dato",'[1]evolucion mensual nacionali'!$A$4,"indicador","TOTAL","mes",5,"año",2007)</f>
        <v>1.2562814070351759E-2</v>
      </c>
      <c r="K53" s="203">
        <f>(GETPIVOTDATA("dato",'[1]evolucion mensual nacionali'!$A$4,"indicador","SUECIA","mes",5,"año",2007)+GETPIVOTDATA("dato",'[1]evolucion mensual nacionali'!$A$4,"indicador","NORUEGA","mes",5,"año",2007)+GETPIVOTDATA("dato",'[1]evolucion mensual nacionali'!$A$4,"indicador","DINAMARCA","mes",5,"año",2007)+GETPIVOTDATA("dato",'[1]evolucion mensual nacionali'!$A$4,"indicador","FINLANDIA","mes",5,"año",2007))/GETPIVOTDATA("dato",'[1]evolucion mensual nacionali'!$A$4,"indicador","TOTAL","mes",5,"año",2007)</f>
        <v>4.278147494227896E-3</v>
      </c>
      <c r="L53" s="203">
        <f>GETPIVOTDATA("dato",'[1]evolucion mensual nacionali'!$A$4,"indicador","SUECIA","mes",5,"año",2007)/GETPIVOTDATA("dato",'[1]evolucion mensual nacionali'!$A$4,"indicador","TOTAL","mes",5,"año",2007)</f>
        <v>1.4260491647426321E-3</v>
      </c>
      <c r="M53" s="203">
        <f>GETPIVOTDATA("dato",'[1]evolucion mensual nacionali'!$A$4,"indicador","NORUEGA","mes",5,"año",2007)/GETPIVOTDATA("dato",'[1]evolucion mensual nacionali'!$A$4,"indicador","TOTAL","mes",5,"año",2007)</f>
        <v>4.0744261849789487E-4</v>
      </c>
      <c r="N53" s="203">
        <f>GETPIVOTDATA("dato",'[1]evolucion mensual nacionali'!$A$4,"indicador","DINAMARCA","mes",5,"año",2007)/GETPIVOTDATA("dato",'[1]evolucion mensual nacionali'!$A$4,"indicador","TOTAL","mes",5,"año",2007)</f>
        <v>4.0744261849789487E-4</v>
      </c>
      <c r="O53" s="203">
        <f>GETPIVOTDATA("dato",'[1]evolucion mensual nacionali'!$A$4,"indicador","FINLANDIA","mes",5,"año",2007)/GETPIVOTDATA("dato",'[1]evolucion mensual nacionali'!$A$4,"indicador","TOTAL","mes",5,"año",2007)</f>
        <v>2.0372130924894744E-3</v>
      </c>
      <c r="P53" s="203">
        <f>GETPIVOTDATA("dato",'[1]evolucion mensual nacionali'!$A$4,"indicador","SUIZA","mes",5,"año",2007)/GETPIVOTDATA("dato",'[1]evolucion mensual nacionali'!$A$4,"indicador","TOTAL","mes",5,"año",2007)</f>
        <v>1.9693059894064918E-3</v>
      </c>
      <c r="Q53" s="203">
        <f>GETPIVOTDATA("dato",'[1]evolucion mensual nacionali'!$A$4,"indicador","AUSTRIA","mes",5,"año",2007)/GETPIVOTDATA("dato",'[1]evolucion mensual nacionali'!$A$4,"indicador","TOTAL","mes",5,"año",2007)</f>
        <v>8.1488523699578975E-4</v>
      </c>
      <c r="R53" s="203">
        <f>GETPIVOTDATA("dato",'[1]evolucion mensual nacionali'!$A$4,"indicador","RUSIA","mes",5,"año",2007)/GETPIVOTDATA("dato",'[1]evolucion mensual nacionali'!$A$4,"indicador","TOTAL","mes",5,"año",2007)</f>
        <v>1.8334917832405269E-3</v>
      </c>
      <c r="S53" s="203">
        <f>GETPIVOTDATA("dato",'[1]evolucion mensual nacionali'!$A$4,"indicador","PAÍSES DEL ESTE","mes",5,"año",2007)/GETPIVOTDATA("dato",'[1]evolucion mensual nacionali'!$A$4,"indicador","TOTAL","mes",5,"año",2007)</f>
        <v>5.9758250713024584E-3</v>
      </c>
      <c r="T53" s="203">
        <f>GETPIVOTDATA("dato",'[1]evolucion mensual nacionali'!$A$4,"indicador","RESTO DE EUROPA","mes",5,"año",2007)/GETPIVOTDATA("dato",'[1]evolucion mensual nacionali'!$A$4,"indicador","TOTAL","mes",5,"año",2007)</f>
        <v>1.1951650142604917E-2</v>
      </c>
      <c r="U53" s="203">
        <f>GETPIVOTDATA("dato",'[1]evolucion mensual nacionali'!$A$4,"indicador","USA","mes",5,"año",2007)/GETPIVOTDATA("dato",'[1]evolucion mensual nacionali'!$A$4,"indicador","TOTAL","mes",5,"año",2007)</f>
        <v>4.2102403911449138E-3</v>
      </c>
      <c r="V53" s="203">
        <f>GETPIVOTDATA("dato",'[1]evolucion mensual nacionali'!$A$4,"indicador","RESTO DE AMÉRICA","mes",5,"año",2007)/GETPIVOTDATA("dato",'[1]evolucion mensual nacionali'!$A$4,"indicador","TOTAL","mes",5,"año",2007)</f>
        <v>3.035447507809317E-2</v>
      </c>
      <c r="W53" s="203">
        <f>GETPIVOTDATA("dato",'[1]evolucion mensual nacionali'!$A$4,"indicador","RESTO DEL MUNDO","mes",5,"año",2007)/GETPIVOTDATA("dato",'[1]evolucion mensual nacionali'!$A$4,"indicador","TOTAL","mes",5,"año",2007)</f>
        <v>1.2834442482683688E-2</v>
      </c>
      <c r="X53" s="203">
        <f>(GETPIVOTDATA("dato",'[1]evolucion mensual nacionali'!$A$4,"indicador","TOTAL","mes",5,"año",2007)-GETPIVOTDATA("dato",'[1]evolucion mensual nacionali'!$A$4,"indicador","España","mes",5,"año",2007))/GETPIVOTDATA("dato",'[1]evolucion mensual nacionali'!$A$4,"indicador","TOTAL","mes",5,"año",2007)</f>
        <v>0.12216487844628549</v>
      </c>
      <c r="Y53" s="205">
        <f>GETPIVOTDATA("dato",'[1]evolucion mensual nacionali'!$A$4,"indicador","TOTAL","mes",5,"año",2007)/GETPIVOTDATA("dato",'[1]evolucion mensual nacionali'!$A$4,"indicador","TOTAL","mes",5,"año",2007)</f>
        <v>1</v>
      </c>
    </row>
    <row r="54" spans="2:25" hidden="1" outlineLevel="1">
      <c r="B54" s="51" t="s">
        <v>46</v>
      </c>
      <c r="C54" s="203">
        <f>GETPIVOTDATA("dato",'[1]evolucion mensual nacionali'!$A$4,"indicador","España","mes",4,"año",2007)/GETPIVOTDATA("dato",'[1]evolucion mensual nacionali'!$A$4,"indicador","TOTAL","mes",4,"año",2007)</f>
        <v>0.83585076168344952</v>
      </c>
      <c r="D54" s="203">
        <f>GETPIVOTDATA("dato",'[1]evolucion mensual nacionali'!$A$4,"indicador","HOLANDA","mes",4,"año",2007)/GETPIVOTDATA("dato",'[1]evolucion mensual nacionali'!$A$4,"indicador","TOTAL","mes",4,"año",2007)</f>
        <v>5.0994061451071519E-3</v>
      </c>
      <c r="E54" s="203">
        <f>GETPIVOTDATA("dato",'[1]evolucion mensual nacionali'!$A$4,"indicador","BÉLGICA","mes",4,"año",2007)/GETPIVOTDATA("dato",'[1]evolucion mensual nacionali'!$A$4,"indicador","TOTAL","mes",4,"año",2007)</f>
        <v>2.6465272398657372E-3</v>
      </c>
      <c r="F54" s="203">
        <f>GETPIVOTDATA("dato",'[1]evolucion mensual nacionali'!$A$4,"indicador","ALEMANIA","mes",4,"año",2007)/GETPIVOTDATA("dato",'[1]evolucion mensual nacionali'!$A$4,"indicador","TOTAL","mes",4,"año",2007)</f>
        <v>1.6395558998192616E-2</v>
      </c>
      <c r="G54" s="203">
        <f>GETPIVOTDATA("dato",'[1]evolucion mensual nacionali'!$A$4,"indicador","FRANCIA","mes",4,"año",2007)/GETPIVOTDATA("dato",'[1]evolucion mensual nacionali'!$A$4,"indicador","TOTAL","mes",4,"año",2007)</f>
        <v>1.852569067906016E-2</v>
      </c>
      <c r="H54" s="203">
        <f>GETPIVOTDATA("dato",'[1]evolucion mensual nacionali'!$A$4,"indicador","REINO UNIDO","mes",4,"año",2007)/GETPIVOTDATA("dato",'[1]evolucion mensual nacionali'!$A$4,"indicador","TOTAL","mes",4,"año",2007)</f>
        <v>2.8595404079524916E-2</v>
      </c>
      <c r="I54" s="203">
        <f>GETPIVOTDATA("dato",'[1]evolucion mensual nacionali'!$A$4,"indicador","IRLANDA","mes",4,"año",2007)/GETPIVOTDATA("dato",'[1]evolucion mensual nacionali'!$A$4,"indicador","TOTAL","mes",4,"año",2007)</f>
        <v>4.1311644719855406E-3</v>
      </c>
      <c r="J54" s="203">
        <f>GETPIVOTDATA("dato",'[1]evolucion mensual nacionali'!$A$4,"indicador","ITALIA","mes",4,"año",2007)/GETPIVOTDATA("dato",'[1]evolucion mensual nacionali'!$A$4,"indicador","TOTAL","mes",4,"año",2007)</f>
        <v>1.7686547895688097E-2</v>
      </c>
      <c r="K54" s="203">
        <f>(GETPIVOTDATA("dato",'[1]evolucion mensual nacionali'!$A$4,"indicador","SUECIA","mes",4,"año",2007)+GETPIVOTDATA("dato",'[1]evolucion mensual nacionali'!$A$4,"indicador","NORUEGA","mes",4,"año",2007)+GETPIVOTDATA("dato",'[1]evolucion mensual nacionali'!$A$4,"indicador","DINAMARCA","mes",4,"año",2007)+GETPIVOTDATA("dato",'[1]evolucion mensual nacionali'!$A$4,"indicador","FINLANDIA","mes",4,"año",2007))/GETPIVOTDATA("dato",'[1]evolucion mensual nacionali'!$A$4,"indicador","TOTAL","mes",4,"año",2007)</f>
        <v>7.1649883810999222E-3</v>
      </c>
      <c r="L54" s="203">
        <f>GETPIVOTDATA("dato",'[1]evolucion mensual nacionali'!$A$4,"indicador","SUECIA","mes",4,"año",2007)/GETPIVOTDATA("dato",'[1]evolucion mensual nacionali'!$A$4,"indicador","TOTAL","mes",4,"año",2007)</f>
        <v>2.1301316808675446E-3</v>
      </c>
      <c r="M54" s="203">
        <f>GETPIVOTDATA("dato",'[1]evolucion mensual nacionali'!$A$4,"indicador","NORUEGA","mes",4,"año",2007)/GETPIVOTDATA("dato",'[1]evolucion mensual nacionali'!$A$4,"indicador","TOTAL","mes",4,"año",2007)</f>
        <v>2.0655822359927703E-3</v>
      </c>
      <c r="N54" s="203">
        <f>GETPIVOTDATA("dato",'[1]evolucion mensual nacionali'!$A$4,"indicador","DINAMARCA","mes",4,"año",2007)/GETPIVOTDATA("dato",'[1]evolucion mensual nacionali'!$A$4,"indicador","TOTAL","mes",4,"año",2007)</f>
        <v>9.0369222824683711E-4</v>
      </c>
      <c r="O54" s="203">
        <f>GETPIVOTDATA("dato",'[1]evolucion mensual nacionali'!$A$4,"indicador","FINLANDIA","mes",4,"año",2007)/GETPIVOTDATA("dato",'[1]evolucion mensual nacionali'!$A$4,"indicador","TOTAL","mes",4,"año",2007)</f>
        <v>2.0655822359927703E-3</v>
      </c>
      <c r="P54" s="203">
        <f>GETPIVOTDATA("dato",'[1]evolucion mensual nacionali'!$A$4,"indicador","SUIZA","mes",4,"año",2007)/GETPIVOTDATA("dato",'[1]evolucion mensual nacionali'!$A$4,"indicador","TOTAL","mes",4,"año",2007)</f>
        <v>1.613736121869352E-3</v>
      </c>
      <c r="Q54" s="203">
        <f>GETPIVOTDATA("dato",'[1]evolucion mensual nacionali'!$A$4,"indicador","AUSTRIA","mes",4,"año",2007)/GETPIVOTDATA("dato",'[1]evolucion mensual nacionali'!$A$4,"indicador","TOTAL","mes",4,"año",2007)</f>
        <v>1.8073844564936742E-3</v>
      </c>
      <c r="R54" s="203">
        <f>GETPIVOTDATA("dato",'[1]evolucion mensual nacionali'!$A$4,"indicador","RUSIA","mes",4,"año",2007)/GETPIVOTDATA("dato",'[1]evolucion mensual nacionali'!$A$4,"indicador","TOTAL","mes",4,"año",2007)</f>
        <v>2.2592305706170927E-3</v>
      </c>
      <c r="S54" s="203">
        <f>GETPIVOTDATA("dato",'[1]evolucion mensual nacionali'!$A$4,"indicador","PAÍSES DEL ESTE","mes",4,"año",2007)/GETPIVOTDATA("dato",'[1]evolucion mensual nacionali'!$A$4,"indicador","TOTAL","mes",4,"año",2007)</f>
        <v>6.5840433772269558E-3</v>
      </c>
      <c r="T54" s="203">
        <f>GETPIVOTDATA("dato",'[1]evolucion mensual nacionali'!$A$4,"indicador","RESTO DE EUROPA","mes",4,"año",2007)/GETPIVOTDATA("dato",'[1]evolucion mensual nacionali'!$A$4,"indicador","TOTAL","mes",4,"año",2007)</f>
        <v>1.0908856183836819E-2</v>
      </c>
      <c r="U54" s="203">
        <f>GETPIVOTDATA("dato",'[1]evolucion mensual nacionali'!$A$4,"indicador","USA","mes",4,"año",2007)/GETPIVOTDATA("dato",'[1]evolucion mensual nacionali'!$A$4,"indicador","TOTAL","mes",4,"año",2007)</f>
        <v>6.6485928221017296E-3</v>
      </c>
      <c r="V54" s="203">
        <f>GETPIVOTDATA("dato",'[1]evolucion mensual nacionali'!$A$4,"indicador","RESTO DE AMÉRICA","mes",4,"año",2007)/GETPIVOTDATA("dato",'[1]evolucion mensual nacionali'!$A$4,"indicador","TOTAL","mes",4,"año",2007)</f>
        <v>2.3173250710043895E-2</v>
      </c>
      <c r="W54" s="203">
        <f>GETPIVOTDATA("dato",'[1]evolucion mensual nacionali'!$A$4,"indicador","RESTO DEL MUNDO","mes",4,"año",2007)/GETPIVOTDATA("dato",'[1]evolucion mensual nacionali'!$A$4,"indicador","TOTAL","mes",4,"año",2007)</f>
        <v>1.0908856183836819E-2</v>
      </c>
      <c r="X54" s="203">
        <f>(GETPIVOTDATA("dato",'[1]evolucion mensual nacionali'!$A$4,"indicador","TOTAL","mes",4,"año",2007)-GETPIVOTDATA("dato",'[1]evolucion mensual nacionali'!$A$4,"indicador","España","mes",4,"año",2007))/GETPIVOTDATA("dato",'[1]evolucion mensual nacionali'!$A$4,"indicador","TOTAL","mes",4,"año",2007)</f>
        <v>0.16414923831655048</v>
      </c>
      <c r="Y54" s="205">
        <f>GETPIVOTDATA("dato",'[1]evolucion mensual nacionali'!$A$4,"indicador","TOTAL","mes",4,"año",2007)/GETPIVOTDATA("dato",'[1]evolucion mensual nacionali'!$A$4,"indicador","TOTAL","mes",4,"año",2007)</f>
        <v>1</v>
      </c>
    </row>
    <row r="55" spans="2:25" hidden="1" outlineLevel="1">
      <c r="B55" s="51" t="s">
        <v>47</v>
      </c>
      <c r="C55" s="203">
        <f>GETPIVOTDATA("dato",'[1]evolucion mensual nacionali'!$A$4,"indicador","España","mes",3,"año",2007)/GETPIVOTDATA("dato",'[1]evolucion mensual nacionali'!$A$4,"indicador","TOTAL","mes",3,"año",2007)</f>
        <v>0.85178364726928335</v>
      </c>
      <c r="D55" s="203">
        <f>GETPIVOTDATA("dato",'[1]evolucion mensual nacionali'!$A$4,"indicador","HOLANDA","mes",3,"año",2007)/GETPIVOTDATA("dato",'[1]evolucion mensual nacionali'!$A$4,"indicador","TOTAL","mes",3,"año",2007)</f>
        <v>4.5775018415237295E-3</v>
      </c>
      <c r="E55" s="203">
        <f>GETPIVOTDATA("dato",'[1]evolucion mensual nacionali'!$A$4,"indicador","BÉLGICA","mes",3,"año",2007)/GETPIVOTDATA("dato",'[1]evolucion mensual nacionali'!$A$4,"indicador","TOTAL","mes",3,"año",2007)</f>
        <v>1.1575292013048511E-3</v>
      </c>
      <c r="F55" s="203">
        <f>GETPIVOTDATA("dato",'[1]evolucion mensual nacionali'!$A$4,"indicador","ALEMANIA","mes",3,"año",2007)/GETPIVOTDATA("dato",'[1]evolucion mensual nacionali'!$A$4,"indicador","TOTAL","mes",3,"año",2007)</f>
        <v>2.2361359570661897E-2</v>
      </c>
      <c r="G55" s="203">
        <f>GETPIVOTDATA("dato",'[1]evolucion mensual nacionali'!$A$4,"indicador","FRANCIA","mes",3,"año",2007)/GETPIVOTDATA("dato",'[1]evolucion mensual nacionali'!$A$4,"indicador","TOTAL","mes",3,"año",2007)</f>
        <v>1.1838366831526887E-2</v>
      </c>
      <c r="H55" s="203">
        <f>GETPIVOTDATA("dato",'[1]evolucion mensual nacionali'!$A$4,"indicador","REINO UNIDO","mes",3,"año",2007)/GETPIVOTDATA("dato",'[1]evolucion mensual nacionali'!$A$4,"indicador","TOTAL","mes",3,"año",2007)</f>
        <v>1.7626012838051142E-2</v>
      </c>
      <c r="I55" s="203">
        <f>GETPIVOTDATA("dato",'[1]evolucion mensual nacionali'!$A$4,"indicador","IRLANDA","mes",3,"año",2007)/GETPIVOTDATA("dato",'[1]evolucion mensual nacionali'!$A$4,"indicador","TOTAL","mes",3,"año",2007)</f>
        <v>4.1039671682626538E-3</v>
      </c>
      <c r="J55" s="203">
        <f>GETPIVOTDATA("dato",'[1]evolucion mensual nacionali'!$A$4,"indicador","ITALIA","mes",3,"año",2007)/GETPIVOTDATA("dato",'[1]evolucion mensual nacionali'!$A$4,"indicador","TOTAL","mes",3,"año",2007)</f>
        <v>1.3890350415658214E-2</v>
      </c>
      <c r="K55" s="203">
        <f>(GETPIVOTDATA("dato",'[1]evolucion mensual nacionali'!$A$4,"indicador","SUECIA","mes",3,"año",2007)+GETPIVOTDATA("dato",'[1]evolucion mensual nacionali'!$A$4,"indicador","NORUEGA","mes",3,"año",2007)+GETPIVOTDATA("dato",'[1]evolucion mensual nacionali'!$A$4,"indicador","DINAMARCA","mes",3,"año",2007)+GETPIVOTDATA("dato",'[1]evolucion mensual nacionali'!$A$4,"indicador","FINLANDIA","mes",3,"año",2007))/GETPIVOTDATA("dato",'[1]evolucion mensual nacionali'!$A$4,"indicador","TOTAL","mes",3,"año",2007)</f>
        <v>1.0786067557613386E-2</v>
      </c>
      <c r="L55" s="203">
        <f>GETPIVOTDATA("dato",'[1]evolucion mensual nacionali'!$A$4,"indicador","SUECIA","mes",3,"año",2007)/GETPIVOTDATA("dato",'[1]evolucion mensual nacionali'!$A$4,"indicador","TOTAL","mes",3,"año",2007)</f>
        <v>3.5252025676102282E-3</v>
      </c>
      <c r="M55" s="203">
        <f>GETPIVOTDATA("dato",'[1]evolucion mensual nacionali'!$A$4,"indicador","NORUEGA","mes",3,"año",2007)/GETPIVOTDATA("dato",'[1]evolucion mensual nacionali'!$A$4,"indicador","TOTAL","mes",3,"año",2007)</f>
        <v>3.156897821740503E-3</v>
      </c>
      <c r="N55" s="203">
        <f>GETPIVOTDATA("dato",'[1]evolucion mensual nacionali'!$A$4,"indicador","DINAMARCA","mes",3,"año",2007)/GETPIVOTDATA("dato",'[1]evolucion mensual nacionali'!$A$4,"indicador","TOTAL","mes",3,"año",2007)</f>
        <v>2.0519835841313269E-3</v>
      </c>
      <c r="O55" s="203">
        <f>GETPIVOTDATA("dato",'[1]evolucion mensual nacionali'!$A$4,"indicador","FINLANDIA","mes",3,"año",2007)/GETPIVOTDATA("dato",'[1]evolucion mensual nacionali'!$A$4,"indicador","TOTAL","mes",3,"año",2007)</f>
        <v>2.0519835841313269E-3</v>
      </c>
      <c r="P55" s="203">
        <f>GETPIVOTDATA("dato",'[1]evolucion mensual nacionali'!$A$4,"indicador","SUIZA","mes",3,"año",2007)/GETPIVOTDATA("dato",'[1]evolucion mensual nacionali'!$A$4,"indicador","TOTAL","mes",3,"año",2007)</f>
        <v>2.7359781121751026E-3</v>
      </c>
      <c r="Q55" s="203">
        <f>GETPIVOTDATA("dato",'[1]evolucion mensual nacionali'!$A$4,"indicador","AUSTRIA","mes",3,"año",2007)/GETPIVOTDATA("dato",'[1]evolucion mensual nacionali'!$A$4,"indicador","TOTAL","mes",3,"año",2007)</f>
        <v>2.1045985478270021E-3</v>
      </c>
      <c r="R55" s="203">
        <f>GETPIVOTDATA("dato",'[1]evolucion mensual nacionali'!$A$4,"indicador","RUSIA","mes",3,"año",2007)/GETPIVOTDATA("dato",'[1]evolucion mensual nacionali'!$A$4,"indicador","TOTAL","mes",3,"año",2007)</f>
        <v>2.5781332210880773E-3</v>
      </c>
      <c r="S55" s="203">
        <f>GETPIVOTDATA("dato",'[1]evolucion mensual nacionali'!$A$4,"indicador","PAÍSES DEL ESTE","mes",3,"año",2007)/GETPIVOTDATA("dato",'[1]evolucion mensual nacionali'!$A$4,"indicador","TOTAL","mes",3,"año",2007)</f>
        <v>5.3667262969588547E-3</v>
      </c>
      <c r="T55" s="203">
        <f>GETPIVOTDATA("dato",'[1]evolucion mensual nacionali'!$A$4,"indicador","RESTO DE EUROPA","mes",3,"año",2007)/GETPIVOTDATA("dato",'[1]evolucion mensual nacionali'!$A$4,"indicador","TOTAL","mes",3,"año",2007)</f>
        <v>1.1838366831526887E-2</v>
      </c>
      <c r="U55" s="203">
        <f>GETPIVOTDATA("dato",'[1]evolucion mensual nacionali'!$A$4,"indicador","USA","mes",3,"año",2007)/GETPIVOTDATA("dato",'[1]evolucion mensual nacionali'!$A$4,"indicador","TOTAL","mes",3,"año",2007)</f>
        <v>5.1562664421761547E-3</v>
      </c>
      <c r="V55" s="203">
        <f>GETPIVOTDATA("dato",'[1]evolucion mensual nacionali'!$A$4,"indicador","RESTO DE AMÉRICA","mes",3,"año",2007)/GETPIVOTDATA("dato",'[1]evolucion mensual nacionali'!$A$4,"indicador","TOTAL","mes",3,"año",2007)</f>
        <v>1.9625381458486794E-2</v>
      </c>
      <c r="W55" s="203">
        <f>GETPIVOTDATA("dato",'[1]evolucion mensual nacionali'!$A$4,"indicador","RESTO DEL MUNDO","mes",3,"año",2007)/GETPIVOTDATA("dato",'[1]evolucion mensual nacionali'!$A$4,"indicador","TOTAL","mes",3,"año",2007)</f>
        <v>1.2469746395874988E-2</v>
      </c>
      <c r="X55" s="203">
        <f>(GETPIVOTDATA("dato",'[1]evolucion mensual nacionali'!$A$4,"indicador","TOTAL","mes",3,"año",2007)-GETPIVOTDATA("dato",'[1]evolucion mensual nacionali'!$A$4,"indicador","España","mes",3,"año",2007))/GETPIVOTDATA("dato",'[1]evolucion mensual nacionali'!$A$4,"indicador","TOTAL","mes",3,"año",2007)</f>
        <v>0.14821635273071662</v>
      </c>
      <c r="Y55" s="205">
        <f>GETPIVOTDATA("dato",'[1]evolucion mensual nacionali'!$A$4,"indicador","TOTAL","mes",3,"año",2007)/GETPIVOTDATA("dato",'[1]evolucion mensual nacionali'!$A$4,"indicador","TOTAL","mes",3,"año",2007)</f>
        <v>1</v>
      </c>
    </row>
    <row r="56" spans="2:25" hidden="1" outlineLevel="1">
      <c r="B56" s="51" t="s">
        <v>48</v>
      </c>
      <c r="C56" s="203">
        <f>GETPIVOTDATA("dato",'[1]evolucion mensual nacionali'!$A$4,"indicador","España","mes",2,"año",2007)/GETPIVOTDATA("dato",'[1]evolucion mensual nacionali'!$A$4,"indicador","TOTAL","mes",2,"año",2007)</f>
        <v>0.85803442386020234</v>
      </c>
      <c r="D56" s="203">
        <f>GETPIVOTDATA("dato",'[1]evolucion mensual nacionali'!$A$4,"indicador","HOLANDA","mes",2,"año",2007)/GETPIVOTDATA("dato",'[1]evolucion mensual nacionali'!$A$4,"indicador","TOTAL","mes",2,"año",2007)</f>
        <v>2.8905531467612665E-3</v>
      </c>
      <c r="E56" s="203">
        <f>GETPIVOTDATA("dato",'[1]evolucion mensual nacionali'!$A$4,"indicador","BÉLGICA","mes",2,"año",2007)/GETPIVOTDATA("dato",'[1]evolucion mensual nacionali'!$A$4,"indicador","TOTAL","mes",2,"año",2007)</f>
        <v>2.3649980291683089E-3</v>
      </c>
      <c r="F56" s="203">
        <f>GETPIVOTDATA("dato",'[1]evolucion mensual nacionali'!$A$4,"indicador","ALEMANIA","mes",2,"año",2007)/GETPIVOTDATA("dato",'[1]evolucion mensual nacionali'!$A$4,"indicador","TOTAL","mes",2,"año",2007)</f>
        <v>2.2730258835895415E-2</v>
      </c>
      <c r="G56" s="203">
        <f>GETPIVOTDATA("dato",'[1]evolucion mensual nacionali'!$A$4,"indicador","FRANCIA","mes",2,"año",2007)/GETPIVOTDATA("dato",'[1]evolucion mensual nacionali'!$A$4,"indicador","TOTAL","mes",2,"año",2007)</f>
        <v>1.1299435028248588E-2</v>
      </c>
      <c r="H56" s="203">
        <f>GETPIVOTDATA("dato",'[1]evolucion mensual nacionali'!$A$4,"indicador","REINO UNIDO","mes",2,"año",2007)/GETPIVOTDATA("dato",'[1]evolucion mensual nacionali'!$A$4,"indicador","TOTAL","mes",2,"año",2007)</f>
        <v>2.1087899093417423E-2</v>
      </c>
      <c r="I56" s="203">
        <f>GETPIVOTDATA("dato",'[1]evolucion mensual nacionali'!$A$4,"indicador","IRLANDA","mes",2,"año",2007)/GETPIVOTDATA("dato",'[1]evolucion mensual nacionali'!$A$4,"indicador","TOTAL","mes",2,"año",2007)</f>
        <v>4.3358297201418995E-3</v>
      </c>
      <c r="J56" s="203">
        <f>GETPIVOTDATA("dato",'[1]evolucion mensual nacionali'!$A$4,"indicador","ITALIA","mes",2,"año",2007)/GETPIVOTDATA("dato",'[1]evolucion mensual nacionali'!$A$4,"indicador","TOTAL","mes",2,"año",2007)</f>
        <v>1.3270266719222178E-2</v>
      </c>
      <c r="K56" s="203">
        <f>(GETPIVOTDATA("dato",'[1]evolucion mensual nacionali'!$A$4,"indicador","SUECIA","mes",2,"año",2007)+GETPIVOTDATA("dato",'[1]evolucion mensual nacionali'!$A$4,"indicador","NORUEGA","mes",2,"año",2007)+GETPIVOTDATA("dato",'[1]evolucion mensual nacionali'!$A$4,"indicador","DINAMARCA","mes",2,"año",2007)+GETPIVOTDATA("dato",'[1]evolucion mensual nacionali'!$A$4,"indicador","FINLANDIA","mes",2,"año",2007))/GETPIVOTDATA("dato",'[1]evolucion mensual nacionali'!$A$4,"indicador","TOTAL","mes",2,"año",2007)</f>
        <v>8.671659440283799E-3</v>
      </c>
      <c r="L56" s="203">
        <f>GETPIVOTDATA("dato",'[1]evolucion mensual nacionali'!$A$4,"indicador","SUECIA","mes",2,"año",2007)/GETPIVOTDATA("dato",'[1]evolucion mensual nacionali'!$A$4,"indicador","TOTAL","mes",2,"año",2007)</f>
        <v>2.1022204703718302E-3</v>
      </c>
      <c r="M56" s="203">
        <f>GETPIVOTDATA("dato",'[1]evolucion mensual nacionali'!$A$4,"indicador","NORUEGA","mes",2,"año",2007)/GETPIVOTDATA("dato",'[1]evolucion mensual nacionali'!$A$4,"indicador","TOTAL","mes",2,"año",2007)</f>
        <v>1.510970963079753E-3</v>
      </c>
      <c r="N56" s="203">
        <f>GETPIVOTDATA("dato",'[1]evolucion mensual nacionali'!$A$4,"indicador","DINAMARCA","mes",2,"año",2007)/GETPIVOTDATA("dato",'[1]evolucion mensual nacionali'!$A$4,"indicador","TOTAL","mes",2,"año",2007)</f>
        <v>3.0876363158586257E-3</v>
      </c>
      <c r="O56" s="203">
        <f>GETPIVOTDATA("dato",'[1]evolucion mensual nacionali'!$A$4,"indicador","FINLANDIA","mes",2,"año",2007)/GETPIVOTDATA("dato",'[1]evolucion mensual nacionali'!$A$4,"indicador","TOTAL","mes",2,"año",2007)</f>
        <v>1.970831690973591E-3</v>
      </c>
      <c r="P56" s="203">
        <f>GETPIVOTDATA("dato",'[1]evolucion mensual nacionali'!$A$4,"indicador","SUIZA","mes",2,"año",2007)/GETPIVOTDATA("dato",'[1]evolucion mensual nacionali'!$A$4,"indicador","TOTAL","mes",2,"año",2007)</f>
        <v>3.0876363158586257E-3</v>
      </c>
      <c r="Q56" s="203">
        <f>GETPIVOTDATA("dato",'[1]evolucion mensual nacionali'!$A$4,"indicador","AUSTRIA","mes",2,"año",2007)/GETPIVOTDATA("dato",'[1]evolucion mensual nacionali'!$A$4,"indicador","TOTAL","mes",2,"año",2007)</f>
        <v>3.0219419261595061E-3</v>
      </c>
      <c r="R56" s="203">
        <f>GETPIVOTDATA("dato",'[1]evolucion mensual nacionali'!$A$4,"indicador","RUSIA","mes",2,"año",2007)/GETPIVOTDATA("dato",'[1]evolucion mensual nacionali'!$A$4,"indicador","TOTAL","mes",2,"año",2007)</f>
        <v>1.3795821836815136E-3</v>
      </c>
      <c r="S56" s="203">
        <f>GETPIVOTDATA("dato",'[1]evolucion mensual nacionali'!$A$4,"indicador","PAÍSES DEL ESTE","mes",2,"año",2007)/GETPIVOTDATA("dato",'[1]evolucion mensual nacionali'!$A$4,"indicador","TOTAL","mes",2,"año",2007)</f>
        <v>3.2847194849559848E-3</v>
      </c>
      <c r="T56" s="203">
        <f>GETPIVOTDATA("dato",'[1]evolucion mensual nacionali'!$A$4,"indicador","RESTO DE EUROPA","mes",2,"año",2007)/GETPIVOTDATA("dato",'[1]evolucion mensual nacionali'!$A$4,"indicador","TOTAL","mes",2,"año",2007)</f>
        <v>8.868742609381159E-3</v>
      </c>
      <c r="U56" s="203">
        <f>GETPIVOTDATA("dato",'[1]evolucion mensual nacionali'!$A$4,"indicador","USA","mes",2,"año",2007)/GETPIVOTDATA("dato",'[1]evolucion mensual nacionali'!$A$4,"indicador","TOTAL","mes",2,"año",2007)</f>
        <v>4.2701353304427803E-3</v>
      </c>
      <c r="V56" s="203">
        <f>GETPIVOTDATA("dato",'[1]evolucion mensual nacionali'!$A$4,"indicador","RESTO DE AMÉRICA","mes",2,"año",2007)/GETPIVOTDATA("dato",'[1]evolucion mensual nacionali'!$A$4,"indicador","TOTAL","mes",2,"año",2007)</f>
        <v>2.1679148600709498E-2</v>
      </c>
      <c r="W56" s="203">
        <f>GETPIVOTDATA("dato",'[1]evolucion mensual nacionali'!$A$4,"indicador","RESTO DEL MUNDO","mes",2,"año",2007)/GETPIVOTDATA("dato",'[1]evolucion mensual nacionali'!$A$4,"indicador","TOTAL","mes",2,"año",2007)</f>
        <v>9.722769675469714E-3</v>
      </c>
      <c r="X56" s="203">
        <f>(GETPIVOTDATA("dato",'[1]evolucion mensual nacionali'!$A$4,"indicador","TOTAL","mes",2,"año",2007)-GETPIVOTDATA("dato",'[1]evolucion mensual nacionali'!$A$4,"indicador","España","mes",2,"año",2007))/GETPIVOTDATA("dato",'[1]evolucion mensual nacionali'!$A$4,"indicador","TOTAL","mes",2,"año",2007)</f>
        <v>0.14196557613979766</v>
      </c>
      <c r="Y56" s="205">
        <f>GETPIVOTDATA("dato",'[1]evolucion mensual nacionali'!$A$4,"indicador","TOTAL","mes",2,"año",2007)/GETPIVOTDATA("dato",'[1]evolucion mensual nacionali'!$A$4,"indicador","TOTAL","mes",2,"año",2007)</f>
        <v>1</v>
      </c>
    </row>
    <row r="57" spans="2:25" hidden="1" outlineLevel="1">
      <c r="B57" s="51" t="s">
        <v>49</v>
      </c>
      <c r="C57" s="203">
        <f>GETPIVOTDATA("dato",'[1]evolucion mensual nacionali'!$A$4,"indicador","España","mes",1,"año",2007)/GETPIVOTDATA("dato",'[1]evolucion mensual nacionali'!$A$4,"indicador","TOTAL","mes",1,"año",2007)</f>
        <v>0.82187909285172678</v>
      </c>
      <c r="D57" s="203">
        <f>GETPIVOTDATA("dato",'[1]evolucion mensual nacionali'!$A$4,"indicador","HOLANDA","mes",1,"año",2007)/GETPIVOTDATA("dato",'[1]evolucion mensual nacionali'!$A$4,"indicador","TOTAL","mes",1,"año",2007)</f>
        <v>4.3427310953332871E-3</v>
      </c>
      <c r="E57" s="203">
        <f>GETPIVOTDATA("dato",'[1]evolucion mensual nacionali'!$A$4,"indicador","BÉLGICA","mes",1,"año",2007)/GETPIVOTDATA("dato",'[1]evolucion mensual nacionali'!$A$4,"indicador","TOTAL","mes",1,"año",2007)</f>
        <v>4.6873922933756114E-3</v>
      </c>
      <c r="F57" s="203">
        <f>GETPIVOTDATA("dato",'[1]evolucion mensual nacionali'!$A$4,"indicador","ALEMANIA","mes",1,"año",2007)/GETPIVOTDATA("dato",'[1]evolucion mensual nacionali'!$A$4,"indicador","TOTAL","mes",1,"año",2007)</f>
        <v>2.5711725373957401E-2</v>
      </c>
      <c r="G57" s="203">
        <f>GETPIVOTDATA("dato",'[1]evolucion mensual nacionali'!$A$4,"indicador","FRANCIA","mes",1,"año",2007)/GETPIVOTDATA("dato",'[1]evolucion mensual nacionali'!$A$4,"indicador","TOTAL","mes",1,"año",2007)</f>
        <v>1.5854415109946923E-2</v>
      </c>
      <c r="H57" s="203">
        <f>GETPIVOTDATA("dato",'[1]evolucion mensual nacionali'!$A$4,"indicador","REINO UNIDO","mes",1,"año",2007)/GETPIVOTDATA("dato",'[1]evolucion mensual nacionali'!$A$4,"indicador","TOTAL","mes",1,"año",2007)</f>
        <v>2.3092300268835735E-2</v>
      </c>
      <c r="I57" s="203">
        <f>GETPIVOTDATA("dato",'[1]evolucion mensual nacionali'!$A$4,"indicador","IRLANDA","mes",1,"año",2007)/GETPIVOTDATA("dato",'[1]evolucion mensual nacionali'!$A$4,"indicador","TOTAL","mes",1,"año",2007)</f>
        <v>8.4097332322327148E-3</v>
      </c>
      <c r="J57" s="203">
        <f>GETPIVOTDATA("dato",'[1]evolucion mensual nacionali'!$A$4,"indicador","ITALIA","mes",1,"año",2007)/GETPIVOTDATA("dato",'[1]evolucion mensual nacionali'!$A$4,"indicador","TOTAL","mes",1,"año",2007)</f>
        <v>1.6405873026814642E-2</v>
      </c>
      <c r="K57" s="203">
        <f>(GETPIVOTDATA("dato",'[1]evolucion mensual nacionali'!$A$4,"indicador","SUECIA","mes",1,"año",2007)+GETPIVOTDATA("dato",'[1]evolucion mensual nacionali'!$A$4,"indicador","NORUEGA","mes",1,"año",2007)+GETPIVOTDATA("dato",'[1]evolucion mensual nacionali'!$A$4,"indicador","DINAMARCA","mes",1,"año",2007)+GETPIVOTDATA("dato",'[1]evolucion mensual nacionali'!$A$4,"indicador","FINLANDIA","mes",1,"año",2007))/GETPIVOTDATA("dato",'[1]evolucion mensual nacionali'!$A$4,"indicador","TOTAL","mes",1,"año",2007)</f>
        <v>9.1679878679258291E-3</v>
      </c>
      <c r="L57" s="203">
        <f>GETPIVOTDATA("dato",'[1]evolucion mensual nacionali'!$A$4,"indicador","SUECIA","mes",1,"año",2007)/GETPIVOTDATA("dato",'[1]evolucion mensual nacionali'!$A$4,"indicador","TOTAL","mes",1,"año",2007)</f>
        <v>2.2747639070793409E-3</v>
      </c>
      <c r="M57" s="203">
        <f>GETPIVOTDATA("dato",'[1]evolucion mensual nacionali'!$A$4,"indicador","NORUEGA","mes",1,"año",2007)/GETPIVOTDATA("dato",'[1]evolucion mensual nacionali'!$A$4,"indicador","TOTAL","mes",1,"año",2007)</f>
        <v>2.205831667470876E-3</v>
      </c>
      <c r="N57" s="203">
        <f>GETPIVOTDATA("dato",'[1]evolucion mensual nacionali'!$A$4,"indicador","DINAMARCA","mes",1,"año",2007)/GETPIVOTDATA("dato",'[1]evolucion mensual nacionali'!$A$4,"indicador","TOTAL","mes",1,"año",2007)</f>
        <v>2.7572895843385953E-3</v>
      </c>
      <c r="O57" s="203">
        <f>GETPIVOTDATA("dato",'[1]evolucion mensual nacionali'!$A$4,"indicador","FINLANDIA","mes",1,"año",2007)/GETPIVOTDATA("dato",'[1]evolucion mensual nacionali'!$A$4,"indicador","TOTAL","mes",1,"año",2007)</f>
        <v>1.9301027090370165E-3</v>
      </c>
      <c r="P57" s="203">
        <f>GETPIVOTDATA("dato",'[1]evolucion mensual nacionali'!$A$4,"indicador","SUIZA","mes",1,"año",2007)/GETPIVOTDATA("dato",'[1]evolucion mensual nacionali'!$A$4,"indicador","TOTAL","mes",1,"año",2007)</f>
        <v>3.5844764596401736E-3</v>
      </c>
      <c r="Q57" s="203">
        <f>GETPIVOTDATA("dato",'[1]evolucion mensual nacionali'!$A$4,"indicador","AUSTRIA","mes",1,"año",2007)/GETPIVOTDATA("dato",'[1]evolucion mensual nacionali'!$A$4,"indicador","TOTAL","mes",1,"año",2007)</f>
        <v>2.9640863031639899E-3</v>
      </c>
      <c r="R57" s="203">
        <f>GETPIVOTDATA("dato",'[1]evolucion mensual nacionali'!$A$4,"indicador","RUSIA","mes",1,"año",2007)/GETPIVOTDATA("dato",'[1]evolucion mensual nacionali'!$A$4,"indicador","TOTAL","mes",1,"año",2007)</f>
        <v>1.6543737506031571E-3</v>
      </c>
      <c r="S57" s="203">
        <f>GETPIVOTDATA("dato",'[1]evolucion mensual nacionali'!$A$4,"indicador","PAÍSES DEL ESTE","mes",1,"año",2007)/GETPIVOTDATA("dato",'[1]evolucion mensual nacionali'!$A$4,"indicador","TOTAL","mes",1,"año",2007)</f>
        <v>7.306817398497277E-3</v>
      </c>
      <c r="T57" s="203">
        <f>GETPIVOTDATA("dato",'[1]evolucion mensual nacionali'!$A$4,"indicador","RESTO DE EUROPA","mes",1,"año",2007)/GETPIVOTDATA("dato",'[1]evolucion mensual nacionali'!$A$4,"indicador","TOTAL","mes",1,"año",2007)</f>
        <v>1.440683807816916E-2</v>
      </c>
      <c r="U57" s="203">
        <f>GETPIVOTDATA("dato",'[1]evolucion mensual nacionali'!$A$4,"indicador","USA","mes",1,"año",2007)/GETPIVOTDATA("dato",'[1]evolucion mensual nacionali'!$A$4,"indicador","TOTAL","mes",1,"año",2007)</f>
        <v>3.5155442200317088E-3</v>
      </c>
      <c r="V57" s="203">
        <f>GETPIVOTDATA("dato",'[1]evolucion mensual nacionali'!$A$4,"indicador","RESTO DE AMÉRICA","mes",1,"año",2007)/GETPIVOTDATA("dato",'[1]evolucion mensual nacionali'!$A$4,"indicador","TOTAL","mes",1,"año",2007)</f>
        <v>2.2609774591576481E-2</v>
      </c>
      <c r="W57" s="203">
        <f>GETPIVOTDATA("dato",'[1]evolucion mensual nacionali'!$A$4,"indicador","RESTO DEL MUNDO","mes",1,"año",2007)/GETPIVOTDATA("dato",'[1]evolucion mensual nacionali'!$A$4,"indicador","TOTAL","mes",1,"año",2007)</f>
        <v>1.440683807816916E-2</v>
      </c>
      <c r="X57" s="203">
        <f>(GETPIVOTDATA("dato",'[1]evolucion mensual nacionali'!$A$4,"indicador","TOTAL","mes",1,"año",2007)-GETPIVOTDATA("dato",'[1]evolucion mensual nacionali'!$A$4,"indicador","España","mes",1,"año",2007))/GETPIVOTDATA("dato",'[1]evolucion mensual nacionali'!$A$4,"indicador","TOTAL","mes",1,"año",2007)</f>
        <v>0.17812090714827325</v>
      </c>
      <c r="Y57" s="205">
        <f>GETPIVOTDATA("dato",'[1]evolucion mensual nacionali'!$A$4,"indicador","TOTAL","mes",1,"año",2007)/GETPIVOTDATA("dato",'[1]evolucion mensual nacionali'!$A$4,"indicador","TOTAL","mes",1,"año",2007)</f>
        <v>1</v>
      </c>
    </row>
    <row r="58" spans="2:25" collapsed="1">
      <c r="B58" s="214">
        <v>2007</v>
      </c>
      <c r="C58" s="216">
        <f>GETPIVOTDATA("dato",'[1]evolucion mensual nacionali'!$A$4,"indicador","España","año",2007)/GETPIVOTDATA("dato",'[1]evolucion mensual nacionali'!$A$4,"indicador","TOTAL","año",2007)</f>
        <v>0.85024365012386682</v>
      </c>
      <c r="D58" s="216">
        <f>GETPIVOTDATA("dato",'[1]evolucion mensual nacionali'!$A$4,"indicador","HOLANDA","año",2007)/GETPIVOTDATA("dato",'[1]evolucion mensual nacionali'!$A$4,"indicador","TOTAL","año",2007)</f>
        <v>3.1524786976288351E-3</v>
      </c>
      <c r="E58" s="216">
        <f>GETPIVOTDATA("dato",'[1]evolucion mensual nacionali'!$A$4,"indicador","BÉLGICA","año",2007)/GETPIVOTDATA("dato",'[1]evolucion mensual nacionali'!$A$4,"indicador","TOTAL","año",2007)</f>
        <v>2.384776631366891E-3</v>
      </c>
      <c r="F58" s="216">
        <f>GETPIVOTDATA("dato",'[1]evolucion mensual nacionali'!$A$4,"indicador","ALEMANIA","año",2007)/GETPIVOTDATA("dato",'[1]evolucion mensual nacionali'!$A$4,"indicador","TOTAL","año",2007)</f>
        <v>1.9824136335175456E-2</v>
      </c>
      <c r="G58" s="216">
        <f>GETPIVOTDATA("dato",'[1]evolucion mensual nacionali'!$A$4,"indicador","FRANCIA","año",2007)/GETPIVOTDATA("dato",'[1]evolucion mensual nacionali'!$A$4,"indicador","TOTAL","año",2007)</f>
        <v>1.2070889935480358E-2</v>
      </c>
      <c r="H58" s="216">
        <f>GETPIVOTDATA("dato",'[1]evolucion mensual nacionali'!$A$4,"indicador","REINO UNIDO","año",2007)/GETPIVOTDATA("dato",'[1]evolucion mensual nacionali'!$A$4,"indicador","TOTAL","año",2007)</f>
        <v>1.7243350665614027E-2</v>
      </c>
      <c r="I58" s="216">
        <f>GETPIVOTDATA("dato",'[1]evolucion mensual nacionali'!$A$4,"indicador","IRLANDA","año",2007)/GETPIVOTDATA("dato",'[1]evolucion mensual nacionali'!$A$4,"indicador","TOTAL","año",2007)</f>
        <v>3.7677292897394712E-3</v>
      </c>
      <c r="J58" s="216">
        <f>GETPIVOTDATA("dato",'[1]evolucion mensual nacionali'!$A$4,"indicador","ITALIA","año",2007)/GETPIVOTDATA("dato",'[1]evolucion mensual nacionali'!$A$4,"indicador","TOTAL","año",2007)</f>
        <v>1.4499224130890481E-2</v>
      </c>
      <c r="K58" s="216">
        <f>(GETPIVOTDATA("dato",'[1]evolucion mensual nacionali'!$A$4,"indicador","SUECIA","año",2007)+GETPIVOTDATA("dato",'[1]evolucion mensual nacionali'!$A$4,"indicador","NORUEGA","año",2007)+GETPIVOTDATA("dato",'[1]evolucion mensual nacionali'!$A$4,"indicador","DINAMARCA","año",2007)+GETPIVOTDATA("dato",'[1]evolucion mensual nacionali'!$A$4,"indicador","FINLANDIA","año",2007))/GETPIVOTDATA("dato",'[1]evolucion mensual nacionali'!$A$4,"indicador","TOTAL","año",2007)</f>
        <v>8.8748536738082924E-3</v>
      </c>
      <c r="L58" s="216">
        <f>GETPIVOTDATA("dato",'[1]evolucion mensual nacionali'!$A$4,"indicador","SUECIA","año",2007)/GETPIVOTDATA("dato",'[1]evolucion mensual nacionali'!$A$4,"indicador","TOTAL","año",2007)</f>
        <v>2.5372281055181991E-3</v>
      </c>
      <c r="M58" s="216">
        <f>GETPIVOTDATA("dato",'[1]evolucion mensual nacionali'!$A$4,"indicador","NORUEGA","año",2007)/GETPIVOTDATA("dato",'[1]evolucion mensual nacionali'!$A$4,"indicador","TOTAL","año",2007)</f>
        <v>2.2214357662047749E-3</v>
      </c>
      <c r="N58" s="216">
        <f>GETPIVOTDATA("dato",'[1]evolucion mensual nacionali'!$A$4,"indicador","DINAMARCA","año",2007)/GETPIVOTDATA("dato",'[1]evolucion mensual nacionali'!$A$4,"indicador","TOTAL","año",2007)</f>
        <v>2.0308714235156397E-3</v>
      </c>
      <c r="O58" s="216">
        <f>GETPIVOTDATA("dato",'[1]evolucion mensual nacionali'!$A$4,"indicador","FINLANDIA","año",2007)/GETPIVOTDATA("dato",'[1]evolucion mensual nacionali'!$A$4,"indicador","TOTAL","año",2007)</f>
        <v>2.0853183785696783E-3</v>
      </c>
      <c r="P58" s="216">
        <f>GETPIVOTDATA("dato",'[1]evolucion mensual nacionali'!$A$4,"indicador","SUIZA","año",2007)/GETPIVOTDATA("dato",'[1]evolucion mensual nacionali'!$A$4,"indicador","TOTAL","año",2007)</f>
        <v>2.7931287942721803E-3</v>
      </c>
      <c r="Q58" s="216">
        <f>GETPIVOTDATA("dato",'[1]evolucion mensual nacionali'!$A$4,"indicador","AUSTRIA","año",2007)/GETPIVOTDATA("dato",'[1]evolucion mensual nacionali'!$A$4,"indicador","TOTAL","año",2007)</f>
        <v>1.7858601257724662E-3</v>
      </c>
      <c r="R58" s="216">
        <f>GETPIVOTDATA("dato",'[1]evolucion mensual nacionali'!$A$4,"indicador","RUSIA","año",2007)/GETPIVOTDATA("dato",'[1]evolucion mensual nacionali'!$A$4,"indicador","TOTAL","año",2007)</f>
        <v>1.442844308932023E-3</v>
      </c>
      <c r="S58" s="216">
        <f>GETPIVOTDATA("dato",'[1]evolucion mensual nacionali'!$A$4,"indicador","PAÍSES DEL ESTE","año",2007)/GETPIVOTDATA("dato",'[1]evolucion mensual nacionali'!$A$4,"indicador","TOTAL","año",2007)</f>
        <v>5.5372553289957261E-3</v>
      </c>
      <c r="T58" s="216">
        <f>GETPIVOTDATA("dato",'[1]evolucion mensual nacionali'!$A$4,"indicador","RESTO DE EUROPA","año",2007)/GETPIVOTDATA("dato",'[1]evolucion mensual nacionali'!$A$4,"indicador","TOTAL","año",2007)</f>
        <v>1.0252361636675469E-2</v>
      </c>
      <c r="U58" s="216">
        <f>GETPIVOTDATA("dato",'[1]evolucion mensual nacionali'!$A$4,"indicador","USA","año",2007)/GETPIVOTDATA("dato",'[1]evolucion mensual nacionali'!$A$4,"indicador","TOTAL","año",2007)</f>
        <v>5.0036751694661477E-3</v>
      </c>
      <c r="V58" s="216">
        <f>GETPIVOTDATA("dato",'[1]evolucion mensual nacionali'!$A$4,"indicador","RESTO DE AMÉRICA","año",2007)/GETPIVOTDATA("dato",'[1]evolucion mensual nacionali'!$A$4,"indicador","TOTAL","año",2007)</f>
        <v>2.5459396183268451E-2</v>
      </c>
      <c r="W58" s="216">
        <f>GETPIVOTDATA("dato",'[1]evolucion mensual nacionali'!$A$4,"indicador","RESTO DEL MUNDO","año",2007)/GETPIVOTDATA("dato",'[1]evolucion mensual nacionali'!$A$4,"indicador","TOTAL","año",2007)</f>
        <v>1.5664388969046907E-2</v>
      </c>
      <c r="X58" s="216">
        <f>(GETPIVOTDATA("dato",'[1]evolucion mensual nacionali'!$A$4,"indicador","TOTAL","año",2007)-GETPIVOTDATA("dato",'[1]evolucion mensual nacionali'!$A$4,"indicador","España","año",2007))/GETPIVOTDATA("dato",'[1]evolucion mensual nacionali'!$A$4,"indicador","TOTAL","año",2007)</f>
        <v>0.14975634987613318</v>
      </c>
      <c r="Y58" s="293">
        <f>GETPIVOTDATA("dato",'[1]evolucion mensual nacionali'!$A$4,"indicador","TOTAL","año",2007)/GETPIVOTDATA("dato",'[1]evolucion mensual nacionali'!$A$4,"indicador","TOTAL","año",2007)</f>
        <v>1</v>
      </c>
    </row>
    <row r="59" spans="2:25" hidden="1" outlineLevel="1">
      <c r="B59" s="51" t="s">
        <v>38</v>
      </c>
      <c r="C59" s="203">
        <f>GETPIVOTDATA("dato",'[1]evolucion mensual nacionali'!$A$4,"indicador","España","mes",12,"año",2006)/GETPIVOTDATA("dato",'[1]evolucion mensual nacionali'!$A$4,"indicador","TOTAL","mes",12,"año",2006)</f>
        <v>0.82993641927624928</v>
      </c>
      <c r="D59" s="203">
        <f>GETPIVOTDATA("dato",'[1]evolucion mensual nacionali'!$A$4,"indicador","HOLANDA","mes",12,"año",2006)/GETPIVOTDATA("dato",'[1]evolucion mensual nacionali'!$A$4,"indicador","TOTAL","mes",12,"año",2006)</f>
        <v>4.9319626834630698E-3</v>
      </c>
      <c r="E59" s="203">
        <f>GETPIVOTDATA("dato",'[1]evolucion mensual nacionali'!$A$4,"indicador","BÉLGICA","mes",12,"año",2006)/GETPIVOTDATA("dato",'[1]evolucion mensual nacionali'!$A$4,"indicador","TOTAL","mes",12,"año",2006)</f>
        <v>2.6739556717570861E-3</v>
      </c>
      <c r="F59" s="203">
        <f>GETPIVOTDATA("dato",'[1]evolucion mensual nacionali'!$A$4,"indicador","ALEMANIA","mes",12,"año",2006)/GETPIVOTDATA("dato",'[1]evolucion mensual nacionali'!$A$4,"indicador","TOTAL","mes",12,"año",2006)</f>
        <v>2.810624517202448E-2</v>
      </c>
      <c r="G59" s="203">
        <f>GETPIVOTDATA("dato",'[1]evolucion mensual nacionali'!$A$4,"indicador","FRANCIA","mes",12,"año",2006)/GETPIVOTDATA("dato",'[1]evolucion mensual nacionali'!$A$4,"indicador","TOTAL","mes",12,"año",2006)</f>
        <v>1.2240774852932438E-2</v>
      </c>
      <c r="H59" s="203">
        <f>GETPIVOTDATA("dato",'[1]evolucion mensual nacionali'!$A$4,"indicador","REINO UNIDO","mes",12,"año",2006)/GETPIVOTDATA("dato",'[1]evolucion mensual nacionali'!$A$4,"indicador","TOTAL","mes",12,"año",2006)</f>
        <v>2.2996018777110938E-2</v>
      </c>
      <c r="I59" s="203">
        <f>GETPIVOTDATA("dato",'[1]evolucion mensual nacionali'!$A$4,"indicador","IRLANDA","mes",12,"año",2006)/GETPIVOTDATA("dato",'[1]evolucion mensual nacionali'!$A$4,"indicador","TOTAL","mes",12,"año",2006)</f>
        <v>5.4667538178144867E-3</v>
      </c>
      <c r="J59" s="203">
        <f>GETPIVOTDATA("dato",'[1]evolucion mensual nacionali'!$A$4,"indicador","ITALIA","mes",12,"año",2006)/GETPIVOTDATA("dato",'[1]evolucion mensual nacionali'!$A$4,"indicador","TOTAL","mes",12,"año",2006)</f>
        <v>1.4201675678887634E-2</v>
      </c>
      <c r="K59" s="203">
        <f>(GETPIVOTDATA("dato",'[1]evolucion mensual nacionali'!$A$4,"indicador","SUECIA","mes",12,"año",2006)+GETPIVOTDATA("dato",'[1]evolucion mensual nacionali'!$A$4,"indicador","NORUEGA","mes",12,"año",2006)+GETPIVOTDATA("dato",'[1]evolucion mensual nacionali'!$A$4,"indicador","DINAMARCA","mes",12,"año",2006)+GETPIVOTDATA("dato",'[1]evolucion mensual nacionali'!$A$4,"indicador","FINLANDIA","mes",12,"año",2006))/GETPIVOTDATA("dato",'[1]evolucion mensual nacionali'!$A$4,"indicador","TOTAL","mes",12,"año",2006)</f>
        <v>1.0161031552676926E-2</v>
      </c>
      <c r="L59" s="203">
        <f>GETPIVOTDATA("dato",'[1]evolucion mensual nacionali'!$A$4,"indicador","SUECIA","mes",12,"año",2006)/GETPIVOTDATA("dato",'[1]evolucion mensual nacionali'!$A$4,"indicador","TOTAL","mes",12,"año",2006)</f>
        <v>2.3768494860062985E-3</v>
      </c>
      <c r="M59" s="203">
        <f>GETPIVOTDATA("dato",'[1]evolucion mensual nacionali'!$A$4,"indicador","NORUEGA","mes",12,"año",2006)/GETPIVOTDATA("dato",'[1]evolucion mensual nacionali'!$A$4,"indicador","TOTAL","mes",12,"año",2006)</f>
        <v>1.6043734030542515E-3</v>
      </c>
      <c r="N59" s="203">
        <f>GETPIVOTDATA("dato",'[1]evolucion mensual nacionali'!$A$4,"indicador","DINAMARCA","mes",12,"año",2006)/GETPIVOTDATA("dato",'[1]evolucion mensual nacionali'!$A$4,"indicador","TOTAL","mes",12,"año",2006)</f>
        <v>2.5551131974567709E-3</v>
      </c>
      <c r="O59" s="203">
        <f>GETPIVOTDATA("dato",'[1]evolucion mensual nacionali'!$A$4,"indicador","FINLANDIA","mes",12,"año",2006)/GETPIVOTDATA("dato",'[1]evolucion mensual nacionali'!$A$4,"indicador","TOTAL","mes",12,"año",2006)</f>
        <v>3.6246954661596055E-3</v>
      </c>
      <c r="P59" s="203">
        <f>GETPIVOTDATA("dato",'[1]evolucion mensual nacionali'!$A$4,"indicador","SUIZA","mes",12,"año",2006)/GETPIVOTDATA("dato",'[1]evolucion mensual nacionali'!$A$4,"indicador","TOTAL","mes",12,"año",2006)</f>
        <v>3.208746806108503E-3</v>
      </c>
      <c r="Q59" s="203">
        <f>GETPIVOTDATA("dato",'[1]evolucion mensual nacionali'!$A$4,"indicador","AUSTRIA","mes",12,"año",2006)/GETPIVOTDATA("dato",'[1]evolucion mensual nacionali'!$A$4,"indicador","TOTAL","mes",12,"año",2006)</f>
        <v>1.4261096916037793E-3</v>
      </c>
      <c r="R59" s="203">
        <f>GETPIVOTDATA("dato",'[1]evolucion mensual nacionali'!$A$4,"indicador","RUSIA","mes",12,"año",2006)/GETPIVOTDATA("dato",'[1]evolucion mensual nacionali'!$A$4,"indicador","TOTAL","mes",12,"año",2006)</f>
        <v>3.4464317547091331E-3</v>
      </c>
      <c r="S59" s="203">
        <f>GETPIVOTDATA("dato",'[1]evolucion mensual nacionali'!$A$4,"indicador","PAÍSES DEL ESTE","mes",12,"año",2006)/GETPIVOTDATA("dato",'[1]evolucion mensual nacionali'!$A$4,"indicador","TOTAL","mes",12,"año",2006)</f>
        <v>4.1594866005110224E-3</v>
      </c>
      <c r="T59" s="203">
        <f>GETPIVOTDATA("dato",'[1]evolucion mensual nacionali'!$A$4,"indicador","RESTO DE EUROPA","mes",12,"año",2006)/GETPIVOTDATA("dato",'[1]evolucion mensual nacionali'!$A$4,"indicador","TOTAL","mes",12,"año",2006)</f>
        <v>1.1646562481430863E-2</v>
      </c>
      <c r="U59" s="203">
        <f>GETPIVOTDATA("dato",'[1]evolucion mensual nacionali'!$A$4,"indicador","USA","mes",12,"año",2006)/GETPIVOTDATA("dato",'[1]evolucion mensual nacionali'!$A$4,"indicador","TOTAL","mes",12,"año",2006)</f>
        <v>4.8131202091627545E-3</v>
      </c>
      <c r="V59" s="203">
        <f>GETPIVOTDATA("dato",'[1]evolucion mensual nacionali'!$A$4,"indicador","RESTO DE AMÉRICA","mes",12,"año",2006)/GETPIVOTDATA("dato",'[1]evolucion mensual nacionali'!$A$4,"indicador","TOTAL","mes",12,"año",2006)</f>
        <v>2.5967080634618812E-2</v>
      </c>
      <c r="W59" s="203">
        <f>GETPIVOTDATA("dato",'[1]evolucion mensual nacionali'!$A$4,"indicador","RESTO DEL MUNDO","mes",12,"año",2006)/GETPIVOTDATA("dato",'[1]evolucion mensual nacionali'!$A$4,"indicador","TOTAL","mes",12,"año",2006)</f>
        <v>1.4617624338938737E-2</v>
      </c>
      <c r="X59" s="203">
        <f>(GETPIVOTDATA("dato",'[1]evolucion mensual nacionali'!$A$4,"indicador","TOTAL","mes",12,"año",2006)-GETPIVOTDATA("dato",'[1]evolucion mensual nacionali'!$A$4,"indicador","España","mes",12,"año",2006))/GETPIVOTDATA("dato",'[1]evolucion mensual nacionali'!$A$4,"indicador","TOTAL","mes",12,"año",2006)</f>
        <v>0.17006358072375066</v>
      </c>
      <c r="Y59" s="205">
        <f>GETPIVOTDATA("dato",'[1]evolucion mensual nacionali'!$A$4,"indicador","TOTAL","mes",12,"año",2006)/GETPIVOTDATA("dato",'[1]evolucion mensual nacionali'!$A$4,"indicador","TOTAL","mes",12,"año",2006)</f>
        <v>1</v>
      </c>
    </row>
    <row r="60" spans="2:25" hidden="1" outlineLevel="1">
      <c r="B60" s="51" t="s">
        <v>39</v>
      </c>
      <c r="C60" s="203">
        <f>GETPIVOTDATA("dato",'[1]evolucion mensual nacionali'!$A$4,"indicador","España","mes",11,"año",2006)/GETPIVOTDATA("dato",'[1]evolucion mensual nacionali'!$A$4,"indicador","TOTAL","mes",11,"año",2006)</f>
        <v>0.84596671642616239</v>
      </c>
      <c r="D60" s="203">
        <f>GETPIVOTDATA("dato",'[1]evolucion mensual nacionali'!$A$4,"indicador","HOLANDA","mes",11,"año",2006)/GETPIVOTDATA("dato",'[1]evolucion mensual nacionali'!$A$4,"indicador","TOTAL","mes",11,"año",2006)</f>
        <v>3.870183004367778E-3</v>
      </c>
      <c r="E60" s="203">
        <f>GETPIVOTDATA("dato",'[1]evolucion mensual nacionali'!$A$4,"indicador","BÉLGICA","mes",11,"año",2006)/GETPIVOTDATA("dato",'[1]evolucion mensual nacionali'!$A$4,"indicador","TOTAL","mes",11,"año",2006)</f>
        <v>2.4326864598883174E-3</v>
      </c>
      <c r="F60" s="203">
        <f>GETPIVOTDATA("dato",'[1]evolucion mensual nacionali'!$A$4,"indicador","ALEMANIA","mes",11,"año",2006)/GETPIVOTDATA("dato",'[1]evolucion mensual nacionali'!$A$4,"indicador","TOTAL","mes",11,"año",2006)</f>
        <v>2.4879747885221428E-2</v>
      </c>
      <c r="G60" s="203">
        <f>GETPIVOTDATA("dato",'[1]evolucion mensual nacionali'!$A$4,"indicador","FRANCIA","mes",11,"año",2006)/GETPIVOTDATA("dato",'[1]evolucion mensual nacionali'!$A$4,"indicador","TOTAL","mes",11,"año",2006)</f>
        <v>1.1665837341737159E-2</v>
      </c>
      <c r="H60" s="203">
        <f>GETPIVOTDATA("dato",'[1]evolucion mensual nacionali'!$A$4,"indicador","REINO UNIDO","mes",11,"año",2006)/GETPIVOTDATA("dato",'[1]evolucion mensual nacionali'!$A$4,"indicador","TOTAL","mes",11,"año",2006)</f>
        <v>1.6697075247415271E-2</v>
      </c>
      <c r="I60" s="203">
        <f>GETPIVOTDATA("dato",'[1]evolucion mensual nacionali'!$A$4,"indicador","IRLANDA","mes",11,"año",2006)/GETPIVOTDATA("dato",'[1]evolucion mensual nacionali'!$A$4,"indicador","TOTAL","mes",11,"año",2006)</f>
        <v>4.9759495770442864E-4</v>
      </c>
      <c r="J60" s="203">
        <f>GETPIVOTDATA("dato",'[1]evolucion mensual nacionali'!$A$4,"indicador","ITALIA","mes",11,"año",2006)/GETPIVOTDATA("dato",'[1]evolucion mensual nacionali'!$A$4,"indicador","TOTAL","mes",11,"año",2006)</f>
        <v>1.238458561397689E-2</v>
      </c>
      <c r="K60" s="203">
        <f>(GETPIVOTDATA("dato",'[1]evolucion mensual nacionali'!$A$4,"indicador","SUECIA","mes",11,"año",2006)+GETPIVOTDATA("dato",'[1]evolucion mensual nacionali'!$A$4,"indicador","NORUEGA","mes",11,"año",2006)+GETPIVOTDATA("dato",'[1]evolucion mensual nacionali'!$A$4,"indicador","DINAMARCA","mes",11,"año",2006)+GETPIVOTDATA("dato",'[1]evolucion mensual nacionali'!$A$4,"indicador","FINLANDIA","mes",11,"año",2006))/GETPIVOTDATA("dato",'[1]evolucion mensual nacionali'!$A$4,"indicador","TOTAL","mes",11,"año",2006)</f>
        <v>1.3379775529385747E-2</v>
      </c>
      <c r="L60" s="203">
        <f>GETPIVOTDATA("dato",'[1]evolucion mensual nacionali'!$A$4,"indicador","SUECIA","mes",11,"año",2006)/GETPIVOTDATA("dato",'[1]evolucion mensual nacionali'!$A$4,"indicador","TOTAL","mes",11,"año",2006)</f>
        <v>5.9158511638193181E-3</v>
      </c>
      <c r="M60" s="203">
        <f>GETPIVOTDATA("dato",'[1]evolucion mensual nacionali'!$A$4,"indicador","NORUEGA","mes",11,"año",2006)/GETPIVOTDATA("dato",'[1]evolucion mensual nacionali'!$A$4,"indicador","TOTAL","mes",11,"año",2006)</f>
        <v>3.593741361198651E-3</v>
      </c>
      <c r="N60" s="203">
        <f>GETPIVOTDATA("dato",'[1]evolucion mensual nacionali'!$A$4,"indicador","DINAMARCA","mes",11,"año",2006)/GETPIVOTDATA("dato",'[1]evolucion mensual nacionali'!$A$4,"indicador","TOTAL","mes",11,"año",2006)</f>
        <v>2.1009564880853653E-3</v>
      </c>
      <c r="O60" s="203">
        <f>GETPIVOTDATA("dato",'[1]evolucion mensual nacionali'!$A$4,"indicador","FINLANDIA","mes",11,"año",2006)/GETPIVOTDATA("dato",'[1]evolucion mensual nacionali'!$A$4,"indicador","TOTAL","mes",11,"año",2006)</f>
        <v>1.7692265162824127E-3</v>
      </c>
      <c r="P60" s="203">
        <f>GETPIVOTDATA("dato",'[1]evolucion mensual nacionali'!$A$4,"indicador","SUIZA","mes",11,"año",2006)/GETPIVOTDATA("dato",'[1]evolucion mensual nacionali'!$A$4,"indicador","TOTAL","mes",11,"año",2006)</f>
        <v>1.9903798308177146E-3</v>
      </c>
      <c r="Q60" s="203">
        <f>GETPIVOTDATA("dato",'[1]evolucion mensual nacionali'!$A$4,"indicador","AUSTRIA","mes",11,"año",2006)/GETPIVOTDATA("dato",'[1]evolucion mensual nacionali'!$A$4,"indicador","TOTAL","mes",11,"año",2006)</f>
        <v>2.1562448167191904E-3</v>
      </c>
      <c r="R60" s="203">
        <f>GETPIVOTDATA("dato",'[1]evolucion mensual nacionali'!$A$4,"indicador","RUSIA","mes",11,"año",2006)/GETPIVOTDATA("dato",'[1]evolucion mensual nacionali'!$A$4,"indicador","TOTAL","mes",11,"año",2006)</f>
        <v>1.4927848731132857E-3</v>
      </c>
      <c r="S60" s="203">
        <f>GETPIVOTDATA("dato",'[1]evolucion mensual nacionali'!$A$4,"indicador","PAÍSES DEL ESTE","mes",11,"año",2006)/GETPIVOTDATA("dato",'[1]evolucion mensual nacionali'!$A$4,"indicador","TOTAL","mes",11,"año",2006)</f>
        <v>3.1514347321280477E-3</v>
      </c>
      <c r="T60" s="203">
        <f>GETPIVOTDATA("dato",'[1]evolucion mensual nacionali'!$A$4,"indicador","RESTO DE EUROPA","mes",11,"año",2006)/GETPIVOTDATA("dato",'[1]evolucion mensual nacionali'!$A$4,"indicador","TOTAL","mes",11,"año",2006)</f>
        <v>9.0119975673135407E-3</v>
      </c>
      <c r="U60" s="203">
        <f>GETPIVOTDATA("dato",'[1]evolucion mensual nacionali'!$A$4,"indicador","USA","mes",11,"año",2006)/GETPIVOTDATA("dato",'[1]evolucion mensual nacionali'!$A$4,"indicador","TOTAL","mes",11,"año",2006)</f>
        <v>7.2427710510311275E-3</v>
      </c>
      <c r="V60" s="203">
        <f>GETPIVOTDATA("dato",'[1]evolucion mensual nacionali'!$A$4,"indicador","RESTO DE AMÉRICA","mes",11,"año",2006)/GETPIVOTDATA("dato",'[1]evolucion mensual nacionali'!$A$4,"indicador","TOTAL","mes",11,"año",2006)</f>
        <v>2.8915795875490685E-2</v>
      </c>
      <c r="W60" s="203">
        <f>GETPIVOTDATA("dato",'[1]evolucion mensual nacionali'!$A$4,"indicador","RESTO DEL MUNDO","mes",11,"año",2006)/GETPIVOTDATA("dato",'[1]evolucion mensual nacionali'!$A$4,"indicador","TOTAL","mes",11,"año",2006)</f>
        <v>1.4264388787526953E-2</v>
      </c>
      <c r="X60" s="203">
        <f>(GETPIVOTDATA("dato",'[1]evolucion mensual nacionali'!$A$4,"indicador","TOTAL","mes",11,"año",2006)-GETPIVOTDATA("dato",'[1]evolucion mensual nacionali'!$A$4,"indicador","España","mes",11,"año",2006))/GETPIVOTDATA("dato",'[1]evolucion mensual nacionali'!$A$4,"indicador","TOTAL","mes",11,"año",2006)</f>
        <v>0.15403328357383755</v>
      </c>
      <c r="Y60" s="205">
        <f>GETPIVOTDATA("dato",'[1]evolucion mensual nacionali'!$A$4,"indicador","TOTAL","mes",11,"año",2006)/GETPIVOTDATA("dato",'[1]evolucion mensual nacionali'!$A$4,"indicador","TOTAL","mes",11,"año",2006)</f>
        <v>1</v>
      </c>
    </row>
    <row r="61" spans="2:25" hidden="1" outlineLevel="1">
      <c r="B61" s="51" t="s">
        <v>40</v>
      </c>
      <c r="C61" s="203">
        <f>GETPIVOTDATA("dato",'[1]evolucion mensual nacionali'!$A$4,"indicador","España","mes",10,"año",2006)/GETPIVOTDATA("dato",'[1]evolucion mensual nacionali'!$A$4,"indicador","TOTAL","mes",10,"año",2006)</f>
        <v>0.87235395079778777</v>
      </c>
      <c r="D61" s="203">
        <f>GETPIVOTDATA("dato",'[1]evolucion mensual nacionali'!$A$4,"indicador","HOLANDA","mes",10,"año",2006)/GETPIVOTDATA("dato",'[1]evolucion mensual nacionali'!$A$4,"indicador","TOTAL","mes",10,"año",2006)</f>
        <v>3.051299980929375E-3</v>
      </c>
      <c r="E61" s="203">
        <f>GETPIVOTDATA("dato",'[1]evolucion mensual nacionali'!$A$4,"indicador","BÉLGICA","mes",10,"año",2006)/GETPIVOTDATA("dato",'[1]evolucion mensual nacionali'!$A$4,"indicador","TOTAL","mes",10,"año",2006)</f>
        <v>1.8434937384781641E-3</v>
      </c>
      <c r="F61" s="203">
        <f>GETPIVOTDATA("dato",'[1]evolucion mensual nacionali'!$A$4,"indicador","ALEMANIA","mes",10,"año",2006)/GETPIVOTDATA("dato",'[1]evolucion mensual nacionali'!$A$4,"indicador","TOTAL","mes",10,"año",2006)</f>
        <v>1.3413006166168711E-2</v>
      </c>
      <c r="G61" s="203">
        <f>GETPIVOTDATA("dato",'[1]evolucion mensual nacionali'!$A$4,"indicador","FRANCIA","mes",10,"año",2006)/GETPIVOTDATA("dato",'[1]evolucion mensual nacionali'!$A$4,"indicador","TOTAL","mes",10,"año",2006)</f>
        <v>1.195092492530672E-2</v>
      </c>
      <c r="H61" s="203">
        <f>GETPIVOTDATA("dato",'[1]evolucion mensual nacionali'!$A$4,"indicador","REINO UNIDO","mes",10,"año",2006)/GETPIVOTDATA("dato",'[1]evolucion mensual nacionali'!$A$4,"indicador","TOTAL","mes",10,"año",2006)</f>
        <v>1.3222299917360625E-2</v>
      </c>
      <c r="I61" s="203">
        <f>GETPIVOTDATA("dato",'[1]evolucion mensual nacionali'!$A$4,"indicador","IRLANDA","mes",10,"año",2006)/GETPIVOTDATA("dato",'[1]evolucion mensual nacionali'!$A$4,"indicador","TOTAL","mes",10,"año",2006)</f>
        <v>1.1442374928485157E-3</v>
      </c>
      <c r="J61" s="203">
        <f>GETPIVOTDATA("dato",'[1]evolucion mensual nacionali'!$A$4,"indicador","ITALIA","mes",10,"año",2006)/GETPIVOTDATA("dato",'[1]evolucion mensual nacionali'!$A$4,"indicador","TOTAL","mes",10,"año",2006)</f>
        <v>1.1378806178882461E-2</v>
      </c>
      <c r="K61" s="203">
        <f>(GETPIVOTDATA("dato",'[1]evolucion mensual nacionali'!$A$4,"indicador","SUECIA","mes",10,"año",2006)+GETPIVOTDATA("dato",'[1]evolucion mensual nacionali'!$A$4,"indicador","NORUEGA","mes",10,"año",2006)+GETPIVOTDATA("dato",'[1]evolucion mensual nacionali'!$A$4,"indicador","DINAMARCA","mes",10,"año",2006)+GETPIVOTDATA("dato",'[1]evolucion mensual nacionali'!$A$4,"indicador","FINLANDIA","mes",10,"año",2006))/GETPIVOTDATA("dato",'[1]evolucion mensual nacionali'!$A$4,"indicador","TOTAL","mes",10,"año",2006)</f>
        <v>5.5304812154344926E-3</v>
      </c>
      <c r="L61" s="203">
        <f>GETPIVOTDATA("dato",'[1]evolucion mensual nacionali'!$A$4,"indicador","SUECIA","mes",10,"año",2006)/GETPIVOTDATA("dato",'[1]evolucion mensual nacionali'!$A$4,"indicador","TOTAL","mes",10,"año",2006)</f>
        <v>1.5892187400673829E-3</v>
      </c>
      <c r="M61" s="203">
        <f>GETPIVOTDATA("dato",'[1]evolucion mensual nacionali'!$A$4,"indicador","NORUEGA","mes",10,"año",2006)/GETPIVOTDATA("dato",'[1]evolucion mensual nacionali'!$A$4,"indicador","TOTAL","mes",10,"año",2006)</f>
        <v>1.3349437416566017E-3</v>
      </c>
      <c r="N61" s="203">
        <f>GETPIVOTDATA("dato",'[1]evolucion mensual nacionali'!$A$4,"indicador","DINAMARCA","mes",10,"año",2006)/GETPIVOTDATA("dato",'[1]evolucion mensual nacionali'!$A$4,"indicador","TOTAL","mes",10,"año",2006)</f>
        <v>8.2639374483503905E-4</v>
      </c>
      <c r="O61" s="203">
        <f>GETPIVOTDATA("dato",'[1]evolucion mensual nacionali'!$A$4,"indicador","FINLANDIA","mes",10,"año",2006)/GETPIVOTDATA("dato",'[1]evolucion mensual nacionali'!$A$4,"indicador","TOTAL","mes",10,"año",2006)</f>
        <v>1.7799249888754689E-3</v>
      </c>
      <c r="P61" s="203">
        <f>GETPIVOTDATA("dato",'[1]evolucion mensual nacionali'!$A$4,"indicador","SUIZA","mes",10,"año",2006)/GETPIVOTDATA("dato",'[1]evolucion mensual nacionali'!$A$4,"indicador","TOTAL","mes",10,"año",2006)</f>
        <v>6.8654249570910941E-3</v>
      </c>
      <c r="Q61" s="203">
        <f>GETPIVOTDATA("dato",'[1]evolucion mensual nacionali'!$A$4,"indicador","AUSTRIA","mes",10,"año",2006)/GETPIVOTDATA("dato",'[1]evolucion mensual nacionali'!$A$4,"indicador","TOTAL","mes",10,"año",2006)</f>
        <v>1.5892187400673829E-3</v>
      </c>
      <c r="R61" s="203">
        <f>GETPIVOTDATA("dato",'[1]evolucion mensual nacionali'!$A$4,"indicador","RUSIA","mes",10,"año",2006)/GETPIVOTDATA("dato",'[1]evolucion mensual nacionali'!$A$4,"indicador","TOTAL","mes",10,"año",2006)</f>
        <v>8.8996249443773446E-4</v>
      </c>
      <c r="S61" s="203">
        <f>GETPIVOTDATA("dato",'[1]evolucion mensual nacionali'!$A$4,"indicador","PAÍSES DEL ESTE","mes",10,"año",2006)/GETPIVOTDATA("dato",'[1]evolucion mensual nacionali'!$A$4,"indicador","TOTAL","mes",10,"año",2006)</f>
        <v>2.4791812345051172E-3</v>
      </c>
      <c r="T61" s="203">
        <f>GETPIVOTDATA("dato",'[1]evolucion mensual nacionali'!$A$4,"indicador","RESTO DE EUROPA","mes",10,"año",2006)/GETPIVOTDATA("dato",'[1]evolucion mensual nacionali'!$A$4,"indicador","TOTAL","mes",10,"año",2006)</f>
        <v>7.8825249507342189E-3</v>
      </c>
      <c r="U61" s="203">
        <f>GETPIVOTDATA("dato",'[1]evolucion mensual nacionali'!$A$4,"indicador","USA","mes",10,"año",2006)/GETPIVOTDATA("dato",'[1]evolucion mensual nacionali'!$A$4,"indicador","TOTAL","mes",10,"año",2006)</f>
        <v>2.6698874833132034E-3</v>
      </c>
      <c r="V61" s="203">
        <f>GETPIVOTDATA("dato",'[1]evolucion mensual nacionali'!$A$4,"indicador","RESTO DE AMÉRICA","mes",10,"año",2006)/GETPIVOTDATA("dato",'[1]evolucion mensual nacionali'!$A$4,"indicador","TOTAL","mes",10,"año",2006)</f>
        <v>3.2102218549361135E-2</v>
      </c>
      <c r="W61" s="203">
        <f>GETPIVOTDATA("dato",'[1]evolucion mensual nacionali'!$A$4,"indicador","RESTO DEL MUNDO","mes",10,"año",2006)/GETPIVOTDATA("dato",'[1]evolucion mensual nacionali'!$A$4,"indicador","TOTAL","mes",10,"año",2006)</f>
        <v>1.1633081177293243E-2</v>
      </c>
      <c r="X61" s="203">
        <f>(GETPIVOTDATA("dato",'[1]evolucion mensual nacionali'!$A$4,"indicador","TOTAL","mes",10,"año",2006)-GETPIVOTDATA("dato",'[1]evolucion mensual nacionali'!$A$4,"indicador","España","mes",10,"año",2006))/GETPIVOTDATA("dato",'[1]evolucion mensual nacionali'!$A$4,"indicador","TOTAL","mes",10,"año",2006)</f>
        <v>0.1276460492022122</v>
      </c>
      <c r="Y61" s="205">
        <f>GETPIVOTDATA("dato",'[1]evolucion mensual nacionali'!$A$4,"indicador","TOTAL","mes",10,"año",2006)/GETPIVOTDATA("dato",'[1]evolucion mensual nacionali'!$A$4,"indicador","TOTAL","mes",10,"año",2006)</f>
        <v>1</v>
      </c>
    </row>
    <row r="62" spans="2:25" hidden="1" outlineLevel="1">
      <c r="B62" s="51" t="s">
        <v>41</v>
      </c>
      <c r="C62" s="203">
        <f>GETPIVOTDATA("dato",'[1]evolucion mensual nacionali'!$A$4,"indicador","España","mes",9,"año",2006)/GETPIVOTDATA("dato",'[1]evolucion mensual nacionali'!$A$4,"indicador","TOTAL","mes",9,"año",2006)</f>
        <v>0.86350065958480871</v>
      </c>
      <c r="D62" s="203">
        <f>GETPIVOTDATA("dato",'[1]evolucion mensual nacionali'!$A$4,"indicador","HOLANDA","mes",9,"año",2006)/GETPIVOTDATA("dato",'[1]evolucion mensual nacionali'!$A$4,"indicador","TOTAL","mes",9,"año",2006)</f>
        <v>4.5823786711101855E-3</v>
      </c>
      <c r="E62" s="203">
        <f>GETPIVOTDATA("dato",'[1]evolucion mensual nacionali'!$A$4,"indicador","BÉLGICA","mes",9,"año",2006)/GETPIVOTDATA("dato",'[1]evolucion mensual nacionali'!$A$4,"indicador","TOTAL","mes",9,"año",2006)</f>
        <v>2.7077692147469278E-3</v>
      </c>
      <c r="F62" s="203">
        <f>GETPIVOTDATA("dato",'[1]evolucion mensual nacionali'!$A$4,"indicador","ALEMANIA","mes",9,"año",2006)/GETPIVOTDATA("dato",'[1]evolucion mensual nacionali'!$A$4,"indicador","TOTAL","mes",9,"año",2006)</f>
        <v>1.6246615288481567E-2</v>
      </c>
      <c r="G62" s="203">
        <f>GETPIVOTDATA("dato",'[1]evolucion mensual nacionali'!$A$4,"indicador","FRANCIA","mes",9,"año",2006)/GETPIVOTDATA("dato",'[1]evolucion mensual nacionali'!$A$4,"indicador","TOTAL","mes",9,"año",2006)</f>
        <v>8.6093175032979242E-3</v>
      </c>
      <c r="H62" s="203">
        <f>GETPIVOTDATA("dato",'[1]evolucion mensual nacionali'!$A$4,"indicador","REINO UNIDO","mes",9,"año",2006)/GETPIVOTDATA("dato",'[1]evolucion mensual nacionali'!$A$4,"indicador","TOTAL","mes",9,"año",2006)</f>
        <v>1.3122266194542804E-2</v>
      </c>
      <c r="I62" s="203">
        <f>GETPIVOTDATA("dato",'[1]evolucion mensual nacionali'!$A$4,"indicador","IRLANDA","mes",9,"año",2006)/GETPIVOTDATA("dato",'[1]evolucion mensual nacionali'!$A$4,"indicador","TOTAL","mes",9,"año",2006)</f>
        <v>8.3315975838367008E-4</v>
      </c>
      <c r="J62" s="203">
        <f>GETPIVOTDATA("dato",'[1]evolucion mensual nacionali'!$A$4,"indicador","ITALIA","mes",9,"año",2006)/GETPIVOTDATA("dato",'[1]evolucion mensual nacionali'!$A$4,"indicador","TOTAL","mes",9,"año",2006)</f>
        <v>1.5552315489828508E-2</v>
      </c>
      <c r="K62" s="203">
        <f>(GETPIVOTDATA("dato",'[1]evolucion mensual nacionali'!$A$4,"indicador","SUECIA","mes",9,"año",2006)+GETPIVOTDATA("dato",'[1]evolucion mensual nacionali'!$A$4,"indicador","NORUEGA","mes",9,"año",2006)+GETPIVOTDATA("dato",'[1]evolucion mensual nacionali'!$A$4,"indicador","DINAMARCA","mes",9,"año",2006)+GETPIVOTDATA("dato",'[1]evolucion mensual nacionali'!$A$4,"indicador","FINLANDIA","mes",9,"año",2006))/GETPIVOTDATA("dato",'[1]evolucion mensual nacionali'!$A$4,"indicador","TOTAL","mes",9,"año",2006)</f>
        <v>4.8600985905714088E-3</v>
      </c>
      <c r="L62" s="203">
        <f>GETPIVOTDATA("dato",'[1]evolucion mensual nacionali'!$A$4,"indicador","SUECIA","mes",9,"año",2006)/GETPIVOTDATA("dato",'[1]evolucion mensual nacionali'!$A$4,"indicador","TOTAL","mes",9,"año",2006)</f>
        <v>1.6663195167673402E-3</v>
      </c>
      <c r="M62" s="203">
        <f>GETPIVOTDATA("dato",'[1]evolucion mensual nacionali'!$A$4,"indicador","NORUEGA","mes",9,"año",2006)/GETPIVOTDATA("dato",'[1]evolucion mensual nacionali'!$A$4,"indicador","TOTAL","mes",9,"año",2006)</f>
        <v>9.7201971811428176E-4</v>
      </c>
      <c r="N62" s="203">
        <f>GETPIVOTDATA("dato",'[1]evolucion mensual nacionali'!$A$4,"indicador","DINAMARCA","mes",9,"año",2006)/GETPIVOTDATA("dato",'[1]evolucion mensual nacionali'!$A$4,"indicador","TOTAL","mes",9,"año",2006)</f>
        <v>1.0414496979795876E-3</v>
      </c>
      <c r="O62" s="203">
        <f>GETPIVOTDATA("dato",'[1]evolucion mensual nacionali'!$A$4,"indicador","FINLANDIA","mes",9,"año",2006)/GETPIVOTDATA("dato",'[1]evolucion mensual nacionali'!$A$4,"indicador","TOTAL","mes",9,"año",2006)</f>
        <v>1.1803096577101993E-3</v>
      </c>
      <c r="P62" s="203">
        <f>GETPIVOTDATA("dato",'[1]evolucion mensual nacionali'!$A$4,"indicador","SUIZA","mes",9,"año",2006)/GETPIVOTDATA("dato",'[1]evolucion mensual nacionali'!$A$4,"indicador","TOTAL","mes",9,"año",2006)</f>
        <v>3.1243490939387628E-3</v>
      </c>
      <c r="Q62" s="203">
        <f>GETPIVOTDATA("dato",'[1]evolucion mensual nacionali'!$A$4,"indicador","AUSTRIA","mes",9,"año",2006)/GETPIVOTDATA("dato",'[1]evolucion mensual nacionali'!$A$4,"indicador","TOTAL","mes",9,"año",2006)</f>
        <v>2.0134694160938694E-3</v>
      </c>
      <c r="R62" s="203">
        <f>GETPIVOTDATA("dato",'[1]evolucion mensual nacionali'!$A$4,"indicador","RUSIA","mes",9,"año",2006)/GETPIVOTDATA("dato",'[1]evolucion mensual nacionali'!$A$4,"indicador","TOTAL","mes",9,"año",2006)</f>
        <v>4.1657987919183504E-4</v>
      </c>
      <c r="S62" s="203">
        <f>GETPIVOTDATA("dato",'[1]evolucion mensual nacionali'!$A$4,"indicador","PAÍSES DEL ESTE","mes",9,"año",2006)/GETPIVOTDATA("dato",'[1]evolucion mensual nacionali'!$A$4,"indicador","TOTAL","mes",9,"año",2006)</f>
        <v>2.6383392348816219E-3</v>
      </c>
      <c r="T62" s="203">
        <f>GETPIVOTDATA("dato",'[1]evolucion mensual nacionali'!$A$4,"indicador","RESTO DE EUROPA","mes",9,"año",2006)/GETPIVOTDATA("dato",'[1]evolucion mensual nacionali'!$A$4,"indicador","TOTAL","mes",9,"año",2006)</f>
        <v>5.6238283690897726E-3</v>
      </c>
      <c r="U62" s="203">
        <f>GETPIVOTDATA("dato",'[1]evolucion mensual nacionali'!$A$4,"indicador","USA","mes",9,"año",2006)/GETPIVOTDATA("dato",'[1]evolucion mensual nacionali'!$A$4,"indicador","TOTAL","mes",9,"año",2006)</f>
        <v>3.888078872457127E-3</v>
      </c>
      <c r="V62" s="203">
        <f>GETPIVOTDATA("dato",'[1]evolucion mensual nacionali'!$A$4,"indicador","RESTO DE AMÉRICA","mes",9,"año",2006)/GETPIVOTDATA("dato",'[1]evolucion mensual nacionali'!$A$4,"indicador","TOTAL","mes",9,"año",2006)</f>
        <v>3.4159550093730472E-2</v>
      </c>
      <c r="W62" s="203">
        <f>GETPIVOTDATA("dato",'[1]evolucion mensual nacionali'!$A$4,"indicador","RESTO DEL MUNDO","mes",9,"año",2006)/GETPIVOTDATA("dato",'[1]evolucion mensual nacionali'!$A$4,"indicador","TOTAL","mes",9,"año",2006)</f>
        <v>1.8121224744844823E-2</v>
      </c>
      <c r="X62" s="203">
        <f>(GETPIVOTDATA("dato",'[1]evolucion mensual nacionali'!$A$4,"indicador","TOTAL","mes",9,"año",2006)-GETPIVOTDATA("dato",'[1]evolucion mensual nacionali'!$A$4,"indicador","España","mes",9,"año",2006))/GETPIVOTDATA("dato",'[1]evolucion mensual nacionali'!$A$4,"indicador","TOTAL","mes",9,"año",2006)</f>
        <v>0.13649934041519127</v>
      </c>
      <c r="Y62" s="205">
        <f>GETPIVOTDATA("dato",'[1]evolucion mensual nacionali'!$A$4,"indicador","TOTAL","mes",9,"año",2006)/GETPIVOTDATA("dato",'[1]evolucion mensual nacionali'!$A$4,"indicador","TOTAL","mes",9,"año",2006)</f>
        <v>1</v>
      </c>
    </row>
    <row r="63" spans="2:25" hidden="1" outlineLevel="1">
      <c r="B63" s="51" t="s">
        <v>42</v>
      </c>
      <c r="C63" s="203">
        <f>GETPIVOTDATA("dato",'[1]evolucion mensual nacionali'!$A$4,"indicador","España","mes",8,"año",2006)/GETPIVOTDATA("dato",'[1]evolucion mensual nacionali'!$A$4,"indicador","TOTAL","mes",8,"año",2006)</f>
        <v>0.82655150921556408</v>
      </c>
      <c r="D63" s="203">
        <f>GETPIVOTDATA("dato",'[1]evolucion mensual nacionali'!$A$4,"indicador","HOLANDA","mes",8,"año",2006)/GETPIVOTDATA("dato",'[1]evolucion mensual nacionali'!$A$4,"indicador","TOTAL","mes",8,"año",2006)</f>
        <v>5.2533167126702874E-3</v>
      </c>
      <c r="E63" s="203">
        <f>GETPIVOTDATA("dato",'[1]evolucion mensual nacionali'!$A$4,"indicador","BÉLGICA","mes",8,"año",2006)/GETPIVOTDATA("dato",'[1]evolucion mensual nacionali'!$A$4,"indicador","TOTAL","mes",8,"año",2006)</f>
        <v>2.6711779894933664E-3</v>
      </c>
      <c r="F63" s="203">
        <f>GETPIVOTDATA("dato",'[1]evolucion mensual nacionali'!$A$4,"indicador","ALEMANIA","mes",8,"año",2006)/GETPIVOTDATA("dato",'[1]evolucion mensual nacionali'!$A$4,"indicador","TOTAL","mes",8,"año",2006)</f>
        <v>3.0273350547591487E-2</v>
      </c>
      <c r="G63" s="203">
        <f>GETPIVOTDATA("dato",'[1]evolucion mensual nacionali'!$A$4,"indicador","FRANCIA","mes",8,"año",2006)/GETPIVOTDATA("dato",'[1]evolucion mensual nacionali'!$A$4,"indicador","TOTAL","mes",8,"año",2006)</f>
        <v>1.9232481524352238E-2</v>
      </c>
      <c r="H63" s="203">
        <f>GETPIVOTDATA("dato",'[1]evolucion mensual nacionali'!$A$4,"indicador","REINO UNIDO","mes",8,"año",2006)/GETPIVOTDATA("dato",'[1]evolucion mensual nacionali'!$A$4,"indicador","TOTAL","mes",8,"año",2006)</f>
        <v>1.5047636007479298E-2</v>
      </c>
      <c r="I63" s="203">
        <f>GETPIVOTDATA("dato",'[1]evolucion mensual nacionali'!$A$4,"indicador","IRLANDA","mes",8,"año",2006)/GETPIVOTDATA("dato",'[1]evolucion mensual nacionali'!$A$4,"indicador","TOTAL","mes",8,"año",2006)</f>
        <v>2.0479031252782476E-3</v>
      </c>
      <c r="J63" s="203">
        <f>GETPIVOTDATA("dato",'[1]evolucion mensual nacionali'!$A$4,"indicador","ITALIA","mes",8,"año",2006)/GETPIVOTDATA("dato",'[1]evolucion mensual nacionali'!$A$4,"indicador","TOTAL","mes",8,"año",2006)</f>
        <v>3.7574570385540025E-2</v>
      </c>
      <c r="K63" s="203">
        <f>(GETPIVOTDATA("dato",'[1]evolucion mensual nacionali'!$A$4,"indicador","SUECIA","mes",8,"año",2006)+GETPIVOTDATA("dato",'[1]evolucion mensual nacionali'!$A$4,"indicador","NORUEGA","mes",8,"año",2006)+GETPIVOTDATA("dato",'[1]evolucion mensual nacionali'!$A$4,"indicador","DINAMARCA","mes",8,"año",2006)+GETPIVOTDATA("dato",'[1]evolucion mensual nacionali'!$A$4,"indicador","FINLANDIA","mes",8,"año",2006))/GETPIVOTDATA("dato",'[1]evolucion mensual nacionali'!$A$4,"indicador","TOTAL","mes",8,"año",2006)</f>
        <v>4.3629240495058324E-3</v>
      </c>
      <c r="L63" s="203">
        <f>GETPIVOTDATA("dato",'[1]evolucion mensual nacionali'!$A$4,"indicador","SUECIA","mes",8,"año",2006)/GETPIVOTDATA("dato",'[1]evolucion mensual nacionali'!$A$4,"indicador","TOTAL","mes",8,"año",2006)</f>
        <v>6.232748642151189E-4</v>
      </c>
      <c r="M63" s="203">
        <f>GETPIVOTDATA("dato",'[1]evolucion mensual nacionali'!$A$4,"indicador","NORUEGA","mes",8,"año",2006)/GETPIVOTDATA("dato",'[1]evolucion mensual nacionali'!$A$4,"indicador","TOTAL","mes",8,"año",2006)</f>
        <v>1.7807853263289109E-3</v>
      </c>
      <c r="N63" s="203">
        <f>GETPIVOTDATA("dato",'[1]evolucion mensual nacionali'!$A$4,"indicador","DINAMARCA","mes",8,"año",2006)/GETPIVOTDATA("dato",'[1]evolucion mensual nacionali'!$A$4,"indicador","TOTAL","mes",8,"año",2006)</f>
        <v>8.0135339684800995E-4</v>
      </c>
      <c r="O63" s="203">
        <f>GETPIVOTDATA("dato",'[1]evolucion mensual nacionali'!$A$4,"indicador","FINLANDIA","mes",8,"año",2006)/GETPIVOTDATA("dato",'[1]evolucion mensual nacionali'!$A$4,"indicador","TOTAL","mes",8,"año",2006)</f>
        <v>1.1575104621137922E-3</v>
      </c>
      <c r="P63" s="203">
        <f>GETPIVOTDATA("dato",'[1]evolucion mensual nacionali'!$A$4,"indicador","SUIZA","mes",8,"año",2006)/GETPIVOTDATA("dato",'[1]evolucion mensual nacionali'!$A$4,"indicador","TOTAL","mes",8,"año",2006)</f>
        <v>1.9588638589618022E-3</v>
      </c>
      <c r="Q63" s="203">
        <f>GETPIVOTDATA("dato",'[1]evolucion mensual nacionali'!$A$4,"indicador","AUSTRIA","mes",8,"año",2006)/GETPIVOTDATA("dato",'[1]evolucion mensual nacionali'!$A$4,"indicador","TOTAL","mes",8,"año",2006)</f>
        <v>1.0684711957973465E-3</v>
      </c>
      <c r="R63" s="203">
        <f>GETPIVOTDATA("dato",'[1]evolucion mensual nacionali'!$A$4,"indicador","RUSIA","mes",8,"año",2006)/GETPIVOTDATA("dato",'[1]evolucion mensual nacionali'!$A$4,"indicador","TOTAL","mes",8,"año",2006)</f>
        <v>8.0135339684800995E-4</v>
      </c>
      <c r="S63" s="203">
        <f>GETPIVOTDATA("dato",'[1]evolucion mensual nacionali'!$A$4,"indicador","PAÍSES DEL ESTE","mes",8,"año",2006)/GETPIVOTDATA("dato",'[1]evolucion mensual nacionali'!$A$4,"indicador","TOTAL","mes",8,"año",2006)</f>
        <v>4.5410025821387232E-3</v>
      </c>
      <c r="T63" s="203">
        <f>GETPIVOTDATA("dato",'[1]evolucion mensual nacionali'!$A$4,"indicador","RESTO DE EUROPA","mes",8,"año",2006)/GETPIVOTDATA("dato",'[1]evolucion mensual nacionali'!$A$4,"indicador","TOTAL","mes",8,"año",2006)</f>
        <v>5.4313952453031791E-3</v>
      </c>
      <c r="U63" s="203">
        <f>GETPIVOTDATA("dato",'[1]evolucion mensual nacionali'!$A$4,"indicador","USA","mes",8,"año",2006)/GETPIVOTDATA("dato",'[1]evolucion mensual nacionali'!$A$4,"indicador","TOTAL","mes",8,"año",2006)</f>
        <v>3.7396491852907132E-3</v>
      </c>
      <c r="V63" s="203">
        <f>GETPIVOTDATA("dato",'[1]evolucion mensual nacionali'!$A$4,"indicador","RESTO DE AMÉRICA","mes",8,"año",2006)/GETPIVOTDATA("dato",'[1]evolucion mensual nacionali'!$A$4,"indicador","TOTAL","mes",8,"año",2006)</f>
        <v>2.9650075683376367E-2</v>
      </c>
      <c r="W63" s="203">
        <f>GETPIVOTDATA("dato",'[1]evolucion mensual nacionali'!$A$4,"indicador","RESTO DEL MUNDO","mes",8,"año",2006)/GETPIVOTDATA("dato",'[1]evolucion mensual nacionali'!$A$4,"indicador","TOTAL","mes",8,"año",2006)</f>
        <v>9.7943192948090115E-3</v>
      </c>
      <c r="X63" s="203">
        <f>(GETPIVOTDATA("dato",'[1]evolucion mensual nacionali'!$A$4,"indicador","TOTAL","mes",8,"año",2006)-GETPIVOTDATA("dato",'[1]evolucion mensual nacionali'!$A$4,"indicador","España","mes",8,"año",2006))/GETPIVOTDATA("dato",'[1]evolucion mensual nacionali'!$A$4,"indicador","TOTAL","mes",8,"año",2006)</f>
        <v>0.17344849078443594</v>
      </c>
      <c r="Y63" s="205">
        <f>GETPIVOTDATA("dato",'[1]evolucion mensual nacionali'!$A$4,"indicador","TOTAL","mes",8,"año",2006)/GETPIVOTDATA("dato",'[1]evolucion mensual nacionali'!$A$4,"indicador","TOTAL","mes",8,"año",2006)</f>
        <v>1</v>
      </c>
    </row>
    <row r="64" spans="2:25" hidden="1" outlineLevel="1">
      <c r="B64" s="51" t="s">
        <v>43</v>
      </c>
      <c r="C64" s="203">
        <f>GETPIVOTDATA("dato",'[1]evolucion mensual nacionali'!$A$4,"indicador","España","mes",7,"año",2006)/GETPIVOTDATA("dato",'[1]evolucion mensual nacionali'!$A$4,"indicador","TOTAL","mes",7,"año",2006)</f>
        <v>0.87444098116275915</v>
      </c>
      <c r="D64" s="203">
        <f>GETPIVOTDATA("dato",'[1]evolucion mensual nacionali'!$A$4,"indicador","HOLANDA","mes",7,"año",2006)/GETPIVOTDATA("dato",'[1]evolucion mensual nacionali'!$A$4,"indicador","TOTAL","mes",7,"año",2006)</f>
        <v>4.7431901341645211E-3</v>
      </c>
      <c r="E64" s="203">
        <f>GETPIVOTDATA("dato",'[1]evolucion mensual nacionali'!$A$4,"indicador","BÉLGICA","mes",7,"año",2006)/GETPIVOTDATA("dato",'[1]evolucion mensual nacionali'!$A$4,"indicador","TOTAL","mes",7,"año",2006)</f>
        <v>3.6590323892126304E-3</v>
      </c>
      <c r="F64" s="203">
        <f>GETPIVOTDATA("dato",'[1]evolucion mensual nacionali'!$A$4,"indicador","ALEMANIA","mes",7,"año",2006)/GETPIVOTDATA("dato",'[1]evolucion mensual nacionali'!$A$4,"indicador","TOTAL","mes",7,"año",2006)</f>
        <v>1.0435018295161946E-2</v>
      </c>
      <c r="G64" s="203">
        <f>GETPIVOTDATA("dato",'[1]evolucion mensual nacionali'!$A$4,"indicador","FRANCIA","mes",7,"año",2006)/GETPIVOTDATA("dato",'[1]evolucion mensual nacionali'!$A$4,"indicador","TOTAL","mes",7,"año",2006)</f>
        <v>1.0502778154221439E-2</v>
      </c>
      <c r="H64" s="203">
        <f>GETPIVOTDATA("dato",'[1]evolucion mensual nacionali'!$A$4,"indicador","REINO UNIDO","mes",7,"año",2006)/GETPIVOTDATA("dato",'[1]evolucion mensual nacionali'!$A$4,"indicador","TOTAL","mes",7,"año",2006)</f>
        <v>1.4703889415910014E-2</v>
      </c>
      <c r="I64" s="203">
        <f>GETPIVOTDATA("dato",'[1]evolucion mensual nacionali'!$A$4,"indicador","IRLANDA","mes",7,"año",2006)/GETPIVOTDATA("dato",'[1]evolucion mensual nacionali'!$A$4,"indicador","TOTAL","mes",7,"año",2006)</f>
        <v>2.1683154899037808E-3</v>
      </c>
      <c r="J64" s="203">
        <f>GETPIVOTDATA("dato",'[1]evolucion mensual nacionali'!$A$4,"indicador","ITALIA","mes",7,"año",2006)/GETPIVOTDATA("dato",'[1]evolucion mensual nacionali'!$A$4,"indicador","TOTAL","mes",7,"año",2006)</f>
        <v>1.5517007724623933E-2</v>
      </c>
      <c r="K64" s="203">
        <f>(GETPIVOTDATA("dato",'[1]evolucion mensual nacionali'!$A$4,"indicador","SUECIA","mes",7,"año",2006)+GETPIVOTDATA("dato",'[1]evolucion mensual nacionali'!$A$4,"indicador","NORUEGA","mes",7,"año",2006)+GETPIVOTDATA("dato",'[1]evolucion mensual nacionali'!$A$4,"indicador","DINAMARCA","mes",7,"año",2006)+GETPIVOTDATA("dato",'[1]evolucion mensual nacionali'!$A$4,"indicador","FINLANDIA","mes",7,"año",2006))/GETPIVOTDATA("dato",'[1]evolucion mensual nacionali'!$A$4,"indicador","TOTAL","mes",7,"año",2006)</f>
        <v>5.8951077381759042E-3</v>
      </c>
      <c r="L64" s="203">
        <f>GETPIVOTDATA("dato",'[1]evolucion mensual nacionali'!$A$4,"indicador","SUECIA","mes",7,"año",2006)/GETPIVOTDATA("dato",'[1]evolucion mensual nacionali'!$A$4,"indicador","TOTAL","mes",7,"año",2006)</f>
        <v>2.3038352080227672E-3</v>
      </c>
      <c r="M64" s="203">
        <f>GETPIVOTDATA("dato",'[1]evolucion mensual nacionali'!$A$4,"indicador","NORUEGA","mes",7,"año",2006)/GETPIVOTDATA("dato",'[1]evolucion mensual nacionali'!$A$4,"indicador","TOTAL","mes",7,"año",2006)</f>
        <v>1.4907168993088494E-3</v>
      </c>
      <c r="N64" s="203">
        <f>GETPIVOTDATA("dato",'[1]evolucion mensual nacionali'!$A$4,"indicador","DINAMARCA","mes",7,"año",2006)/GETPIVOTDATA("dato",'[1]evolucion mensual nacionali'!$A$4,"indicador","TOTAL","mes",7,"año",2006)</f>
        <v>1.3551971811898631E-3</v>
      </c>
      <c r="O64" s="203">
        <f>GETPIVOTDATA("dato",'[1]evolucion mensual nacionali'!$A$4,"indicador","FINLANDIA","mes",7,"año",2006)/GETPIVOTDATA("dato",'[1]evolucion mensual nacionali'!$A$4,"indicador","TOTAL","mes",7,"año",2006)</f>
        <v>7.453584496544247E-4</v>
      </c>
      <c r="P64" s="203">
        <f>GETPIVOTDATA("dato",'[1]evolucion mensual nacionali'!$A$4,"indicador","SUIZA","mes",7,"año",2006)/GETPIVOTDATA("dato",'[1]evolucion mensual nacionali'!$A$4,"indicador","TOTAL","mes",7,"año",2006)</f>
        <v>2.0327957717847945E-3</v>
      </c>
      <c r="Q64" s="203">
        <f>GETPIVOTDATA("dato",'[1]evolucion mensual nacionali'!$A$4,"indicador","AUSTRIA","mes",7,"año",2006)/GETPIVOTDATA("dato",'[1]evolucion mensual nacionali'!$A$4,"indicador","TOTAL","mes",7,"año",2006)</f>
        <v>1.0841577449518904E-3</v>
      </c>
      <c r="R64" s="203">
        <f>GETPIVOTDATA("dato",'[1]evolucion mensual nacionali'!$A$4,"indicador","RUSIA","mes",7,"año",2006)/GETPIVOTDATA("dato",'[1]evolucion mensual nacionali'!$A$4,"indicador","TOTAL","mes",7,"año",2006)</f>
        <v>1.5584767583683426E-3</v>
      </c>
      <c r="S64" s="203">
        <f>GETPIVOTDATA("dato",'[1]evolucion mensual nacionali'!$A$4,"indicador","PAÍSES DEL ESTE","mes",7,"año",2006)/GETPIVOTDATA("dato",'[1]evolucion mensual nacionali'!$A$4,"indicador","TOTAL","mes",7,"año",2006)</f>
        <v>3.3879929529746578E-3</v>
      </c>
      <c r="T64" s="203">
        <f>GETPIVOTDATA("dato",'[1]evolucion mensual nacionali'!$A$4,"indicador","RESTO DE EUROPA","mes",7,"año",2006)/GETPIVOTDATA("dato",'[1]evolucion mensual nacionali'!$A$4,"indicador","TOTAL","mes",7,"año",2006)</f>
        <v>7.0470253421872882E-3</v>
      </c>
      <c r="U64" s="203">
        <f>GETPIVOTDATA("dato",'[1]evolucion mensual nacionali'!$A$4,"indicador","USA","mes",7,"año",2006)/GETPIVOTDATA("dato",'[1]evolucion mensual nacionali'!$A$4,"indicador","TOTAL","mes",7,"año",2006)</f>
        <v>4.5399105569860418E-3</v>
      </c>
      <c r="V64" s="203">
        <f>GETPIVOTDATA("dato",'[1]evolucion mensual nacionali'!$A$4,"indicador","RESTO DE AMÉRICA","mes",7,"año",2006)/GETPIVOTDATA("dato",'[1]evolucion mensual nacionali'!$A$4,"indicador","TOTAL","mes",7,"año",2006)</f>
        <v>2.9340018972760538E-2</v>
      </c>
      <c r="W64" s="203">
        <f>GETPIVOTDATA("dato",'[1]evolucion mensual nacionali'!$A$4,"indicador","RESTO DEL MUNDO","mes",7,"año",2006)/GETPIVOTDATA("dato",'[1]evolucion mensual nacionali'!$A$4,"indicador","TOTAL","mes",7,"año",2006)</f>
        <v>8.9443013958530968E-3</v>
      </c>
      <c r="X64" s="203">
        <f>(GETPIVOTDATA("dato",'[1]evolucion mensual nacionali'!$A$4,"indicador","TOTAL","mes",7,"año",2006)-GETPIVOTDATA("dato",'[1]evolucion mensual nacionali'!$A$4,"indicador","España","mes",7,"año",2006))/GETPIVOTDATA("dato",'[1]evolucion mensual nacionali'!$A$4,"indicador","TOTAL","mes",7,"año",2006)</f>
        <v>0.12555901883724083</v>
      </c>
      <c r="Y64" s="205">
        <f>GETPIVOTDATA("dato",'[1]evolucion mensual nacionali'!$A$4,"indicador","TOTAL","mes",7,"año",2006)/GETPIVOTDATA("dato",'[1]evolucion mensual nacionali'!$A$4,"indicador","TOTAL","mes",7,"año",2006)</f>
        <v>1</v>
      </c>
    </row>
    <row r="65" spans="2:25" hidden="1" outlineLevel="1">
      <c r="B65" s="51" t="s">
        <v>44</v>
      </c>
      <c r="C65" s="203">
        <f>GETPIVOTDATA("dato",'[1]evolucion mensual nacionali'!$A$4,"indicador","España","mes",6,"año",2006)/GETPIVOTDATA("dato",'[1]evolucion mensual nacionali'!$A$4,"indicador","TOTAL","mes",6,"año",2006)</f>
        <v>0.88702610020956374</v>
      </c>
      <c r="D65" s="203">
        <f>GETPIVOTDATA("dato",'[1]evolucion mensual nacionali'!$A$4,"indicador","HOLANDA","mes",6,"año",2006)/GETPIVOTDATA("dato",'[1]evolucion mensual nacionali'!$A$4,"indicador","TOTAL","mes",6,"año",2006)</f>
        <v>3.1117038165999872E-3</v>
      </c>
      <c r="E65" s="203">
        <f>GETPIVOTDATA("dato",'[1]evolucion mensual nacionali'!$A$4,"indicador","BÉLGICA","mes",6,"año",2006)/GETPIVOTDATA("dato",'[1]evolucion mensual nacionali'!$A$4,"indicador","TOTAL","mes",6,"año",2006)</f>
        <v>2.4766622213755001E-3</v>
      </c>
      <c r="F65" s="203">
        <f>GETPIVOTDATA("dato",'[1]evolucion mensual nacionali'!$A$4,"indicador","ALEMANIA","mes",6,"año",2006)/GETPIVOTDATA("dato",'[1]evolucion mensual nacionali'!$A$4,"indicador","TOTAL","mes",6,"año",2006)</f>
        <v>1.0605194640248936E-2</v>
      </c>
      <c r="G65" s="203">
        <f>GETPIVOTDATA("dato",'[1]evolucion mensual nacionali'!$A$4,"indicador","FRANCIA","mes",6,"año",2006)/GETPIVOTDATA("dato",'[1]evolucion mensual nacionali'!$A$4,"indicador","TOTAL","mes",6,"año",2006)</f>
        <v>8.6365656950530261E-3</v>
      </c>
      <c r="H65" s="203">
        <f>GETPIVOTDATA("dato",'[1]evolucion mensual nacionali'!$A$4,"indicador","REINO UNIDO","mes",6,"año",2006)/GETPIVOTDATA("dato",'[1]evolucion mensual nacionali'!$A$4,"indicador","TOTAL","mes",6,"año",2006)</f>
        <v>1.1049723756906077E-2</v>
      </c>
      <c r="I65" s="203">
        <f>GETPIVOTDATA("dato",'[1]evolucion mensual nacionali'!$A$4,"indicador","IRLANDA","mes",6,"año",2006)/GETPIVOTDATA("dato",'[1]evolucion mensual nacionali'!$A$4,"indicador","TOTAL","mes",6,"año",2006)</f>
        <v>1.9051247856734616E-3</v>
      </c>
      <c r="J65" s="203">
        <f>GETPIVOTDATA("dato",'[1]evolucion mensual nacionali'!$A$4,"indicador","ITALIA","mes",6,"año",2006)/GETPIVOTDATA("dato",'[1]evolucion mensual nacionali'!$A$4,"indicador","TOTAL","mes",6,"año",2006)</f>
        <v>1.0033657204546898E-2</v>
      </c>
      <c r="K65" s="203">
        <f>(GETPIVOTDATA("dato",'[1]evolucion mensual nacionali'!$A$4,"indicador","SUECIA","mes",6,"año",2006)+GETPIVOTDATA("dato",'[1]evolucion mensual nacionali'!$A$4,"indicador","NORUEGA","mes",6,"año",2006)+GETPIVOTDATA("dato",'[1]evolucion mensual nacionali'!$A$4,"indicador","DINAMARCA","mes",6,"año",2006)+GETPIVOTDATA("dato",'[1]evolucion mensual nacionali'!$A$4,"indicador","FINLANDIA","mes",6,"año",2006))/GETPIVOTDATA("dato",'[1]evolucion mensual nacionali'!$A$4,"indicador","TOTAL","mes",6,"año",2006)</f>
        <v>5.6518701974979362E-3</v>
      </c>
      <c r="L65" s="203">
        <f>GETPIVOTDATA("dato",'[1]evolucion mensual nacionali'!$A$4,"indicador","SUECIA","mes",6,"año",2006)/GETPIVOTDATA("dato",'[1]evolucion mensual nacionali'!$A$4,"indicador","TOTAL","mes",6,"año",2006)</f>
        <v>1.2065790309265256E-3</v>
      </c>
      <c r="M65" s="203">
        <f>GETPIVOTDATA("dato",'[1]evolucion mensual nacionali'!$A$4,"indicador","NORUEGA","mes",6,"año",2006)/GETPIVOTDATA("dato",'[1]evolucion mensual nacionali'!$A$4,"indicador","TOTAL","mes",6,"año",2006)</f>
        <v>1.7781164666285641E-3</v>
      </c>
      <c r="N65" s="203">
        <f>GETPIVOTDATA("dato",'[1]evolucion mensual nacionali'!$A$4,"indicador","DINAMARCA","mes",6,"año",2006)/GETPIVOTDATA("dato",'[1]evolucion mensual nacionali'!$A$4,"indicador","TOTAL","mes",6,"año",2006)</f>
        <v>1.2065790309265256E-3</v>
      </c>
      <c r="O65" s="203">
        <f>GETPIVOTDATA("dato",'[1]evolucion mensual nacionali'!$A$4,"indicador","FINLANDIA","mes",6,"año",2006)/GETPIVOTDATA("dato",'[1]evolucion mensual nacionali'!$A$4,"indicador","TOTAL","mes",6,"año",2006)</f>
        <v>1.4605956690163205E-3</v>
      </c>
      <c r="P65" s="203">
        <f>GETPIVOTDATA("dato",'[1]evolucion mensual nacionali'!$A$4,"indicador","SUIZA","mes",6,"año",2006)/GETPIVOTDATA("dato",'[1]evolucion mensual nacionali'!$A$4,"indicador","TOTAL","mes",6,"año",2006)</f>
        <v>1.5240998285387694E-3</v>
      </c>
      <c r="Q65" s="203">
        <f>GETPIVOTDATA("dato",'[1]evolucion mensual nacionali'!$A$4,"indicador","AUSTRIA","mes",6,"año",2006)/GETPIVOTDATA("dato",'[1]evolucion mensual nacionali'!$A$4,"indicador","TOTAL","mes",6,"año",2006)</f>
        <v>1.0160665523591796E-3</v>
      </c>
      <c r="R65" s="203">
        <f>GETPIVOTDATA("dato",'[1]evolucion mensual nacionali'!$A$4,"indicador","RUSIA","mes",6,"año",2006)/GETPIVOTDATA("dato",'[1]evolucion mensual nacionali'!$A$4,"indicador","TOTAL","mes",6,"año",2006)</f>
        <v>1.0795707118816283E-3</v>
      </c>
      <c r="S65" s="203">
        <f>GETPIVOTDATA("dato",'[1]evolucion mensual nacionali'!$A$4,"indicador","PAÍSES DEL ESTE","mes",6,"año",2006)/GETPIVOTDATA("dato",'[1]evolucion mensual nacionali'!$A$4,"indicador","TOTAL","mes",6,"año",2006)</f>
        <v>2.4766622213755001E-3</v>
      </c>
      <c r="T65" s="203">
        <f>GETPIVOTDATA("dato",'[1]evolucion mensual nacionali'!$A$4,"indicador","RESTO DE EUROPA","mes",6,"año",2006)/GETPIVOTDATA("dato",'[1]evolucion mensual nacionali'!$A$4,"indicador","TOTAL","mes",6,"año",2006)</f>
        <v>6.8584492284244616E-3</v>
      </c>
      <c r="U65" s="203">
        <f>GETPIVOTDATA("dato",'[1]evolucion mensual nacionali'!$A$4,"indicador","USA","mes",6,"año",2006)/GETPIVOTDATA("dato",'[1]evolucion mensual nacionali'!$A$4,"indicador","TOTAL","mes",6,"año",2006)</f>
        <v>5.143836921318346E-3</v>
      </c>
      <c r="V65" s="203">
        <f>GETPIVOTDATA("dato",'[1]evolucion mensual nacionali'!$A$4,"indicador","RESTO DE AMÉRICA","mes",6,"año",2006)/GETPIVOTDATA("dato",'[1]evolucion mensual nacionali'!$A$4,"indicador","TOTAL","mes",6,"año",2006)</f>
        <v>2.9211913380326412E-2</v>
      </c>
      <c r="W65" s="203">
        <f>GETPIVOTDATA("dato",'[1]evolucion mensual nacionali'!$A$4,"indicador","RESTO DEL MUNDO","mes",6,"año",2006)/GETPIVOTDATA("dato",'[1]evolucion mensual nacionali'!$A$4,"indicador","TOTAL","mes",6,"año",2006)</f>
        <v>1.2192798628310155E-2</v>
      </c>
      <c r="X65" s="203">
        <f>(GETPIVOTDATA("dato",'[1]evolucion mensual nacionali'!$A$4,"indicador","TOTAL","mes",6,"año",2006)-GETPIVOTDATA("dato",'[1]evolucion mensual nacionali'!$A$4,"indicador","España","mes",6,"año",2006))/GETPIVOTDATA("dato",'[1]evolucion mensual nacionali'!$A$4,"indicador","TOTAL","mes",6,"año",2006)</f>
        <v>0.11297389979043627</v>
      </c>
      <c r="Y65" s="205">
        <f>GETPIVOTDATA("dato",'[1]evolucion mensual nacionali'!$A$4,"indicador","TOTAL","mes",6,"año",2006)/GETPIVOTDATA("dato",'[1]evolucion mensual nacionali'!$A$4,"indicador","TOTAL","mes",6,"año",2006)</f>
        <v>1</v>
      </c>
    </row>
    <row r="66" spans="2:25" hidden="1" outlineLevel="1">
      <c r="B66" s="51" t="s">
        <v>45</v>
      </c>
      <c r="C66" s="203">
        <f>GETPIVOTDATA("dato",'[1]evolucion mensual nacionali'!$A$4,"indicador","España","mes",5,"año",2006)/GETPIVOTDATA("dato",'[1]evolucion mensual nacionali'!$A$4,"indicador","TOTAL","mes",5,"año",2006)</f>
        <v>0.87966917497118835</v>
      </c>
      <c r="D66" s="203">
        <f>GETPIVOTDATA("dato",'[1]evolucion mensual nacionali'!$A$4,"indicador","HOLANDA","mes",5,"año",2006)/GETPIVOTDATA("dato",'[1]evolucion mensual nacionali'!$A$4,"indicador","TOTAL","mes",5,"año",2006)</f>
        <v>6.5758253677716764E-3</v>
      </c>
      <c r="E66" s="203">
        <f>GETPIVOTDATA("dato",'[1]evolucion mensual nacionali'!$A$4,"indicador","BÉLGICA","mes",5,"año",2006)/GETPIVOTDATA("dato",'[1]evolucion mensual nacionali'!$A$4,"indicador","TOTAL","mes",5,"año",2006)</f>
        <v>2.9150566063317739E-3</v>
      </c>
      <c r="F66" s="203">
        <f>GETPIVOTDATA("dato",'[1]evolucion mensual nacionali'!$A$4,"indicador","ALEMANIA","mes",5,"año",2006)/GETPIVOTDATA("dato",'[1]evolucion mensual nacionali'!$A$4,"indicador","TOTAL","mes",5,"año",2006)</f>
        <v>1.3897362890651481E-2</v>
      </c>
      <c r="G66" s="203">
        <f>GETPIVOTDATA("dato",'[1]evolucion mensual nacionali'!$A$4,"indicador","FRANCIA","mes",5,"año",2006)/GETPIVOTDATA("dato",'[1]evolucion mensual nacionali'!$A$4,"indicador","TOTAL","mes",5,"año",2006)</f>
        <v>1.1795810453528574E-2</v>
      </c>
      <c r="H66" s="203">
        <f>GETPIVOTDATA("dato",'[1]evolucion mensual nacionali'!$A$4,"indicador","REINO UNIDO","mes",5,"año",2006)/GETPIVOTDATA("dato",'[1]evolucion mensual nacionali'!$A$4,"indicador","TOTAL","mes",5,"año",2006)</f>
        <v>1.5185411158565521E-2</v>
      </c>
      <c r="I66" s="203">
        <f>GETPIVOTDATA("dato",'[1]evolucion mensual nacionali'!$A$4,"indicador","IRLANDA","mes",5,"año",2006)/GETPIVOTDATA("dato",'[1]evolucion mensual nacionali'!$A$4,"indicador","TOTAL","mes",5,"año",2006)</f>
        <v>1.4914243102162564E-3</v>
      </c>
      <c r="J66" s="203">
        <f>GETPIVOTDATA("dato",'[1]evolucion mensual nacionali'!$A$4,"indicador","ITALIA","mes",5,"año",2006)/GETPIVOTDATA("dato",'[1]evolucion mensual nacionali'!$A$4,"indicador","TOTAL","mes",5,"año",2006)</f>
        <v>8.3384177343908891E-3</v>
      </c>
      <c r="K66" s="203">
        <f>(GETPIVOTDATA("dato",'[1]evolucion mensual nacionali'!$A$4,"indicador","SUECIA","mes",5,"año",2006)+GETPIVOTDATA("dato",'[1]evolucion mensual nacionali'!$A$4,"indicador","NORUEGA","mes",5,"año",2006)+GETPIVOTDATA("dato",'[1]evolucion mensual nacionali'!$A$4,"indicador","DINAMARCA","mes",5,"año",2006)+GETPIVOTDATA("dato",'[1]evolucion mensual nacionali'!$A$4,"indicador","FINLANDIA","mes",5,"año",2006))/GETPIVOTDATA("dato",'[1]evolucion mensual nacionali'!$A$4,"indicador","TOTAL","mes",5,"año",2006)</f>
        <v>4.4742729306487695E-3</v>
      </c>
      <c r="L66" s="203">
        <f>GETPIVOTDATA("dato",'[1]evolucion mensual nacionali'!$A$4,"indicador","SUECIA","mes",5,"año",2006)/GETPIVOTDATA("dato",'[1]evolucion mensual nacionali'!$A$4,"indicador","TOTAL","mes",5,"año",2006)</f>
        <v>1.9659684089214291E-3</v>
      </c>
      <c r="M66" s="203">
        <f>GETPIVOTDATA("dato",'[1]evolucion mensual nacionali'!$A$4,"indicador","NORUEGA","mes",5,"año",2006)/GETPIVOTDATA("dato",'[1]evolucion mensual nacionali'!$A$4,"indicador","TOTAL","mes",5,"año",2006)</f>
        <v>2.7116805640295573E-4</v>
      </c>
      <c r="N66" s="203">
        <f>GETPIVOTDATA("dato",'[1]evolucion mensual nacionali'!$A$4,"indicador","DINAMARCA","mes",5,"año",2006)/GETPIVOTDATA("dato",'[1]evolucion mensual nacionali'!$A$4,"indicador","TOTAL","mes",5,"año",2006)</f>
        <v>5.4233611280591146E-4</v>
      </c>
      <c r="O66" s="203">
        <f>GETPIVOTDATA("dato",'[1]evolucion mensual nacionali'!$A$4,"indicador","FINLANDIA","mes",5,"año",2006)/GETPIVOTDATA("dato",'[1]evolucion mensual nacionali'!$A$4,"indicador","TOTAL","mes",5,"año",2006)</f>
        <v>1.6948003525184734E-3</v>
      </c>
      <c r="P66" s="203">
        <f>GETPIVOTDATA("dato",'[1]evolucion mensual nacionali'!$A$4,"indicador","SUIZA","mes",5,"año",2006)/GETPIVOTDATA("dato",'[1]evolucion mensual nacionali'!$A$4,"indicador","TOTAL","mes",5,"año",2006)</f>
        <v>1.016880211511084E-3</v>
      </c>
      <c r="Q66" s="203">
        <f>GETPIVOTDATA("dato",'[1]evolucion mensual nacionali'!$A$4,"indicador","AUSTRIA","mes",5,"año",2006)/GETPIVOTDATA("dato",'[1]evolucion mensual nacionali'!$A$4,"indicador","TOTAL","mes",5,"año",2006)</f>
        <v>1.1524642397125618E-3</v>
      </c>
      <c r="R66" s="203">
        <f>GETPIVOTDATA("dato",'[1]evolucion mensual nacionali'!$A$4,"indicador","RUSIA","mes",5,"año",2006)/GETPIVOTDATA("dato",'[1]evolucion mensual nacionali'!$A$4,"indicador","TOTAL","mes",5,"año",2006)</f>
        <v>2.847264592231035E-3</v>
      </c>
      <c r="S66" s="203">
        <f>GETPIVOTDATA("dato",'[1]evolucion mensual nacionali'!$A$4,"indicador","PAÍSES DEL ESTE","mes",5,"año",2006)/GETPIVOTDATA("dato",'[1]evolucion mensual nacionali'!$A$4,"indicador","TOTAL","mes",5,"año",2006)</f>
        <v>3.3896007050369468E-3</v>
      </c>
      <c r="T66" s="203">
        <f>GETPIVOTDATA("dato",'[1]evolucion mensual nacionali'!$A$4,"indicador","RESTO DE EUROPA","mes",5,"año",2006)/GETPIVOTDATA("dato",'[1]evolucion mensual nacionali'!$A$4,"indicador","TOTAL","mes",5,"año",2006)</f>
        <v>1.0101010101010102E-2</v>
      </c>
      <c r="U66" s="203">
        <f>GETPIVOTDATA("dato",'[1]evolucion mensual nacionali'!$A$4,"indicador","USA","mes",5,"año",2006)/GETPIVOTDATA("dato",'[1]evolucion mensual nacionali'!$A$4,"indicador","TOTAL","mes",5,"año",2006)</f>
        <v>5.5589451562605922E-3</v>
      </c>
      <c r="V66" s="203">
        <f>GETPIVOTDATA("dato",'[1]evolucion mensual nacionali'!$A$4,"indicador","RESTO DE AMÉRICA","mes",5,"año",2006)/GETPIVOTDATA("dato",'[1]evolucion mensual nacionali'!$A$4,"indicador","TOTAL","mes",5,"año",2006)</f>
        <v>2.0947732357128331E-2</v>
      </c>
      <c r="W66" s="203">
        <f>GETPIVOTDATA("dato",'[1]evolucion mensual nacionali'!$A$4,"indicador","RESTO DEL MUNDO","mes",5,"año",2006)/GETPIVOTDATA("dato",'[1]evolucion mensual nacionali'!$A$4,"indicador","TOTAL","mes",5,"año",2006)</f>
        <v>1.0643346213816013E-2</v>
      </c>
      <c r="X66" s="203">
        <f>(GETPIVOTDATA("dato",'[1]evolucion mensual nacionali'!$A$4,"indicador","TOTAL","mes",5,"año",2006)-GETPIVOTDATA("dato",'[1]evolucion mensual nacionali'!$A$4,"indicador","España","mes",5,"año",2006))/GETPIVOTDATA("dato",'[1]evolucion mensual nacionali'!$A$4,"indicador","TOTAL","mes",5,"año",2006)</f>
        <v>0.12033082502881161</v>
      </c>
      <c r="Y66" s="205">
        <f>GETPIVOTDATA("dato",'[1]evolucion mensual nacionali'!$A$4,"indicador","TOTAL","mes",5,"año",2006)/GETPIVOTDATA("dato",'[1]evolucion mensual nacionali'!$A$4,"indicador","TOTAL","mes",5,"año",2006)</f>
        <v>1</v>
      </c>
    </row>
    <row r="67" spans="2:25" hidden="1" outlineLevel="1">
      <c r="B67" s="51" t="s">
        <v>46</v>
      </c>
      <c r="C67" s="203">
        <f>GETPIVOTDATA("dato",'[1]evolucion mensual nacionali'!$A$4,"indicador","España","mes",4,"año",2006)/GETPIVOTDATA("dato",'[1]evolucion mensual nacionali'!$A$4,"indicador","TOTAL","mes",4,"año",2006)</f>
        <v>0.84720918477868434</v>
      </c>
      <c r="D67" s="203">
        <f>GETPIVOTDATA("dato",'[1]evolucion mensual nacionali'!$A$4,"indicador","HOLANDA","mes",4,"año",2006)/GETPIVOTDATA("dato",'[1]evolucion mensual nacionali'!$A$4,"indicador","TOTAL","mes",4,"año",2006)</f>
        <v>3.1049173225503645E-3</v>
      </c>
      <c r="E67" s="203">
        <f>GETPIVOTDATA("dato",'[1]evolucion mensual nacionali'!$A$4,"indicador","BÉLGICA","mes",4,"año",2006)/GETPIVOTDATA("dato",'[1]evolucion mensual nacionali'!$A$4,"indicador","TOTAL","mes",4,"año",2006)</f>
        <v>2.5994656653910032E-3</v>
      </c>
      <c r="F67" s="203">
        <f>GETPIVOTDATA("dato",'[1]evolucion mensual nacionali'!$A$4,"indicador","ALEMANIA","mes",4,"año",2006)/GETPIVOTDATA("dato",'[1]evolucion mensual nacionali'!$A$4,"indicador","TOTAL","mes",4,"año",2006)</f>
        <v>2.1156762221098996E-2</v>
      </c>
      <c r="G67" s="203">
        <f>GETPIVOTDATA("dato",'[1]evolucion mensual nacionali'!$A$4,"indicador","FRANCIA","mes",4,"año",2006)/GETPIVOTDATA("dato",'[1]evolucion mensual nacionali'!$A$4,"indicador","TOTAL","mes",4,"año",2006)</f>
        <v>1.357498736370857E-2</v>
      </c>
      <c r="H67" s="203">
        <f>GETPIVOTDATA("dato",'[1]evolucion mensual nacionali'!$A$4,"indicador","REINO UNIDO","mes",4,"año",2006)/GETPIVOTDATA("dato",'[1]evolucion mensual nacionali'!$A$4,"indicador","TOTAL","mes",4,"año",2006)</f>
        <v>1.8990540833273159E-2</v>
      </c>
      <c r="I67" s="203">
        <f>GETPIVOTDATA("dato",'[1]evolucion mensual nacionali'!$A$4,"indicador","IRLANDA","mes",4,"año",2006)/GETPIVOTDATA("dato",'[1]evolucion mensual nacionali'!$A$4,"indicador","TOTAL","mes",4,"año",2006)</f>
        <v>2.0218066286374469E-3</v>
      </c>
      <c r="J67" s="203">
        <f>GETPIVOTDATA("dato",'[1]evolucion mensual nacionali'!$A$4,"indicador","ITALIA","mes",4,"año",2006)/GETPIVOTDATA("dato",'[1]evolucion mensual nacionali'!$A$4,"indicador","TOTAL","mes",4,"año",2006)</f>
        <v>1.0903314318723373E-2</v>
      </c>
      <c r="K67" s="203">
        <f>(GETPIVOTDATA("dato",'[1]evolucion mensual nacionali'!$A$4,"indicador","SUECIA","mes",4,"año",2006)+GETPIVOTDATA("dato",'[1]evolucion mensual nacionali'!$A$4,"indicador","NORUEGA","mes",4,"año",2006)+GETPIVOTDATA("dato",'[1]evolucion mensual nacionali'!$A$4,"indicador","DINAMARCA","mes",4,"año",2006)+GETPIVOTDATA("dato",'[1]evolucion mensual nacionali'!$A$4,"indicador","FINLANDIA","mes",4,"año",2006))/GETPIVOTDATA("dato",'[1]evolucion mensual nacionali'!$A$4,"indicador","TOTAL","mes",4,"año",2006)</f>
        <v>1.8846126074084771E-2</v>
      </c>
      <c r="L67" s="203">
        <f>GETPIVOTDATA("dato",'[1]evolucion mensual nacionali'!$A$4,"indicador","SUECIA","mes",4,"año",2006)/GETPIVOTDATA("dato",'[1]evolucion mensual nacionali'!$A$4,"indicador","TOTAL","mes",4,"año",2006)</f>
        <v>1.3791609502491154E-2</v>
      </c>
      <c r="M67" s="203">
        <f>GETPIVOTDATA("dato",'[1]evolucion mensual nacionali'!$A$4,"indicador","NORUEGA","mes",4,"año",2006)/GETPIVOTDATA("dato",'[1]evolucion mensual nacionali'!$A$4,"indicador","TOTAL","mes",4,"año",2006)</f>
        <v>7.9428117553613975E-4</v>
      </c>
      <c r="N67" s="203">
        <f>GETPIVOTDATA("dato",'[1]evolucion mensual nacionali'!$A$4,"indicador","DINAMARCA","mes",4,"año",2006)/GETPIVOTDATA("dato",'[1]evolucion mensual nacionali'!$A$4,"indicador","TOTAL","mes",4,"año",2006)</f>
        <v>1.083110693912918E-3</v>
      </c>
      <c r="O67" s="203">
        <f>GETPIVOTDATA("dato",'[1]evolucion mensual nacionali'!$A$4,"indicador","FINLANDIA","mes",4,"año",2006)/GETPIVOTDATA("dato",'[1]evolucion mensual nacionali'!$A$4,"indicador","TOTAL","mes",4,"año",2006)</f>
        <v>3.177124702144559E-3</v>
      </c>
      <c r="P67" s="203">
        <f>GETPIVOTDATA("dato",'[1]evolucion mensual nacionali'!$A$4,"indicador","SUIZA","mes",4,"año",2006)/GETPIVOTDATA("dato",'[1]evolucion mensual nacionali'!$A$4,"indicador","TOTAL","mes",4,"año",2006)</f>
        <v>3.6103689797097262E-3</v>
      </c>
      <c r="Q67" s="203">
        <f>GETPIVOTDATA("dato",'[1]evolucion mensual nacionali'!$A$4,"indicador","AUSTRIA","mes",4,"año",2006)/GETPIVOTDATA("dato",'[1]evolucion mensual nacionali'!$A$4,"indicador","TOTAL","mes",4,"año",2006)</f>
        <v>1.7329771102606686E-3</v>
      </c>
      <c r="R67" s="203">
        <f>GETPIVOTDATA("dato",'[1]evolucion mensual nacionali'!$A$4,"indicador","RUSIA","mes",4,"año",2006)/GETPIVOTDATA("dato",'[1]evolucion mensual nacionali'!$A$4,"indicador","TOTAL","mes",4,"año",2006)</f>
        <v>3.7547837388981153E-3</v>
      </c>
      <c r="S67" s="203">
        <f>GETPIVOTDATA("dato",'[1]evolucion mensual nacionali'!$A$4,"indicador","PAÍSES DEL ESTE","mes",4,"año",2006)/GETPIVOTDATA("dato",'[1]evolucion mensual nacionali'!$A$4,"indicador","TOTAL","mes",4,"año",2006)</f>
        <v>3.8991984980865043E-3</v>
      </c>
      <c r="T67" s="203">
        <f>GETPIVOTDATA("dato",'[1]evolucion mensual nacionali'!$A$4,"indicador","RESTO DE EUROPA","mes",4,"año",2006)/GETPIVOTDATA("dato",'[1]evolucion mensual nacionali'!$A$4,"indicador","TOTAL","mes",4,"año",2006)</f>
        <v>1.2203047151418876E-2</v>
      </c>
      <c r="U67" s="203">
        <f>GETPIVOTDATA("dato",'[1]evolucion mensual nacionali'!$A$4,"indicador","USA","mes",4,"año",2006)/GETPIVOTDATA("dato",'[1]evolucion mensual nacionali'!$A$4,"indicador","TOTAL","mes",4,"año",2006)</f>
        <v>4.6212722940284501E-3</v>
      </c>
      <c r="V67" s="203">
        <f>GETPIVOTDATA("dato",'[1]evolucion mensual nacionali'!$A$4,"indicador","RESTO DE AMÉRICA","mes",4,"año",2006)/GETPIVOTDATA("dato",'[1]evolucion mensual nacionali'!$A$4,"indicador","TOTAL","mes",4,"año",2006)</f>
        <v>2.0795725323128025E-2</v>
      </c>
      <c r="W67" s="203">
        <f>GETPIVOTDATA("dato",'[1]evolucion mensual nacionali'!$A$4,"indicador","RESTO DEL MUNDO","mes",4,"año",2006)/GETPIVOTDATA("dato",'[1]evolucion mensual nacionali'!$A$4,"indicador","TOTAL","mes",4,"año",2006)</f>
        <v>1.0975521698317567E-2</v>
      </c>
      <c r="X67" s="203">
        <f>(GETPIVOTDATA("dato",'[1]evolucion mensual nacionali'!$A$4,"indicador","TOTAL","mes",4,"año",2006)-GETPIVOTDATA("dato",'[1]evolucion mensual nacionali'!$A$4,"indicador","España","mes",4,"año",2006))/GETPIVOTDATA("dato",'[1]evolucion mensual nacionali'!$A$4,"indicador","TOTAL","mes",4,"año",2006)</f>
        <v>0.15279081522131563</v>
      </c>
      <c r="Y67" s="205">
        <f>GETPIVOTDATA("dato",'[1]evolucion mensual nacionali'!$A$4,"indicador","TOTAL","mes",4,"año",2006)/GETPIVOTDATA("dato",'[1]evolucion mensual nacionali'!$A$4,"indicador","TOTAL","mes",4,"año",2006)</f>
        <v>1</v>
      </c>
    </row>
    <row r="68" spans="2:25" hidden="1" outlineLevel="1">
      <c r="B68" s="51" t="s">
        <v>47</v>
      </c>
      <c r="C68" s="203">
        <f>GETPIVOTDATA("dato",'[1]evolucion mensual nacionali'!$A$4,"indicador","España","mes",3,"año",2006)/GETPIVOTDATA("dato",'[1]evolucion mensual nacionali'!$A$4,"indicador","TOTAL","mes",3,"año",2006)</f>
        <v>0.85604452349532389</v>
      </c>
      <c r="D68" s="203">
        <f>GETPIVOTDATA("dato",'[1]evolucion mensual nacionali'!$A$4,"indicador","HOLANDA","mes",3,"año",2006)/GETPIVOTDATA("dato",'[1]evolucion mensual nacionali'!$A$4,"indicador","TOTAL","mes",3,"año",2006)</f>
        <v>4.5900510643180903E-3</v>
      </c>
      <c r="E68" s="203">
        <f>GETPIVOTDATA("dato",'[1]evolucion mensual nacionali'!$A$4,"indicador","BÉLGICA","mes",3,"año",2006)/GETPIVOTDATA("dato",'[1]evolucion mensual nacionali'!$A$4,"indicador","TOTAL","mes",3,"año",2006)</f>
        <v>2.9835331918067589E-3</v>
      </c>
      <c r="F68" s="203">
        <f>GETPIVOTDATA("dato",'[1]evolucion mensual nacionali'!$A$4,"indicador","ALEMANIA","mes",3,"año",2006)/GETPIVOTDATA("dato",'[1]evolucion mensual nacionali'!$A$4,"indicador","TOTAL","mes",3,"año",2006)</f>
        <v>2.6335417981525045E-2</v>
      </c>
      <c r="G68" s="203">
        <f>GETPIVOTDATA("dato",'[1]evolucion mensual nacionali'!$A$4,"indicador","FRANCIA","mes",3,"año",2006)/GETPIVOTDATA("dato",'[1]evolucion mensual nacionali'!$A$4,"indicador","TOTAL","mes",3,"año",2006)</f>
        <v>9.8686097882838952E-3</v>
      </c>
      <c r="H68" s="203">
        <f>GETPIVOTDATA("dato",'[1]evolucion mensual nacionali'!$A$4,"indicador","REINO UNIDO","mes",3,"año",2006)/GETPIVOTDATA("dato",'[1]evolucion mensual nacionali'!$A$4,"indicador","TOTAL","mes",3,"año",2006)</f>
        <v>1.8647082448792242E-2</v>
      </c>
      <c r="I68" s="203">
        <f>GETPIVOTDATA("dato",'[1]evolucion mensual nacionali'!$A$4,"indicador","IRLANDA","mes",3,"año",2006)/GETPIVOTDATA("dato",'[1]evolucion mensual nacionali'!$A$4,"indicador","TOTAL","mes",3,"año",2006)</f>
        <v>1.8360204257272363E-3</v>
      </c>
      <c r="J68" s="203">
        <f>GETPIVOTDATA("dato",'[1]evolucion mensual nacionali'!$A$4,"indicador","ITALIA","mes",3,"año",2006)/GETPIVOTDATA("dato",'[1]evolucion mensual nacionali'!$A$4,"indicador","TOTAL","mes",3,"año",2006)</f>
        <v>1.2393137873658845E-2</v>
      </c>
      <c r="K68" s="203">
        <f>(GETPIVOTDATA("dato",'[1]evolucion mensual nacionali'!$A$4,"indicador","SUECIA","mes",3,"año",2006)+GETPIVOTDATA("dato",'[1]evolucion mensual nacionali'!$A$4,"indicador","NORUEGA","mes",3,"año",2006)+GETPIVOTDATA("dato",'[1]evolucion mensual nacionali'!$A$4,"indicador","DINAMARCA","mes",3,"año",2006)+GETPIVOTDATA("dato",'[1]evolucion mensual nacionali'!$A$4,"indicador","FINLANDIA","mes",3,"año",2006))/GETPIVOTDATA("dato",'[1]evolucion mensual nacionali'!$A$4,"indicador","TOTAL","mes",3,"año",2006)</f>
        <v>2.1802742555510929E-2</v>
      </c>
      <c r="L68" s="203">
        <f>GETPIVOTDATA("dato",'[1]evolucion mensual nacionali'!$A$4,"indicador","SUECIA","mes",3,"año",2006)/GETPIVOTDATA("dato",'[1]evolucion mensual nacionali'!$A$4,"indicador","TOTAL","mes",3,"año",2006)</f>
        <v>1.3540650639738368E-2</v>
      </c>
      <c r="M68" s="203">
        <f>GETPIVOTDATA("dato",'[1]evolucion mensual nacionali'!$A$4,"indicador","NORUEGA","mes",3,"año",2006)/GETPIVOTDATA("dato",'[1]evolucion mensual nacionali'!$A$4,"indicador","TOTAL","mes",3,"año",2006)</f>
        <v>1.262264042687475E-3</v>
      </c>
      <c r="N68" s="203">
        <f>GETPIVOTDATA("dato",'[1]evolucion mensual nacionali'!$A$4,"indicador","DINAMARCA","mes",3,"año",2006)/GETPIVOTDATA("dato",'[1]evolucion mensual nacionali'!$A$4,"indicador","TOTAL","mes",3,"año",2006)</f>
        <v>3.3277870216306157E-3</v>
      </c>
      <c r="O68" s="203">
        <f>GETPIVOTDATA("dato",'[1]evolucion mensual nacionali'!$A$4,"indicador","FINLANDIA","mes",3,"año",2006)/GETPIVOTDATA("dato",'[1]evolucion mensual nacionali'!$A$4,"indicador","TOTAL","mes",3,"año",2006)</f>
        <v>3.6720408514544726E-3</v>
      </c>
      <c r="P68" s="203">
        <f>GETPIVOTDATA("dato",'[1]evolucion mensual nacionali'!$A$4,"indicador","SUIZA","mes",3,"año",2006)/GETPIVOTDATA("dato",'[1]evolucion mensual nacionali'!$A$4,"indicador","TOTAL","mes",3,"año",2006)</f>
        <v>3.1556601067186871E-3</v>
      </c>
      <c r="Q68" s="203">
        <f>GETPIVOTDATA("dato",'[1]evolucion mensual nacionali'!$A$4,"indicador","AUSTRIA","mes",3,"año",2006)/GETPIVOTDATA("dato",'[1]evolucion mensual nacionali'!$A$4,"indicador","TOTAL","mes",3,"año",2006)</f>
        <v>1.262264042687475E-3</v>
      </c>
      <c r="R68" s="203">
        <f>GETPIVOTDATA("dato",'[1]evolucion mensual nacionali'!$A$4,"indicador","RUSIA","mes",3,"año",2006)/GETPIVOTDATA("dato",'[1]evolucion mensual nacionali'!$A$4,"indicador","TOTAL","mes",3,"año",2006)</f>
        <v>1.8360204257272363E-3</v>
      </c>
      <c r="S68" s="203">
        <f>GETPIVOTDATA("dato",'[1]evolucion mensual nacionali'!$A$4,"indicador","PAÍSES DEL ESTE","mes",3,"año",2006)/GETPIVOTDATA("dato",'[1]evolucion mensual nacionali'!$A$4,"indicador","TOTAL","mes",3,"año",2006)</f>
        <v>2.8687819151988064E-3</v>
      </c>
      <c r="T68" s="203">
        <f>GETPIVOTDATA("dato",'[1]evolucion mensual nacionali'!$A$4,"indicador","RESTO DE EUROPA","mes",3,"año",2006)/GETPIVOTDATA("dato",'[1]evolucion mensual nacionali'!$A$4,"indicador","TOTAL","mes",3,"año",2006)</f>
        <v>6.2539445751333984E-3</v>
      </c>
      <c r="U68" s="203">
        <f>GETPIVOTDATA("dato",'[1]evolucion mensual nacionali'!$A$4,"indicador","USA","mes",3,"año",2006)/GETPIVOTDATA("dato",'[1]evolucion mensual nacionali'!$A$4,"indicador","TOTAL","mes",3,"año",2006)</f>
        <v>4.9343048941419476E-3</v>
      </c>
      <c r="V68" s="203">
        <f>GETPIVOTDATA("dato",'[1]evolucion mensual nacionali'!$A$4,"indicador","RESTO DE AMÉRICA","mes",3,"año",2006)/GETPIVOTDATA("dato",'[1]evolucion mensual nacionali'!$A$4,"indicador","TOTAL","mes",3,"año",2006)</f>
        <v>1.5491422342073555E-2</v>
      </c>
      <c r="W68" s="203">
        <f>GETPIVOTDATA("dato",'[1]evolucion mensual nacionali'!$A$4,"indicador","RESTO DEL MUNDO","mes",3,"año",2006)/GETPIVOTDATA("dato",'[1]evolucion mensual nacionali'!$A$4,"indicador","TOTAL","mes",3,"año",2006)</f>
        <v>9.6964828733719661E-3</v>
      </c>
      <c r="X68" s="203">
        <f>(GETPIVOTDATA("dato",'[1]evolucion mensual nacionali'!$A$4,"indicador","TOTAL","mes",3,"año",2006)-GETPIVOTDATA("dato",'[1]evolucion mensual nacionali'!$A$4,"indicador","España","mes",3,"año",2006))/GETPIVOTDATA("dato",'[1]evolucion mensual nacionali'!$A$4,"indicador","TOTAL","mes",3,"año",2006)</f>
        <v>0.14395547650467611</v>
      </c>
      <c r="Y68" s="205">
        <f>GETPIVOTDATA("dato",'[1]evolucion mensual nacionali'!$A$4,"indicador","TOTAL","mes",3,"año",2006)/GETPIVOTDATA("dato",'[1]evolucion mensual nacionali'!$A$4,"indicador","TOTAL","mes",3,"año",2006)</f>
        <v>1</v>
      </c>
    </row>
    <row r="69" spans="2:25" hidden="1" outlineLevel="1">
      <c r="B69" s="51" t="s">
        <v>48</v>
      </c>
      <c r="C69" s="203">
        <f>GETPIVOTDATA("dato",'[1]evolucion mensual nacionali'!$A$4,"indicador","España","mes",2,"año",2006)/GETPIVOTDATA("dato",'[1]evolucion mensual nacionali'!$A$4,"indicador","TOTAL","mes",2,"año",2006)</f>
        <v>0.85189905684425182</v>
      </c>
      <c r="D69" s="203">
        <f>GETPIVOTDATA("dato",'[1]evolucion mensual nacionali'!$A$4,"indicador","HOLANDA","mes",2,"año",2006)/GETPIVOTDATA("dato",'[1]evolucion mensual nacionali'!$A$4,"indicador","TOTAL","mes",2,"año",2006)</f>
        <v>3.9510578638796839E-3</v>
      </c>
      <c r="E69" s="203">
        <f>GETPIVOTDATA("dato",'[1]evolucion mensual nacionali'!$A$4,"indicador","BÉLGICA","mes",2,"año",2006)/GETPIVOTDATA("dato",'[1]evolucion mensual nacionali'!$A$4,"indicador","TOTAL","mes",2,"año",2006)</f>
        <v>4.3971450420596482E-3</v>
      </c>
      <c r="F69" s="203">
        <f>GETPIVOTDATA("dato",'[1]evolucion mensual nacionali'!$A$4,"indicador","ALEMANIA","mes",2,"año",2006)/GETPIVOTDATA("dato",'[1]evolucion mensual nacionali'!$A$4,"indicador","TOTAL","mes",2,"año",2006)</f>
        <v>2.0774917155238336E-2</v>
      </c>
      <c r="G69" s="203">
        <f>GETPIVOTDATA("dato",'[1]evolucion mensual nacionali'!$A$4,"indicador","FRANCIA","mes",2,"año",2006)/GETPIVOTDATA("dato",'[1]evolucion mensual nacionali'!$A$4,"indicador","TOTAL","mes",2,"año",2006)</f>
        <v>1.4465969920978842E-2</v>
      </c>
      <c r="H69" s="203">
        <f>GETPIVOTDATA("dato",'[1]evolucion mensual nacionali'!$A$4,"indicador","REINO UNIDO","mes",2,"año",2006)/GETPIVOTDATA("dato",'[1]evolucion mensual nacionali'!$A$4,"indicador","TOTAL","mes",2,"año",2006)</f>
        <v>2.0838643894978331E-2</v>
      </c>
      <c r="I69" s="203">
        <f>GETPIVOTDATA("dato",'[1]evolucion mensual nacionali'!$A$4,"indicador","IRLANDA","mes",2,"año",2006)/GETPIVOTDATA("dato",'[1]evolucion mensual nacionali'!$A$4,"indicador","TOTAL","mes",2,"año",2006)</f>
        <v>1.3382615345398929E-3</v>
      </c>
      <c r="J69" s="203">
        <f>GETPIVOTDATA("dato",'[1]evolucion mensual nacionali'!$A$4,"indicador","ITALIA","mes",2,"año",2006)/GETPIVOTDATA("dato",'[1]evolucion mensual nacionali'!$A$4,"indicador","TOTAL","mes",2,"año",2006)</f>
        <v>1.4529696660718837E-2</v>
      </c>
      <c r="K69" s="203">
        <f>(GETPIVOTDATA("dato",'[1]evolucion mensual nacionali'!$A$4,"indicador","SUECIA","mes",2,"año",2006)+GETPIVOTDATA("dato",'[1]evolucion mensual nacionali'!$A$4,"indicador","NORUEGA","mes",2,"año",2006)+GETPIVOTDATA("dato",'[1]evolucion mensual nacionali'!$A$4,"indicador","DINAMARCA","mes",2,"año",2006)+GETPIVOTDATA("dato",'[1]evolucion mensual nacionali'!$A$4,"indicador","FINLANDIA","mes",2,"año",2006))/GETPIVOTDATA("dato",'[1]evolucion mensual nacionali'!$A$4,"indicador","TOTAL","mes",2,"año",2006)</f>
        <v>2.4152434361458069E-2</v>
      </c>
      <c r="L69" s="203">
        <f>GETPIVOTDATA("dato",'[1]evolucion mensual nacionali'!$A$4,"indicador","SUECIA","mes",2,"año",2006)/GETPIVOTDATA("dato",'[1]evolucion mensual nacionali'!$A$4,"indicador","TOTAL","mes",2,"año",2006)</f>
        <v>1.2936528167218965E-2</v>
      </c>
      <c r="M69" s="203">
        <f>GETPIVOTDATA("dato",'[1]evolucion mensual nacionali'!$A$4,"indicador","NORUEGA","mes",2,"año",2006)/GETPIVOTDATA("dato",'[1]evolucion mensual nacionali'!$A$4,"indicador","TOTAL","mes",2,"año",2006)</f>
        <v>3.3775172062197297E-3</v>
      </c>
      <c r="N69" s="203">
        <f>GETPIVOTDATA("dato",'[1]evolucion mensual nacionali'!$A$4,"indicador","DINAMARCA","mes",2,"año",2006)/GETPIVOTDATA("dato",'[1]evolucion mensual nacionali'!$A$4,"indicador","TOTAL","mes",2,"año",2006)</f>
        <v>4.5245985215396382E-3</v>
      </c>
      <c r="O69" s="203">
        <f>GETPIVOTDATA("dato",'[1]evolucion mensual nacionali'!$A$4,"indicador","FINLANDIA","mes",2,"año",2006)/GETPIVOTDATA("dato",'[1]evolucion mensual nacionali'!$A$4,"indicador","TOTAL","mes",2,"año",2006)</f>
        <v>3.3137904664797351E-3</v>
      </c>
      <c r="P69" s="203">
        <f>GETPIVOTDATA("dato",'[1]evolucion mensual nacionali'!$A$4,"indicador","SUIZA","mes",2,"año",2006)/GETPIVOTDATA("dato",'[1]evolucion mensual nacionali'!$A$4,"indicador","TOTAL","mes",2,"año",2006)</f>
        <v>1.7843487127198571E-3</v>
      </c>
      <c r="Q69" s="203">
        <f>GETPIVOTDATA("dato",'[1]evolucion mensual nacionali'!$A$4,"indicador","AUSTRIA","mes",2,"año",2006)/GETPIVOTDATA("dato",'[1]evolucion mensual nacionali'!$A$4,"indicador","TOTAL","mes",2,"año",2006)</f>
        <v>1.7206219729798623E-3</v>
      </c>
      <c r="R69" s="203">
        <f>GETPIVOTDATA("dato",'[1]evolucion mensual nacionali'!$A$4,"indicador","RUSIA","mes",2,"año",2006)/GETPIVOTDATA("dato",'[1]evolucion mensual nacionali'!$A$4,"indicador","TOTAL","mes",2,"año",2006)</f>
        <v>2.1029824114198316E-3</v>
      </c>
      <c r="S69" s="203">
        <f>GETPIVOTDATA("dato",'[1]evolucion mensual nacionali'!$A$4,"indicador","PAÍSES DEL ESTE","mes",2,"año",2006)/GETPIVOTDATA("dato",'[1]evolucion mensual nacionali'!$A$4,"indicador","TOTAL","mes",2,"año",2006)</f>
        <v>3.3775172062197297E-3</v>
      </c>
      <c r="T69" s="203">
        <f>GETPIVOTDATA("dato",'[1]evolucion mensual nacionali'!$A$4,"indicador","RESTO DE EUROPA","mes",2,"año",2006)/GETPIVOTDATA("dato",'[1]evolucion mensual nacionali'!$A$4,"indicador","TOTAL","mes",2,"año",2006)</f>
        <v>5.8628600560795309E-3</v>
      </c>
      <c r="U69" s="203">
        <f>GETPIVOTDATA("dato",'[1]evolucion mensual nacionali'!$A$4,"indicador","USA","mes",2,"año",2006)/GETPIVOTDATA("dato",'[1]evolucion mensual nacionali'!$A$4,"indicador","TOTAL","mes",2,"año",2006)</f>
        <v>3.9510578638796839E-3</v>
      </c>
      <c r="V69" s="203">
        <f>GETPIVOTDATA("dato",'[1]evolucion mensual nacionali'!$A$4,"indicador","RESTO DE AMÉRICA","mes",2,"año",2006)/GETPIVOTDATA("dato",'[1]evolucion mensual nacionali'!$A$4,"indicador","TOTAL","mes",2,"año",2006)</f>
        <v>1.5995411674738721E-2</v>
      </c>
      <c r="W69" s="203">
        <f>GETPIVOTDATA("dato",'[1]evolucion mensual nacionali'!$A$4,"indicador","RESTO DEL MUNDO","mes",2,"año",2006)/GETPIVOTDATA("dato",'[1]evolucion mensual nacionali'!$A$4,"indicador","TOTAL","mes",2,"año",2006)</f>
        <v>8.8580168238592914E-3</v>
      </c>
      <c r="X69" s="203">
        <f>(GETPIVOTDATA("dato",'[1]evolucion mensual nacionali'!$A$4,"indicador","TOTAL","mes",2,"año",2006)-GETPIVOTDATA("dato",'[1]evolucion mensual nacionali'!$A$4,"indicador","España","mes",2,"año",2006))/GETPIVOTDATA("dato",'[1]evolucion mensual nacionali'!$A$4,"indicador","TOTAL","mes",2,"año",2006)</f>
        <v>0.14810094315574815</v>
      </c>
      <c r="Y69" s="205">
        <f>GETPIVOTDATA("dato",'[1]evolucion mensual nacionali'!$A$4,"indicador","TOTAL","mes",2,"año",2006)/GETPIVOTDATA("dato",'[1]evolucion mensual nacionali'!$A$4,"indicador","TOTAL","mes",2,"año",2006)</f>
        <v>1</v>
      </c>
    </row>
    <row r="70" spans="2:25" hidden="1" outlineLevel="1">
      <c r="B70" s="51" t="s">
        <v>49</v>
      </c>
      <c r="C70" s="203">
        <f>GETPIVOTDATA("dato",'[1]evolucion mensual nacionali'!$A$4,"indicador","España","mes",1,"año",2006)/GETPIVOTDATA("dato",'[1]evolucion mensual nacionali'!$A$4,"indicador","TOTAL","mes",1,"año",2006)</f>
        <v>0.85482966493761392</v>
      </c>
      <c r="D70" s="203">
        <f>GETPIVOTDATA("dato",'[1]evolucion mensual nacionali'!$A$4,"indicador","HOLANDA","mes",1,"año",2006)/GETPIVOTDATA("dato",'[1]evolucion mensual nacionali'!$A$4,"indicador","TOTAL","mes",1,"año",2006)</f>
        <v>4.9768680779475674E-3</v>
      </c>
      <c r="E70" s="203">
        <f>GETPIVOTDATA("dato",'[1]evolucion mensual nacionali'!$A$4,"indicador","BÉLGICA","mes",1,"año",2006)/GETPIVOTDATA("dato",'[1]evolucion mensual nacionali'!$A$4,"indicador","TOTAL","mes",1,"año",2006)</f>
        <v>3.0141595401654282E-3</v>
      </c>
      <c r="F70" s="203">
        <f>GETPIVOTDATA("dato",'[1]evolucion mensual nacionali'!$A$4,"indicador","ALEMANIA","mes",1,"año",2006)/GETPIVOTDATA("dato",'[1]evolucion mensual nacionali'!$A$4,"indicador","TOTAL","mes",1,"año",2006)</f>
        <v>3.0842562736576474E-2</v>
      </c>
      <c r="G70" s="203">
        <f>GETPIVOTDATA("dato",'[1]evolucion mensual nacionali'!$A$4,"indicador","FRANCIA","mes",1,"año",2006)/GETPIVOTDATA("dato",'[1]evolucion mensual nacionali'!$A$4,"indicador","TOTAL","mes",1,"año",2006)</f>
        <v>8.9723818870040654E-3</v>
      </c>
      <c r="H70" s="203">
        <f>GETPIVOTDATA("dato",'[1]evolucion mensual nacionali'!$A$4,"indicador","REINO UNIDO","mes",1,"año",2006)/GETPIVOTDATA("dato",'[1]evolucion mensual nacionali'!$A$4,"indicador","TOTAL","mes",1,"año",2006)</f>
        <v>1.9556988644329174E-2</v>
      </c>
      <c r="I70" s="203">
        <f>GETPIVOTDATA("dato",'[1]evolucion mensual nacionali'!$A$4,"indicador","IRLANDA","mes",1,"año",2006)/GETPIVOTDATA("dato",'[1]evolucion mensual nacionali'!$A$4,"indicador","TOTAL","mes",1,"año",2006)</f>
        <v>2.102902004766578E-3</v>
      </c>
      <c r="J70" s="203">
        <f>GETPIVOTDATA("dato",'[1]evolucion mensual nacionali'!$A$4,"indicador","ITALIA","mes",1,"año",2006)/GETPIVOTDATA("dato",'[1]evolucion mensual nacionali'!$A$4,"indicador","TOTAL","mes",1,"año",2006)</f>
        <v>1.2126734894153932E-2</v>
      </c>
      <c r="K70" s="203">
        <f>(GETPIVOTDATA("dato",'[1]evolucion mensual nacionali'!$A$4,"indicador","SUECIA","mes",1,"año",2006)+GETPIVOTDATA("dato",'[1]evolucion mensual nacionali'!$A$4,"indicador","NORUEGA","mes",1,"año",2006)+GETPIVOTDATA("dato",'[1]evolucion mensual nacionali'!$A$4,"indicador","DINAMARCA","mes",1,"año",2006)+GETPIVOTDATA("dato",'[1]evolucion mensual nacionali'!$A$4,"indicador","FINLANDIA","mes",1,"año",2006))/GETPIVOTDATA("dato",'[1]evolucion mensual nacionali'!$A$4,"indicador","TOTAL","mes",1,"año",2006)</f>
        <v>1.6472732370671525E-2</v>
      </c>
      <c r="L70" s="203">
        <f>GETPIVOTDATA("dato",'[1]evolucion mensual nacionali'!$A$4,"indicador","SUECIA","mes",1,"año",2006)/GETPIVOTDATA("dato",'[1]evolucion mensual nacionali'!$A$4,"indicador","TOTAL","mes",1,"año",2006)</f>
        <v>8.5518014860507495E-3</v>
      </c>
      <c r="M70" s="203">
        <f>GETPIVOTDATA("dato",'[1]evolucion mensual nacionali'!$A$4,"indicador","NORUEGA","mes",1,"año",2006)/GETPIVOTDATA("dato",'[1]evolucion mensual nacionali'!$A$4,"indicador","TOTAL","mes",1,"año",2006)</f>
        <v>3.8553203420720592E-3</v>
      </c>
      <c r="N70" s="203">
        <f>GETPIVOTDATA("dato",'[1]evolucion mensual nacionali'!$A$4,"indicador","DINAMARCA","mes",1,"año",2006)/GETPIVOTDATA("dato",'[1]evolucion mensual nacionali'!$A$4,"indicador","TOTAL","mes",1,"año",2006)</f>
        <v>2.3832889387354547E-3</v>
      </c>
      <c r="O70" s="203">
        <f>GETPIVOTDATA("dato",'[1]evolucion mensual nacionali'!$A$4,"indicador","FINLANDIA","mes",1,"año",2006)/GETPIVOTDATA("dato",'[1]evolucion mensual nacionali'!$A$4,"indicador","TOTAL","mes",1,"año",2006)</f>
        <v>1.6823216038132623E-3</v>
      </c>
      <c r="P70" s="203">
        <f>GETPIVOTDATA("dato",'[1]evolucion mensual nacionali'!$A$4,"indicador","SUIZA","mes",1,"año",2006)/GETPIVOTDATA("dato",'[1]evolucion mensual nacionali'!$A$4,"indicador","TOTAL","mes",1,"año",2006)</f>
        <v>2.4533856722276743E-3</v>
      </c>
      <c r="Q70" s="203">
        <f>GETPIVOTDATA("dato",'[1]evolucion mensual nacionali'!$A$4,"indicador","AUSTRIA","mes",1,"año",2006)/GETPIVOTDATA("dato",'[1]evolucion mensual nacionali'!$A$4,"indicador","TOTAL","mes",1,"año",2006)</f>
        <v>7.7106406841441185E-4</v>
      </c>
      <c r="R70" s="203">
        <f>GETPIVOTDATA("dato",'[1]evolucion mensual nacionali'!$A$4,"indicador","RUSIA","mes",1,"año",2006)/GETPIVOTDATA("dato",'[1]evolucion mensual nacionali'!$A$4,"indicador","TOTAL","mes",1,"año",2006)</f>
        <v>1.2617412028599468E-3</v>
      </c>
      <c r="S70" s="203">
        <f>GETPIVOTDATA("dato",'[1]evolucion mensual nacionali'!$A$4,"indicador","PAÍSES DEL ESTE","mes",1,"año",2006)/GETPIVOTDATA("dato",'[1]evolucion mensual nacionali'!$A$4,"indicador","TOTAL","mes",1,"año",2006)</f>
        <v>3.4347399411187437E-3</v>
      </c>
      <c r="T70" s="203">
        <f>GETPIVOTDATA("dato",'[1]evolucion mensual nacionali'!$A$4,"indicador","RESTO DE EUROPA","mes",1,"año",2006)/GETPIVOTDATA("dato",'[1]evolucion mensual nacionali'!$A$4,"indicador","TOTAL","mes",1,"año",2006)</f>
        <v>8.0611243516052148E-3</v>
      </c>
      <c r="U70" s="203">
        <f>GETPIVOTDATA("dato",'[1]evolucion mensual nacionali'!$A$4,"indicador","USA","mes",1,"año",2006)/GETPIVOTDATA("dato",'[1]evolucion mensual nacionali'!$A$4,"indicador","TOTAL","mes",1,"año",2006)</f>
        <v>3.154353007149867E-3</v>
      </c>
      <c r="V70" s="203">
        <f>GETPIVOTDATA("dato",'[1]evolucion mensual nacionali'!$A$4,"indicador","RESTO DE AMÉRICA","mes",1,"año",2006)/GETPIVOTDATA("dato",'[1]evolucion mensual nacionali'!$A$4,"indicador","TOTAL","mes",1,"año",2006)</f>
        <v>1.8715827842422542E-2</v>
      </c>
      <c r="W70" s="203">
        <f>GETPIVOTDATA("dato",'[1]evolucion mensual nacionali'!$A$4,"indicador","RESTO DEL MUNDO","mes",1,"año",2006)/GETPIVOTDATA("dato",'[1]evolucion mensual nacionali'!$A$4,"indicador","TOTAL","mes",1,"año",2006)</f>
        <v>9.2527688209729422E-3</v>
      </c>
      <c r="X70" s="203">
        <f>(GETPIVOTDATA("dato",'[1]evolucion mensual nacionali'!$A$4,"indicador","TOTAL","mes",1,"año",2006)-GETPIVOTDATA("dato",'[1]evolucion mensual nacionali'!$A$4,"indicador","España","mes",1,"año",2006))/GETPIVOTDATA("dato",'[1]evolucion mensual nacionali'!$A$4,"indicador","TOTAL","mes",1,"año",2006)</f>
        <v>0.14517033506238608</v>
      </c>
      <c r="Y70" s="205">
        <f>GETPIVOTDATA("dato",'[1]evolucion mensual nacionali'!$A$4,"indicador","TOTAL","mes",1,"año",2006)/GETPIVOTDATA("dato",'[1]evolucion mensual nacionali'!$A$4,"indicador","TOTAL","mes",1,"año",2006)</f>
        <v>1</v>
      </c>
    </row>
    <row r="71" spans="2:25" collapsed="1">
      <c r="B71" s="214">
        <v>2006</v>
      </c>
      <c r="C71" s="216">
        <f>GETPIVOTDATA("dato",'[1]evolucion mensual nacionali'!$A$4,"indicador","España","año",2006)/GETPIVOTDATA("dato",'[1]evolucion mensual nacionali'!$A$4,"indicador","TOTAL","año",2006)</f>
        <v>0.8577634552149388</v>
      </c>
      <c r="D71" s="216">
        <f>GETPIVOTDATA("dato",'[1]evolucion mensual nacionali'!$A$4,"indicador","HOLANDA","año",2006)/GETPIVOTDATA("dato",'[1]evolucion mensual nacionali'!$A$4,"indicador","TOTAL","año",2006)</f>
        <v>4.3660715751232407E-3</v>
      </c>
      <c r="E71" s="216">
        <f>GETPIVOTDATA("dato",'[1]evolucion mensual nacionali'!$A$4,"indicador","BÉLGICA","año",2006)/GETPIVOTDATA("dato",'[1]evolucion mensual nacionali'!$A$4,"indicador","TOTAL","año",2006)</f>
        <v>2.861472974673502E-3</v>
      </c>
      <c r="F71" s="216">
        <f>GETPIVOTDATA("dato",'[1]evolucion mensual nacionali'!$A$4,"indicador","ALEMANIA","año",2006)/GETPIVOTDATA("dato",'[1]evolucion mensual nacionali'!$A$4,"indicador","TOTAL","año",2006)</f>
        <v>2.0528196177772427E-2</v>
      </c>
      <c r="G71" s="216">
        <f>GETPIVOTDATA("dato",'[1]evolucion mensual nacionali'!$A$4,"indicador","FRANCIA","año",2006)/GETPIVOTDATA("dato",'[1]evolucion mensual nacionali'!$A$4,"indicador","TOTAL","año",2006)</f>
        <v>1.1626443730747976E-2</v>
      </c>
      <c r="H71" s="216">
        <f>GETPIVOTDATA("dato",'[1]evolucion mensual nacionali'!$A$4,"indicador","REINO UNIDO","año",2006)/GETPIVOTDATA("dato",'[1]evolucion mensual nacionali'!$A$4,"indicador","TOTAL","año",2006)</f>
        <v>1.6763964042829083E-2</v>
      </c>
      <c r="I71" s="216">
        <f>GETPIVOTDATA("dato",'[1]evolucion mensual nacionali'!$A$4,"indicador","IRLANDA","año",2006)/GETPIVOTDATA("dato",'[1]evolucion mensual nacionali'!$A$4,"indicador","TOTAL","año",2006)</f>
        <v>1.9094724056616678E-3</v>
      </c>
      <c r="J71" s="216">
        <f>GETPIVOTDATA("dato",'[1]evolucion mensual nacionali'!$A$4,"indicador","ITALIA","año",2006)/GETPIVOTDATA("dato",'[1]evolucion mensual nacionali'!$A$4,"indicador","TOTAL","año",2006)</f>
        <v>1.4039272759105556E-2</v>
      </c>
      <c r="K71" s="216">
        <f>(GETPIVOTDATA("dato",'[1]evolucion mensual nacionali'!$A$4,"indicador","SUECIA","año",2006)+GETPIVOTDATA("dato",'[1]evolucion mensual nacionali'!$A$4,"indicador","NORUEGA","año",2006)+GETPIVOTDATA("dato",'[1]evolucion mensual nacionali'!$A$4,"indicador","DINAMARCA","año",2006)+GETPIVOTDATA("dato",'[1]evolucion mensual nacionali'!$A$4,"indicador","FINLANDIA","año",2006))/GETPIVOTDATA("dato",'[1]evolucion mensual nacionali'!$A$4,"indicador","TOTAL","año",2006)</f>
        <v>1.1577202322005986E-2</v>
      </c>
      <c r="L71" s="216">
        <f>GETPIVOTDATA("dato",'[1]evolucion mensual nacionali'!$A$4,"indicador","SUECIA","año",2006)/GETPIVOTDATA("dato",'[1]evolucion mensual nacionali'!$A$4,"indicador","TOTAL","año",2006)</f>
        <v>5.6737045406050129E-3</v>
      </c>
      <c r="M71" s="216">
        <f>GETPIVOTDATA("dato",'[1]evolucion mensual nacionali'!$A$4,"indicador","NORUEGA","año",2006)/GETPIVOTDATA("dato",'[1]evolucion mensual nacionali'!$A$4,"indicador","TOTAL","año",2006)</f>
        <v>1.8711735321956743E-3</v>
      </c>
      <c r="N71" s="216">
        <f>GETPIVOTDATA("dato",'[1]evolucion mensual nacionali'!$A$4,"indicador","DINAMARCA","año",2006)/GETPIVOTDATA("dato",'[1]evolucion mensual nacionali'!$A$4,"indicador","TOTAL","año",2006)</f>
        <v>1.8766447998336735E-3</v>
      </c>
      <c r="O71" s="216">
        <f>GETPIVOTDATA("dato",'[1]evolucion mensual nacionali'!$A$4,"indicador","FINLANDIA","año",2006)/GETPIVOTDATA("dato",'[1]evolucion mensual nacionali'!$A$4,"indicador","TOTAL","año",2006)</f>
        <v>2.1556794493716247E-3</v>
      </c>
      <c r="P71" s="216">
        <f>GETPIVOTDATA("dato",'[1]evolucion mensual nacionali'!$A$4,"indicador","SUIZA","año",2006)/GETPIVOTDATA("dato",'[1]evolucion mensual nacionali'!$A$4,"indicador","TOTAL","año",2006)</f>
        <v>2.7465763542755223E-3</v>
      </c>
      <c r="Q71" s="216">
        <f>GETPIVOTDATA("dato",'[1]evolucion mensual nacionali'!$A$4,"indicador","AUSTRIA","año",2006)/GETPIVOTDATA("dato",'[1]evolucion mensual nacionali'!$A$4,"indicador","TOTAL","año",2006)</f>
        <v>1.4334721211557507E-3</v>
      </c>
      <c r="R71" s="216">
        <f>GETPIVOTDATA("dato",'[1]evolucion mensual nacionali'!$A$4,"indicador","RUSIA","año",2006)/GETPIVOTDATA("dato",'[1]evolucion mensual nacionali'!$A$4,"indicador","TOTAL","año",2006)</f>
        <v>1.810989588177685E-3</v>
      </c>
      <c r="S71" s="216">
        <f>GETPIVOTDATA("dato",'[1]evolucion mensual nacionali'!$A$4,"indicador","PAÍSES DEL ESTE","año",2006)/GETPIVOTDATA("dato",'[1]evolucion mensual nacionali'!$A$4,"indicador","TOTAL","año",2006)</f>
        <v>3.282760582799429E-3</v>
      </c>
      <c r="T71" s="216">
        <f>GETPIVOTDATA("dato",'[1]evolucion mensual nacionali'!$A$4,"indicador","RESTO DE EUROPA","año",2006)/GETPIVOTDATA("dato",'[1]evolucion mensual nacionali'!$A$4,"indicador","TOTAL","año",2006)</f>
        <v>8.0482346954965991E-3</v>
      </c>
      <c r="U71" s="216">
        <f>GETPIVOTDATA("dato",'[1]evolucion mensual nacionali'!$A$4,"indicador","USA","año",2006)/GETPIVOTDATA("dato",'[1]evolucion mensual nacionali'!$A$4,"indicador","TOTAL","año",2006)</f>
        <v>4.5903935482812016E-3</v>
      </c>
      <c r="V71" s="216">
        <f>GETPIVOTDATA("dato",'[1]evolucion mensual nacionali'!$A$4,"indicador","RESTO DE AMÉRICA","año",2006)/GETPIVOTDATA("dato",'[1]evolucion mensual nacionali'!$A$4,"indicador","TOTAL","año",2006)</f>
        <v>2.4992750570379651E-2</v>
      </c>
      <c r="W71" s="216">
        <f>GETPIVOTDATA("dato",'[1]evolucion mensual nacionali'!$A$4,"indicador","RESTO DEL MUNDO","año",2006)/GETPIVOTDATA("dato",'[1]evolucion mensual nacionali'!$A$4,"indicador","TOTAL","año",2006)</f>
        <v>1.1659271336575971E-2</v>
      </c>
      <c r="X71" s="216">
        <f>(GETPIVOTDATA("dato",'[1]evolucion mensual nacionali'!$A$4,"indicador","TOTAL","año",2006)-GETPIVOTDATA("dato",'[1]evolucion mensual nacionali'!$A$4,"indicador","España","año",2006))/GETPIVOTDATA("dato",'[1]evolucion mensual nacionali'!$A$4,"indicador","TOTAL","año",2006)</f>
        <v>0.14223654478506126</v>
      </c>
      <c r="Y71" s="293">
        <f>GETPIVOTDATA("dato",'[1]evolucion mensual nacionali'!$A$4,"indicador","TOTAL","año",2006)/GETPIVOTDATA("dato",'[1]evolucion mensual nacionali'!$A$4,"indicador","TOTAL","año",2006)</f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73"/>
  <sheetViews>
    <sheetView showGridLines="0" showRowColHeaders="0" showZeros="0" zoomScaleNormal="100" workbookViewId="0">
      <selection activeCell="I13" sqref="I13"/>
    </sheetView>
  </sheetViews>
  <sheetFormatPr baseColWidth="10" defaultRowHeight="12" outlineLevelRow="1"/>
  <cols>
    <col min="1" max="1" width="12" style="294" customWidth="1"/>
    <col min="2" max="2" width="11.42578125" style="294"/>
    <col min="3" max="3" width="9.7109375" style="294" customWidth="1"/>
    <col min="4" max="4" width="11.7109375" style="294" customWidth="1"/>
    <col min="5" max="6" width="11.42578125" style="294" customWidth="1"/>
    <col min="7" max="20" width="9.140625" style="294" customWidth="1"/>
    <col min="21" max="21" width="11.140625" style="294" customWidth="1"/>
    <col min="22" max="240" width="11.42578125" style="294"/>
    <col min="241" max="241" width="12" style="294" customWidth="1"/>
    <col min="242" max="242" width="11.42578125" style="294"/>
    <col min="243" max="243" width="9.7109375" style="294" customWidth="1"/>
    <col min="244" max="244" width="15.85546875" style="294" customWidth="1"/>
    <col min="245" max="256" width="11.42578125" style="294" customWidth="1"/>
    <col min="257" max="262" width="10.140625" style="294" customWidth="1"/>
    <col min="263" max="276" width="9.140625" style="294" customWidth="1"/>
    <col min="277" max="277" width="11.140625" style="294" customWidth="1"/>
    <col min="278" max="496" width="11.42578125" style="294"/>
    <col min="497" max="497" width="12" style="294" customWidth="1"/>
    <col min="498" max="498" width="11.42578125" style="294"/>
    <col min="499" max="499" width="9.7109375" style="294" customWidth="1"/>
    <col min="500" max="500" width="15.85546875" style="294" customWidth="1"/>
    <col min="501" max="512" width="11.42578125" style="294" customWidth="1"/>
    <col min="513" max="518" width="10.140625" style="294" customWidth="1"/>
    <col min="519" max="532" width="9.140625" style="294" customWidth="1"/>
    <col min="533" max="533" width="11.140625" style="294" customWidth="1"/>
    <col min="534" max="752" width="11.42578125" style="294"/>
    <col min="753" max="753" width="12" style="294" customWidth="1"/>
    <col min="754" max="754" width="11.42578125" style="294"/>
    <col min="755" max="755" width="9.7109375" style="294" customWidth="1"/>
    <col min="756" max="756" width="15.85546875" style="294" customWidth="1"/>
    <col min="757" max="768" width="11.42578125" style="294" customWidth="1"/>
    <col min="769" max="774" width="10.140625" style="294" customWidth="1"/>
    <col min="775" max="788" width="9.140625" style="294" customWidth="1"/>
    <col min="789" max="789" width="11.140625" style="294" customWidth="1"/>
    <col min="790" max="1008" width="11.42578125" style="294"/>
    <col min="1009" max="1009" width="12" style="294" customWidth="1"/>
    <col min="1010" max="1010" width="11.42578125" style="294"/>
    <col min="1011" max="1011" width="9.7109375" style="294" customWidth="1"/>
    <col min="1012" max="1012" width="15.85546875" style="294" customWidth="1"/>
    <col min="1013" max="1024" width="11.42578125" style="294" customWidth="1"/>
    <col min="1025" max="1030" width="10.140625" style="294" customWidth="1"/>
    <col min="1031" max="1044" width="9.140625" style="294" customWidth="1"/>
    <col min="1045" max="1045" width="11.140625" style="294" customWidth="1"/>
    <col min="1046" max="1264" width="11.42578125" style="294"/>
    <col min="1265" max="1265" width="12" style="294" customWidth="1"/>
    <col min="1266" max="1266" width="11.42578125" style="294"/>
    <col min="1267" max="1267" width="9.7109375" style="294" customWidth="1"/>
    <col min="1268" max="1268" width="15.85546875" style="294" customWidth="1"/>
    <col min="1269" max="1280" width="11.42578125" style="294" customWidth="1"/>
    <col min="1281" max="1286" width="10.140625" style="294" customWidth="1"/>
    <col min="1287" max="1300" width="9.140625" style="294" customWidth="1"/>
    <col min="1301" max="1301" width="11.140625" style="294" customWidth="1"/>
    <col min="1302" max="1520" width="11.42578125" style="294"/>
    <col min="1521" max="1521" width="12" style="294" customWidth="1"/>
    <col min="1522" max="1522" width="11.42578125" style="294"/>
    <col min="1523" max="1523" width="9.7109375" style="294" customWidth="1"/>
    <col min="1524" max="1524" width="15.85546875" style="294" customWidth="1"/>
    <col min="1525" max="1536" width="11.42578125" style="294" customWidth="1"/>
    <col min="1537" max="1542" width="10.140625" style="294" customWidth="1"/>
    <col min="1543" max="1556" width="9.140625" style="294" customWidth="1"/>
    <col min="1557" max="1557" width="11.140625" style="294" customWidth="1"/>
    <col min="1558" max="1776" width="11.42578125" style="294"/>
    <col min="1777" max="1777" width="12" style="294" customWidth="1"/>
    <col min="1778" max="1778" width="11.42578125" style="294"/>
    <col min="1779" max="1779" width="9.7109375" style="294" customWidth="1"/>
    <col min="1780" max="1780" width="15.85546875" style="294" customWidth="1"/>
    <col min="1781" max="1792" width="11.42578125" style="294" customWidth="1"/>
    <col min="1793" max="1798" width="10.140625" style="294" customWidth="1"/>
    <col min="1799" max="1812" width="9.140625" style="294" customWidth="1"/>
    <col min="1813" max="1813" width="11.140625" style="294" customWidth="1"/>
    <col min="1814" max="2032" width="11.42578125" style="294"/>
    <col min="2033" max="2033" width="12" style="294" customWidth="1"/>
    <col min="2034" max="2034" width="11.42578125" style="294"/>
    <col min="2035" max="2035" width="9.7109375" style="294" customWidth="1"/>
    <col min="2036" max="2036" width="15.85546875" style="294" customWidth="1"/>
    <col min="2037" max="2048" width="11.42578125" style="294" customWidth="1"/>
    <col min="2049" max="2054" width="10.140625" style="294" customWidth="1"/>
    <col min="2055" max="2068" width="9.140625" style="294" customWidth="1"/>
    <col min="2069" max="2069" width="11.140625" style="294" customWidth="1"/>
    <col min="2070" max="2288" width="11.42578125" style="294"/>
    <col min="2289" max="2289" width="12" style="294" customWidth="1"/>
    <col min="2290" max="2290" width="11.42578125" style="294"/>
    <col min="2291" max="2291" width="9.7109375" style="294" customWidth="1"/>
    <col min="2292" max="2292" width="15.85546875" style="294" customWidth="1"/>
    <col min="2293" max="2304" width="11.42578125" style="294" customWidth="1"/>
    <col min="2305" max="2310" width="10.140625" style="294" customWidth="1"/>
    <col min="2311" max="2324" width="9.140625" style="294" customWidth="1"/>
    <col min="2325" max="2325" width="11.140625" style="294" customWidth="1"/>
    <col min="2326" max="2544" width="11.42578125" style="294"/>
    <col min="2545" max="2545" width="12" style="294" customWidth="1"/>
    <col min="2546" max="2546" width="11.42578125" style="294"/>
    <col min="2547" max="2547" width="9.7109375" style="294" customWidth="1"/>
    <col min="2548" max="2548" width="15.85546875" style="294" customWidth="1"/>
    <col min="2549" max="2560" width="11.42578125" style="294" customWidth="1"/>
    <col min="2561" max="2566" width="10.140625" style="294" customWidth="1"/>
    <col min="2567" max="2580" width="9.140625" style="294" customWidth="1"/>
    <col min="2581" max="2581" width="11.140625" style="294" customWidth="1"/>
    <col min="2582" max="2800" width="11.42578125" style="294"/>
    <col min="2801" max="2801" width="12" style="294" customWidth="1"/>
    <col min="2802" max="2802" width="11.42578125" style="294"/>
    <col min="2803" max="2803" width="9.7109375" style="294" customWidth="1"/>
    <col min="2804" max="2804" width="15.85546875" style="294" customWidth="1"/>
    <col min="2805" max="2816" width="11.42578125" style="294" customWidth="1"/>
    <col min="2817" max="2822" width="10.140625" style="294" customWidth="1"/>
    <col min="2823" max="2836" width="9.140625" style="294" customWidth="1"/>
    <col min="2837" max="2837" width="11.140625" style="294" customWidth="1"/>
    <col min="2838" max="3056" width="11.42578125" style="294"/>
    <col min="3057" max="3057" width="12" style="294" customWidth="1"/>
    <col min="3058" max="3058" width="11.42578125" style="294"/>
    <col min="3059" max="3059" width="9.7109375" style="294" customWidth="1"/>
    <col min="3060" max="3060" width="15.85546875" style="294" customWidth="1"/>
    <col min="3061" max="3072" width="11.42578125" style="294" customWidth="1"/>
    <col min="3073" max="3078" width="10.140625" style="294" customWidth="1"/>
    <col min="3079" max="3092" width="9.140625" style="294" customWidth="1"/>
    <col min="3093" max="3093" width="11.140625" style="294" customWidth="1"/>
    <col min="3094" max="3312" width="11.42578125" style="294"/>
    <col min="3313" max="3313" width="12" style="294" customWidth="1"/>
    <col min="3314" max="3314" width="11.42578125" style="294"/>
    <col min="3315" max="3315" width="9.7109375" style="294" customWidth="1"/>
    <col min="3316" max="3316" width="15.85546875" style="294" customWidth="1"/>
    <col min="3317" max="3328" width="11.42578125" style="294" customWidth="1"/>
    <col min="3329" max="3334" width="10.140625" style="294" customWidth="1"/>
    <col min="3335" max="3348" width="9.140625" style="294" customWidth="1"/>
    <col min="3349" max="3349" width="11.140625" style="294" customWidth="1"/>
    <col min="3350" max="3568" width="11.42578125" style="294"/>
    <col min="3569" max="3569" width="12" style="294" customWidth="1"/>
    <col min="3570" max="3570" width="11.42578125" style="294"/>
    <col min="3571" max="3571" width="9.7109375" style="294" customWidth="1"/>
    <col min="3572" max="3572" width="15.85546875" style="294" customWidth="1"/>
    <col min="3573" max="3584" width="11.42578125" style="294" customWidth="1"/>
    <col min="3585" max="3590" width="10.140625" style="294" customWidth="1"/>
    <col min="3591" max="3604" width="9.140625" style="294" customWidth="1"/>
    <col min="3605" max="3605" width="11.140625" style="294" customWidth="1"/>
    <col min="3606" max="3824" width="11.42578125" style="294"/>
    <col min="3825" max="3825" width="12" style="294" customWidth="1"/>
    <col min="3826" max="3826" width="11.42578125" style="294"/>
    <col min="3827" max="3827" width="9.7109375" style="294" customWidth="1"/>
    <col min="3828" max="3828" width="15.85546875" style="294" customWidth="1"/>
    <col min="3829" max="3840" width="11.42578125" style="294" customWidth="1"/>
    <col min="3841" max="3846" width="10.140625" style="294" customWidth="1"/>
    <col min="3847" max="3860" width="9.140625" style="294" customWidth="1"/>
    <col min="3861" max="3861" width="11.140625" style="294" customWidth="1"/>
    <col min="3862" max="4080" width="11.42578125" style="294"/>
    <col min="4081" max="4081" width="12" style="294" customWidth="1"/>
    <col min="4082" max="4082" width="11.42578125" style="294"/>
    <col min="4083" max="4083" width="9.7109375" style="294" customWidth="1"/>
    <col min="4084" max="4084" width="15.85546875" style="294" customWidth="1"/>
    <col min="4085" max="4096" width="11.42578125" style="294" customWidth="1"/>
    <col min="4097" max="4102" width="10.140625" style="294" customWidth="1"/>
    <col min="4103" max="4116" width="9.140625" style="294" customWidth="1"/>
    <col min="4117" max="4117" width="11.140625" style="294" customWidth="1"/>
    <col min="4118" max="4336" width="11.42578125" style="294"/>
    <col min="4337" max="4337" width="12" style="294" customWidth="1"/>
    <col min="4338" max="4338" width="11.42578125" style="294"/>
    <col min="4339" max="4339" width="9.7109375" style="294" customWidth="1"/>
    <col min="4340" max="4340" width="15.85546875" style="294" customWidth="1"/>
    <col min="4341" max="4352" width="11.42578125" style="294" customWidth="1"/>
    <col min="4353" max="4358" width="10.140625" style="294" customWidth="1"/>
    <col min="4359" max="4372" width="9.140625" style="294" customWidth="1"/>
    <col min="4373" max="4373" width="11.140625" style="294" customWidth="1"/>
    <col min="4374" max="4592" width="11.42578125" style="294"/>
    <col min="4593" max="4593" width="12" style="294" customWidth="1"/>
    <col min="4594" max="4594" width="11.42578125" style="294"/>
    <col min="4595" max="4595" width="9.7109375" style="294" customWidth="1"/>
    <col min="4596" max="4596" width="15.85546875" style="294" customWidth="1"/>
    <col min="4597" max="4608" width="11.42578125" style="294" customWidth="1"/>
    <col min="4609" max="4614" width="10.140625" style="294" customWidth="1"/>
    <col min="4615" max="4628" width="9.140625" style="294" customWidth="1"/>
    <col min="4629" max="4629" width="11.140625" style="294" customWidth="1"/>
    <col min="4630" max="4848" width="11.42578125" style="294"/>
    <col min="4849" max="4849" width="12" style="294" customWidth="1"/>
    <col min="4850" max="4850" width="11.42578125" style="294"/>
    <col min="4851" max="4851" width="9.7109375" style="294" customWidth="1"/>
    <col min="4852" max="4852" width="15.85546875" style="294" customWidth="1"/>
    <col min="4853" max="4864" width="11.42578125" style="294" customWidth="1"/>
    <col min="4865" max="4870" width="10.140625" style="294" customWidth="1"/>
    <col min="4871" max="4884" width="9.140625" style="294" customWidth="1"/>
    <col min="4885" max="4885" width="11.140625" style="294" customWidth="1"/>
    <col min="4886" max="5104" width="11.42578125" style="294"/>
    <col min="5105" max="5105" width="12" style="294" customWidth="1"/>
    <col min="5106" max="5106" width="11.42578125" style="294"/>
    <col min="5107" max="5107" width="9.7109375" style="294" customWidth="1"/>
    <col min="5108" max="5108" width="15.85546875" style="294" customWidth="1"/>
    <col min="5109" max="5120" width="11.42578125" style="294" customWidth="1"/>
    <col min="5121" max="5126" width="10.140625" style="294" customWidth="1"/>
    <col min="5127" max="5140" width="9.140625" style="294" customWidth="1"/>
    <col min="5141" max="5141" width="11.140625" style="294" customWidth="1"/>
    <col min="5142" max="5360" width="11.42578125" style="294"/>
    <col min="5361" max="5361" width="12" style="294" customWidth="1"/>
    <col min="5362" max="5362" width="11.42578125" style="294"/>
    <col min="5363" max="5363" width="9.7109375" style="294" customWidth="1"/>
    <col min="5364" max="5364" width="15.85546875" style="294" customWidth="1"/>
    <col min="5365" max="5376" width="11.42578125" style="294" customWidth="1"/>
    <col min="5377" max="5382" width="10.140625" style="294" customWidth="1"/>
    <col min="5383" max="5396" width="9.140625" style="294" customWidth="1"/>
    <col min="5397" max="5397" width="11.140625" style="294" customWidth="1"/>
    <col min="5398" max="5616" width="11.42578125" style="294"/>
    <col min="5617" max="5617" width="12" style="294" customWidth="1"/>
    <col min="5618" max="5618" width="11.42578125" style="294"/>
    <col min="5619" max="5619" width="9.7109375" style="294" customWidth="1"/>
    <col min="5620" max="5620" width="15.85546875" style="294" customWidth="1"/>
    <col min="5621" max="5632" width="11.42578125" style="294" customWidth="1"/>
    <col min="5633" max="5638" width="10.140625" style="294" customWidth="1"/>
    <col min="5639" max="5652" width="9.140625" style="294" customWidth="1"/>
    <col min="5653" max="5653" width="11.140625" style="294" customWidth="1"/>
    <col min="5654" max="5872" width="11.42578125" style="294"/>
    <col min="5873" max="5873" width="12" style="294" customWidth="1"/>
    <col min="5874" max="5874" width="11.42578125" style="294"/>
    <col min="5875" max="5875" width="9.7109375" style="294" customWidth="1"/>
    <col min="5876" max="5876" width="15.85546875" style="294" customWidth="1"/>
    <col min="5877" max="5888" width="11.42578125" style="294" customWidth="1"/>
    <col min="5889" max="5894" width="10.140625" style="294" customWidth="1"/>
    <col min="5895" max="5908" width="9.140625" style="294" customWidth="1"/>
    <col min="5909" max="5909" width="11.140625" style="294" customWidth="1"/>
    <col min="5910" max="6128" width="11.42578125" style="294"/>
    <col min="6129" max="6129" width="12" style="294" customWidth="1"/>
    <col min="6130" max="6130" width="11.42578125" style="294"/>
    <col min="6131" max="6131" width="9.7109375" style="294" customWidth="1"/>
    <col min="6132" max="6132" width="15.85546875" style="294" customWidth="1"/>
    <col min="6133" max="6144" width="11.42578125" style="294" customWidth="1"/>
    <col min="6145" max="6150" width="10.140625" style="294" customWidth="1"/>
    <col min="6151" max="6164" width="9.140625" style="294" customWidth="1"/>
    <col min="6165" max="6165" width="11.140625" style="294" customWidth="1"/>
    <col min="6166" max="6384" width="11.42578125" style="294"/>
    <col min="6385" max="6385" width="12" style="294" customWidth="1"/>
    <col min="6386" max="6386" width="11.42578125" style="294"/>
    <col min="6387" max="6387" width="9.7109375" style="294" customWidth="1"/>
    <col min="6388" max="6388" width="15.85546875" style="294" customWidth="1"/>
    <col min="6389" max="6400" width="11.42578125" style="294" customWidth="1"/>
    <col min="6401" max="6406" width="10.140625" style="294" customWidth="1"/>
    <col min="6407" max="6420" width="9.140625" style="294" customWidth="1"/>
    <col min="6421" max="6421" width="11.140625" style="294" customWidth="1"/>
    <col min="6422" max="6640" width="11.42578125" style="294"/>
    <col min="6641" max="6641" width="12" style="294" customWidth="1"/>
    <col min="6642" max="6642" width="11.42578125" style="294"/>
    <col min="6643" max="6643" width="9.7109375" style="294" customWidth="1"/>
    <col min="6644" max="6644" width="15.85546875" style="294" customWidth="1"/>
    <col min="6645" max="6656" width="11.42578125" style="294" customWidth="1"/>
    <col min="6657" max="6662" width="10.140625" style="294" customWidth="1"/>
    <col min="6663" max="6676" width="9.140625" style="294" customWidth="1"/>
    <col min="6677" max="6677" width="11.140625" style="294" customWidth="1"/>
    <col min="6678" max="6896" width="11.42578125" style="294"/>
    <col min="6897" max="6897" width="12" style="294" customWidth="1"/>
    <col min="6898" max="6898" width="11.42578125" style="294"/>
    <col min="6899" max="6899" width="9.7109375" style="294" customWidth="1"/>
    <col min="6900" max="6900" width="15.85546875" style="294" customWidth="1"/>
    <col min="6901" max="6912" width="11.42578125" style="294" customWidth="1"/>
    <col min="6913" max="6918" width="10.140625" style="294" customWidth="1"/>
    <col min="6919" max="6932" width="9.140625" style="294" customWidth="1"/>
    <col min="6933" max="6933" width="11.140625" style="294" customWidth="1"/>
    <col min="6934" max="7152" width="11.42578125" style="294"/>
    <col min="7153" max="7153" width="12" style="294" customWidth="1"/>
    <col min="7154" max="7154" width="11.42578125" style="294"/>
    <col min="7155" max="7155" width="9.7109375" style="294" customWidth="1"/>
    <col min="7156" max="7156" width="15.85546875" style="294" customWidth="1"/>
    <col min="7157" max="7168" width="11.42578125" style="294" customWidth="1"/>
    <col min="7169" max="7174" width="10.140625" style="294" customWidth="1"/>
    <col min="7175" max="7188" width="9.140625" style="294" customWidth="1"/>
    <col min="7189" max="7189" width="11.140625" style="294" customWidth="1"/>
    <col min="7190" max="7408" width="11.42578125" style="294"/>
    <col min="7409" max="7409" width="12" style="294" customWidth="1"/>
    <col min="7410" max="7410" width="11.42578125" style="294"/>
    <col min="7411" max="7411" width="9.7109375" style="294" customWidth="1"/>
    <col min="7412" max="7412" width="15.85546875" style="294" customWidth="1"/>
    <col min="7413" max="7424" width="11.42578125" style="294" customWidth="1"/>
    <col min="7425" max="7430" width="10.140625" style="294" customWidth="1"/>
    <col min="7431" max="7444" width="9.140625" style="294" customWidth="1"/>
    <col min="7445" max="7445" width="11.140625" style="294" customWidth="1"/>
    <col min="7446" max="7664" width="11.42578125" style="294"/>
    <col min="7665" max="7665" width="12" style="294" customWidth="1"/>
    <col min="7666" max="7666" width="11.42578125" style="294"/>
    <col min="7667" max="7667" width="9.7109375" style="294" customWidth="1"/>
    <col min="7668" max="7668" width="15.85546875" style="294" customWidth="1"/>
    <col min="7669" max="7680" width="11.42578125" style="294" customWidth="1"/>
    <col min="7681" max="7686" width="10.140625" style="294" customWidth="1"/>
    <col min="7687" max="7700" width="9.140625" style="294" customWidth="1"/>
    <col min="7701" max="7701" width="11.140625" style="294" customWidth="1"/>
    <col min="7702" max="7920" width="11.42578125" style="294"/>
    <col min="7921" max="7921" width="12" style="294" customWidth="1"/>
    <col min="7922" max="7922" width="11.42578125" style="294"/>
    <col min="7923" max="7923" width="9.7109375" style="294" customWidth="1"/>
    <col min="7924" max="7924" width="15.85546875" style="294" customWidth="1"/>
    <col min="7925" max="7936" width="11.42578125" style="294" customWidth="1"/>
    <col min="7937" max="7942" width="10.140625" style="294" customWidth="1"/>
    <col min="7943" max="7956" width="9.140625" style="294" customWidth="1"/>
    <col min="7957" max="7957" width="11.140625" style="294" customWidth="1"/>
    <col min="7958" max="8176" width="11.42578125" style="294"/>
    <col min="8177" max="8177" width="12" style="294" customWidth="1"/>
    <col min="8178" max="8178" width="11.42578125" style="294"/>
    <col min="8179" max="8179" width="9.7109375" style="294" customWidth="1"/>
    <col min="8180" max="8180" width="15.85546875" style="294" customWidth="1"/>
    <col min="8181" max="8192" width="11.42578125" style="294" customWidth="1"/>
    <col min="8193" max="8198" width="10.140625" style="294" customWidth="1"/>
    <col min="8199" max="8212" width="9.140625" style="294" customWidth="1"/>
    <col min="8213" max="8213" width="11.140625" style="294" customWidth="1"/>
    <col min="8214" max="8432" width="11.42578125" style="294"/>
    <col min="8433" max="8433" width="12" style="294" customWidth="1"/>
    <col min="8434" max="8434" width="11.42578125" style="294"/>
    <col min="8435" max="8435" width="9.7109375" style="294" customWidth="1"/>
    <col min="8436" max="8436" width="15.85546875" style="294" customWidth="1"/>
    <col min="8437" max="8448" width="11.42578125" style="294" customWidth="1"/>
    <col min="8449" max="8454" width="10.140625" style="294" customWidth="1"/>
    <col min="8455" max="8468" width="9.140625" style="294" customWidth="1"/>
    <col min="8469" max="8469" width="11.140625" style="294" customWidth="1"/>
    <col min="8470" max="8688" width="11.42578125" style="294"/>
    <col min="8689" max="8689" width="12" style="294" customWidth="1"/>
    <col min="8690" max="8690" width="11.42578125" style="294"/>
    <col min="8691" max="8691" width="9.7109375" style="294" customWidth="1"/>
    <col min="8692" max="8692" width="15.85546875" style="294" customWidth="1"/>
    <col min="8693" max="8704" width="11.42578125" style="294" customWidth="1"/>
    <col min="8705" max="8710" width="10.140625" style="294" customWidth="1"/>
    <col min="8711" max="8724" width="9.140625" style="294" customWidth="1"/>
    <col min="8725" max="8725" width="11.140625" style="294" customWidth="1"/>
    <col min="8726" max="8944" width="11.42578125" style="294"/>
    <col min="8945" max="8945" width="12" style="294" customWidth="1"/>
    <col min="8946" max="8946" width="11.42578125" style="294"/>
    <col min="8947" max="8947" width="9.7109375" style="294" customWidth="1"/>
    <col min="8948" max="8948" width="15.85546875" style="294" customWidth="1"/>
    <col min="8949" max="8960" width="11.42578125" style="294" customWidth="1"/>
    <col min="8961" max="8966" width="10.140625" style="294" customWidth="1"/>
    <col min="8967" max="8980" width="9.140625" style="294" customWidth="1"/>
    <col min="8981" max="8981" width="11.140625" style="294" customWidth="1"/>
    <col min="8982" max="9200" width="11.42578125" style="294"/>
    <col min="9201" max="9201" width="12" style="294" customWidth="1"/>
    <col min="9202" max="9202" width="11.42578125" style="294"/>
    <col min="9203" max="9203" width="9.7109375" style="294" customWidth="1"/>
    <col min="9204" max="9204" width="15.85546875" style="294" customWidth="1"/>
    <col min="9205" max="9216" width="11.42578125" style="294" customWidth="1"/>
    <col min="9217" max="9222" width="10.140625" style="294" customWidth="1"/>
    <col min="9223" max="9236" width="9.140625" style="294" customWidth="1"/>
    <col min="9237" max="9237" width="11.140625" style="294" customWidth="1"/>
    <col min="9238" max="9456" width="11.42578125" style="294"/>
    <col min="9457" max="9457" width="12" style="294" customWidth="1"/>
    <col min="9458" max="9458" width="11.42578125" style="294"/>
    <col min="9459" max="9459" width="9.7109375" style="294" customWidth="1"/>
    <col min="9460" max="9460" width="15.85546875" style="294" customWidth="1"/>
    <col min="9461" max="9472" width="11.42578125" style="294" customWidth="1"/>
    <col min="9473" max="9478" width="10.140625" style="294" customWidth="1"/>
    <col min="9479" max="9492" width="9.140625" style="294" customWidth="1"/>
    <col min="9493" max="9493" width="11.140625" style="294" customWidth="1"/>
    <col min="9494" max="9712" width="11.42578125" style="294"/>
    <col min="9713" max="9713" width="12" style="294" customWidth="1"/>
    <col min="9714" max="9714" width="11.42578125" style="294"/>
    <col min="9715" max="9715" width="9.7109375" style="294" customWidth="1"/>
    <col min="9716" max="9716" width="15.85546875" style="294" customWidth="1"/>
    <col min="9717" max="9728" width="11.42578125" style="294" customWidth="1"/>
    <col min="9729" max="9734" width="10.140625" style="294" customWidth="1"/>
    <col min="9735" max="9748" width="9.140625" style="294" customWidth="1"/>
    <col min="9749" max="9749" width="11.140625" style="294" customWidth="1"/>
    <col min="9750" max="9968" width="11.42578125" style="294"/>
    <col min="9969" max="9969" width="12" style="294" customWidth="1"/>
    <col min="9970" max="9970" width="11.42578125" style="294"/>
    <col min="9971" max="9971" width="9.7109375" style="294" customWidth="1"/>
    <col min="9972" max="9972" width="15.85546875" style="294" customWidth="1"/>
    <col min="9973" max="9984" width="11.42578125" style="294" customWidth="1"/>
    <col min="9985" max="9990" width="10.140625" style="294" customWidth="1"/>
    <col min="9991" max="10004" width="9.140625" style="294" customWidth="1"/>
    <col min="10005" max="10005" width="11.140625" style="294" customWidth="1"/>
    <col min="10006" max="10224" width="11.42578125" style="294"/>
    <col min="10225" max="10225" width="12" style="294" customWidth="1"/>
    <col min="10226" max="10226" width="11.42578125" style="294"/>
    <col min="10227" max="10227" width="9.7109375" style="294" customWidth="1"/>
    <col min="10228" max="10228" width="15.85546875" style="294" customWidth="1"/>
    <col min="10229" max="10240" width="11.42578125" style="294" customWidth="1"/>
    <col min="10241" max="10246" width="10.140625" style="294" customWidth="1"/>
    <col min="10247" max="10260" width="9.140625" style="294" customWidth="1"/>
    <col min="10261" max="10261" width="11.140625" style="294" customWidth="1"/>
    <col min="10262" max="10480" width="11.42578125" style="294"/>
    <col min="10481" max="10481" width="12" style="294" customWidth="1"/>
    <col min="10482" max="10482" width="11.42578125" style="294"/>
    <col min="10483" max="10483" width="9.7109375" style="294" customWidth="1"/>
    <col min="10484" max="10484" width="15.85546875" style="294" customWidth="1"/>
    <col min="10485" max="10496" width="11.42578125" style="294" customWidth="1"/>
    <col min="10497" max="10502" width="10.140625" style="294" customWidth="1"/>
    <col min="10503" max="10516" width="9.140625" style="294" customWidth="1"/>
    <col min="10517" max="10517" width="11.140625" style="294" customWidth="1"/>
    <col min="10518" max="10736" width="11.42578125" style="294"/>
    <col min="10737" max="10737" width="12" style="294" customWidth="1"/>
    <col min="10738" max="10738" width="11.42578125" style="294"/>
    <col min="10739" max="10739" width="9.7109375" style="294" customWidth="1"/>
    <col min="10740" max="10740" width="15.85546875" style="294" customWidth="1"/>
    <col min="10741" max="10752" width="11.42578125" style="294" customWidth="1"/>
    <col min="10753" max="10758" width="10.140625" style="294" customWidth="1"/>
    <col min="10759" max="10772" width="9.140625" style="294" customWidth="1"/>
    <col min="10773" max="10773" width="11.140625" style="294" customWidth="1"/>
    <col min="10774" max="10992" width="11.42578125" style="294"/>
    <col min="10993" max="10993" width="12" style="294" customWidth="1"/>
    <col min="10994" max="10994" width="11.42578125" style="294"/>
    <col min="10995" max="10995" width="9.7109375" style="294" customWidth="1"/>
    <col min="10996" max="10996" width="15.85546875" style="294" customWidth="1"/>
    <col min="10997" max="11008" width="11.42578125" style="294" customWidth="1"/>
    <col min="11009" max="11014" width="10.140625" style="294" customWidth="1"/>
    <col min="11015" max="11028" width="9.140625" style="294" customWidth="1"/>
    <col min="11029" max="11029" width="11.140625" style="294" customWidth="1"/>
    <col min="11030" max="11248" width="11.42578125" style="294"/>
    <col min="11249" max="11249" width="12" style="294" customWidth="1"/>
    <col min="11250" max="11250" width="11.42578125" style="294"/>
    <col min="11251" max="11251" width="9.7109375" style="294" customWidth="1"/>
    <col min="11252" max="11252" width="15.85546875" style="294" customWidth="1"/>
    <col min="11253" max="11264" width="11.42578125" style="294" customWidth="1"/>
    <col min="11265" max="11270" width="10.140625" style="294" customWidth="1"/>
    <col min="11271" max="11284" width="9.140625" style="294" customWidth="1"/>
    <col min="11285" max="11285" width="11.140625" style="294" customWidth="1"/>
    <col min="11286" max="11504" width="11.42578125" style="294"/>
    <col min="11505" max="11505" width="12" style="294" customWidth="1"/>
    <col min="11506" max="11506" width="11.42578125" style="294"/>
    <col min="11507" max="11507" width="9.7109375" style="294" customWidth="1"/>
    <col min="11508" max="11508" width="15.85546875" style="294" customWidth="1"/>
    <col min="11509" max="11520" width="11.42578125" style="294" customWidth="1"/>
    <col min="11521" max="11526" width="10.140625" style="294" customWidth="1"/>
    <col min="11527" max="11540" width="9.140625" style="294" customWidth="1"/>
    <col min="11541" max="11541" width="11.140625" style="294" customWidth="1"/>
    <col min="11542" max="11760" width="11.42578125" style="294"/>
    <col min="11761" max="11761" width="12" style="294" customWidth="1"/>
    <col min="11762" max="11762" width="11.42578125" style="294"/>
    <col min="11763" max="11763" width="9.7109375" style="294" customWidth="1"/>
    <col min="11764" max="11764" width="15.85546875" style="294" customWidth="1"/>
    <col min="11765" max="11776" width="11.42578125" style="294" customWidth="1"/>
    <col min="11777" max="11782" width="10.140625" style="294" customWidth="1"/>
    <col min="11783" max="11796" width="9.140625" style="294" customWidth="1"/>
    <col min="11797" max="11797" width="11.140625" style="294" customWidth="1"/>
    <col min="11798" max="12016" width="11.42578125" style="294"/>
    <col min="12017" max="12017" width="12" style="294" customWidth="1"/>
    <col min="12018" max="12018" width="11.42578125" style="294"/>
    <col min="12019" max="12019" width="9.7109375" style="294" customWidth="1"/>
    <col min="12020" max="12020" width="15.85546875" style="294" customWidth="1"/>
    <col min="12021" max="12032" width="11.42578125" style="294" customWidth="1"/>
    <col min="12033" max="12038" width="10.140625" style="294" customWidth="1"/>
    <col min="12039" max="12052" width="9.140625" style="294" customWidth="1"/>
    <col min="12053" max="12053" width="11.140625" style="294" customWidth="1"/>
    <col min="12054" max="12272" width="11.42578125" style="294"/>
    <col min="12273" max="12273" width="12" style="294" customWidth="1"/>
    <col min="12274" max="12274" width="11.42578125" style="294"/>
    <col min="12275" max="12275" width="9.7109375" style="294" customWidth="1"/>
    <col min="12276" max="12276" width="15.85546875" style="294" customWidth="1"/>
    <col min="12277" max="12288" width="11.42578125" style="294" customWidth="1"/>
    <col min="12289" max="12294" width="10.140625" style="294" customWidth="1"/>
    <col min="12295" max="12308" width="9.140625" style="294" customWidth="1"/>
    <col min="12309" max="12309" width="11.140625" style="294" customWidth="1"/>
    <col min="12310" max="12528" width="11.42578125" style="294"/>
    <col min="12529" max="12529" width="12" style="294" customWidth="1"/>
    <col min="12530" max="12530" width="11.42578125" style="294"/>
    <col min="12531" max="12531" width="9.7109375" style="294" customWidth="1"/>
    <col min="12532" max="12532" width="15.85546875" style="294" customWidth="1"/>
    <col min="12533" max="12544" width="11.42578125" style="294" customWidth="1"/>
    <col min="12545" max="12550" width="10.140625" style="294" customWidth="1"/>
    <col min="12551" max="12564" width="9.140625" style="294" customWidth="1"/>
    <col min="12565" max="12565" width="11.140625" style="294" customWidth="1"/>
    <col min="12566" max="12784" width="11.42578125" style="294"/>
    <col min="12785" max="12785" width="12" style="294" customWidth="1"/>
    <col min="12786" max="12786" width="11.42578125" style="294"/>
    <col min="12787" max="12787" width="9.7109375" style="294" customWidth="1"/>
    <col min="12788" max="12788" width="15.85546875" style="294" customWidth="1"/>
    <col min="12789" max="12800" width="11.42578125" style="294" customWidth="1"/>
    <col min="12801" max="12806" width="10.140625" style="294" customWidth="1"/>
    <col min="12807" max="12820" width="9.140625" style="294" customWidth="1"/>
    <col min="12821" max="12821" width="11.140625" style="294" customWidth="1"/>
    <col min="12822" max="13040" width="11.42578125" style="294"/>
    <col min="13041" max="13041" width="12" style="294" customWidth="1"/>
    <col min="13042" max="13042" width="11.42578125" style="294"/>
    <col min="13043" max="13043" width="9.7109375" style="294" customWidth="1"/>
    <col min="13044" max="13044" width="15.85546875" style="294" customWidth="1"/>
    <col min="13045" max="13056" width="11.42578125" style="294" customWidth="1"/>
    <col min="13057" max="13062" width="10.140625" style="294" customWidth="1"/>
    <col min="13063" max="13076" width="9.140625" style="294" customWidth="1"/>
    <col min="13077" max="13077" width="11.140625" style="294" customWidth="1"/>
    <col min="13078" max="13296" width="11.42578125" style="294"/>
    <col min="13297" max="13297" width="12" style="294" customWidth="1"/>
    <col min="13298" max="13298" width="11.42578125" style="294"/>
    <col min="13299" max="13299" width="9.7109375" style="294" customWidth="1"/>
    <col min="13300" max="13300" width="15.85546875" style="294" customWidth="1"/>
    <col min="13301" max="13312" width="11.42578125" style="294" customWidth="1"/>
    <col min="13313" max="13318" width="10.140625" style="294" customWidth="1"/>
    <col min="13319" max="13332" width="9.140625" style="294" customWidth="1"/>
    <col min="13333" max="13333" width="11.140625" style="294" customWidth="1"/>
    <col min="13334" max="13552" width="11.42578125" style="294"/>
    <col min="13553" max="13553" width="12" style="294" customWidth="1"/>
    <col min="13554" max="13554" width="11.42578125" style="294"/>
    <col min="13555" max="13555" width="9.7109375" style="294" customWidth="1"/>
    <col min="13556" max="13556" width="15.85546875" style="294" customWidth="1"/>
    <col min="13557" max="13568" width="11.42578125" style="294" customWidth="1"/>
    <col min="13569" max="13574" width="10.140625" style="294" customWidth="1"/>
    <col min="13575" max="13588" width="9.140625" style="294" customWidth="1"/>
    <col min="13589" max="13589" width="11.140625" style="294" customWidth="1"/>
    <col min="13590" max="13808" width="11.42578125" style="294"/>
    <col min="13809" max="13809" width="12" style="294" customWidth="1"/>
    <col min="13810" max="13810" width="11.42578125" style="294"/>
    <col min="13811" max="13811" width="9.7109375" style="294" customWidth="1"/>
    <col min="13812" max="13812" width="15.85546875" style="294" customWidth="1"/>
    <col min="13813" max="13824" width="11.42578125" style="294" customWidth="1"/>
    <col min="13825" max="13830" width="10.140625" style="294" customWidth="1"/>
    <col min="13831" max="13844" width="9.140625" style="294" customWidth="1"/>
    <col min="13845" max="13845" width="11.140625" style="294" customWidth="1"/>
    <col min="13846" max="14064" width="11.42578125" style="294"/>
    <col min="14065" max="14065" width="12" style="294" customWidth="1"/>
    <col min="14066" max="14066" width="11.42578125" style="294"/>
    <col min="14067" max="14067" width="9.7109375" style="294" customWidth="1"/>
    <col min="14068" max="14068" width="15.85546875" style="294" customWidth="1"/>
    <col min="14069" max="14080" width="11.42578125" style="294" customWidth="1"/>
    <col min="14081" max="14086" width="10.140625" style="294" customWidth="1"/>
    <col min="14087" max="14100" width="9.140625" style="294" customWidth="1"/>
    <col min="14101" max="14101" width="11.140625" style="294" customWidth="1"/>
    <col min="14102" max="14320" width="11.42578125" style="294"/>
    <col min="14321" max="14321" width="12" style="294" customWidth="1"/>
    <col min="14322" max="14322" width="11.42578125" style="294"/>
    <col min="14323" max="14323" width="9.7109375" style="294" customWidth="1"/>
    <col min="14324" max="14324" width="15.85546875" style="294" customWidth="1"/>
    <col min="14325" max="14336" width="11.42578125" style="294" customWidth="1"/>
    <col min="14337" max="14342" width="10.140625" style="294" customWidth="1"/>
    <col min="14343" max="14356" width="9.140625" style="294" customWidth="1"/>
    <col min="14357" max="14357" width="11.140625" style="294" customWidth="1"/>
    <col min="14358" max="14576" width="11.42578125" style="294"/>
    <col min="14577" max="14577" width="12" style="294" customWidth="1"/>
    <col min="14578" max="14578" width="11.42578125" style="294"/>
    <col min="14579" max="14579" width="9.7109375" style="294" customWidth="1"/>
    <col min="14580" max="14580" width="15.85546875" style="294" customWidth="1"/>
    <col min="14581" max="14592" width="11.42578125" style="294" customWidth="1"/>
    <col min="14593" max="14598" width="10.140625" style="294" customWidth="1"/>
    <col min="14599" max="14612" width="9.140625" style="294" customWidth="1"/>
    <col min="14613" max="14613" width="11.140625" style="294" customWidth="1"/>
    <col min="14614" max="14832" width="11.42578125" style="294"/>
    <col min="14833" max="14833" width="12" style="294" customWidth="1"/>
    <col min="14834" max="14834" width="11.42578125" style="294"/>
    <col min="14835" max="14835" width="9.7109375" style="294" customWidth="1"/>
    <col min="14836" max="14836" width="15.85546875" style="294" customWidth="1"/>
    <col min="14837" max="14848" width="11.42578125" style="294" customWidth="1"/>
    <col min="14849" max="14854" width="10.140625" style="294" customWidth="1"/>
    <col min="14855" max="14868" width="9.140625" style="294" customWidth="1"/>
    <col min="14869" max="14869" width="11.140625" style="294" customWidth="1"/>
    <col min="14870" max="15088" width="11.42578125" style="294"/>
    <col min="15089" max="15089" width="12" style="294" customWidth="1"/>
    <col min="15090" max="15090" width="11.42578125" style="294"/>
    <col min="15091" max="15091" width="9.7109375" style="294" customWidth="1"/>
    <col min="15092" max="15092" width="15.85546875" style="294" customWidth="1"/>
    <col min="15093" max="15104" width="11.42578125" style="294" customWidth="1"/>
    <col min="15105" max="15110" width="10.140625" style="294" customWidth="1"/>
    <col min="15111" max="15124" width="9.140625" style="294" customWidth="1"/>
    <col min="15125" max="15125" width="11.140625" style="294" customWidth="1"/>
    <col min="15126" max="15344" width="11.42578125" style="294"/>
    <col min="15345" max="15345" width="12" style="294" customWidth="1"/>
    <col min="15346" max="15346" width="11.42578125" style="294"/>
    <col min="15347" max="15347" width="9.7109375" style="294" customWidth="1"/>
    <col min="15348" max="15348" width="15.85546875" style="294" customWidth="1"/>
    <col min="15349" max="15360" width="11.42578125" style="294" customWidth="1"/>
    <col min="15361" max="15366" width="10.140625" style="294" customWidth="1"/>
    <col min="15367" max="15380" width="9.140625" style="294" customWidth="1"/>
    <col min="15381" max="15381" width="11.140625" style="294" customWidth="1"/>
    <col min="15382" max="15600" width="11.42578125" style="294"/>
    <col min="15601" max="15601" width="12" style="294" customWidth="1"/>
    <col min="15602" max="15602" width="11.42578125" style="294"/>
    <col min="15603" max="15603" width="9.7109375" style="294" customWidth="1"/>
    <col min="15604" max="15604" width="15.85546875" style="294" customWidth="1"/>
    <col min="15605" max="15616" width="11.42578125" style="294" customWidth="1"/>
    <col min="15617" max="15622" width="10.140625" style="294" customWidth="1"/>
    <col min="15623" max="15636" width="9.140625" style="294" customWidth="1"/>
    <col min="15637" max="15637" width="11.140625" style="294" customWidth="1"/>
    <col min="15638" max="15856" width="11.42578125" style="294"/>
    <col min="15857" max="15857" width="12" style="294" customWidth="1"/>
    <col min="15858" max="15858" width="11.42578125" style="294"/>
    <col min="15859" max="15859" width="9.7109375" style="294" customWidth="1"/>
    <col min="15860" max="15860" width="15.85546875" style="294" customWidth="1"/>
    <col min="15861" max="15872" width="11.42578125" style="294" customWidth="1"/>
    <col min="15873" max="15878" width="10.140625" style="294" customWidth="1"/>
    <col min="15879" max="15892" width="9.140625" style="294" customWidth="1"/>
    <col min="15893" max="15893" width="11.140625" style="294" customWidth="1"/>
    <col min="15894" max="16112" width="11.42578125" style="294"/>
    <col min="16113" max="16113" width="12" style="294" customWidth="1"/>
    <col min="16114" max="16114" width="11.42578125" style="294"/>
    <col min="16115" max="16115" width="9.7109375" style="294" customWidth="1"/>
    <col min="16116" max="16116" width="15.85546875" style="294" customWidth="1"/>
    <col min="16117" max="16128" width="11.42578125" style="294" customWidth="1"/>
    <col min="16129" max="16134" width="10.140625" style="294" customWidth="1"/>
    <col min="16135" max="16148" width="9.140625" style="294" customWidth="1"/>
    <col min="16149" max="16149" width="11.140625" style="294" customWidth="1"/>
    <col min="16150" max="16384" width="11.42578125" style="294"/>
  </cols>
  <sheetData>
    <row r="1" spans="2:8" ht="12.75">
      <c r="C1" s="295"/>
    </row>
    <row r="2" spans="2:8" ht="12.75">
      <c r="C2" s="295"/>
    </row>
    <row r="6" spans="2:8" ht="36" customHeight="1" thickBot="1">
      <c r="B6" s="296" t="s">
        <v>195</v>
      </c>
      <c r="C6" s="297"/>
      <c r="D6" s="297"/>
      <c r="E6" s="297"/>
      <c r="F6" s="297"/>
    </row>
    <row r="7" spans="2:8" ht="36.75" thickBot="1">
      <c r="B7" s="298"/>
      <c r="C7" s="299" t="s">
        <v>196</v>
      </c>
      <c r="D7" s="299" t="s">
        <v>197</v>
      </c>
      <c r="E7" s="299" t="s">
        <v>198</v>
      </c>
      <c r="F7" s="299" t="s">
        <v>199</v>
      </c>
      <c r="H7" s="60" t="s">
        <v>50</v>
      </c>
    </row>
    <row r="8" spans="2:8" ht="12.75" hidden="1">
      <c r="B8" s="300" t="s">
        <v>200</v>
      </c>
      <c r="C8" s="202">
        <f>GETPIVOTDATA("dato",'[1]tabla dinámica men'!$A$18,"mes",12,"año",2010)</f>
        <v>0</v>
      </c>
      <c r="D8" s="39" t="str">
        <f t="shared" ref="D8:D18" si="0">IFERROR((C8-C9)/C9,"-")</f>
        <v>-</v>
      </c>
      <c r="E8" s="39">
        <f>C8/C21-1</f>
        <v>-1</v>
      </c>
      <c r="F8" s="301">
        <f>((SUM(C8:C19)/SUM(C21:C32))-1)</f>
        <v>-0.39875496362705909</v>
      </c>
    </row>
    <row r="9" spans="2:8" ht="12.75" hidden="1">
      <c r="B9" s="300" t="s">
        <v>201</v>
      </c>
      <c r="C9" s="202">
        <f>GETPIVOTDATA("dato",'[1]tabla dinámica men'!$A$18,"mes",11,"año",2010)</f>
        <v>0</v>
      </c>
      <c r="D9" s="39" t="str">
        <f t="shared" si="0"/>
        <v>-</v>
      </c>
      <c r="E9" s="39">
        <f t="shared" ref="E9:E59" si="1">C9/C22-1</f>
        <v>-1</v>
      </c>
      <c r="F9" s="301">
        <f>((SUM(C9:C19,C21)/SUM(C22:C32,C34))-1)</f>
        <v>-0.32726036882460185</v>
      </c>
    </row>
    <row r="10" spans="2:8" ht="12.75" hidden="1">
      <c r="B10" s="300" t="s">
        <v>202</v>
      </c>
      <c r="C10" s="202">
        <f>GETPIVOTDATA("dato",'[1]tabla dinámica men'!$A$18,"mes",10,"año",2010)</f>
        <v>0</v>
      </c>
      <c r="D10" s="39" t="str">
        <f t="shared" si="0"/>
        <v>-</v>
      </c>
      <c r="E10" s="39">
        <f t="shared" si="1"/>
        <v>-1</v>
      </c>
      <c r="F10" s="301">
        <f>((SUM(C10:C19,C21:C22)/SUM(C23:C32,C34:C35))-1)</f>
        <v>-0.25658514807282107</v>
      </c>
    </row>
    <row r="11" spans="2:8" ht="12.75" hidden="1">
      <c r="B11" s="300" t="s">
        <v>203</v>
      </c>
      <c r="C11" s="202">
        <f>GETPIVOTDATA("dato",'[1]tabla dinámica men'!$A$18,"mes",9,"año",2010)</f>
        <v>0</v>
      </c>
      <c r="D11" s="39" t="str">
        <f t="shared" si="0"/>
        <v>-</v>
      </c>
      <c r="E11" s="39">
        <f t="shared" si="1"/>
        <v>-1</v>
      </c>
      <c r="F11" s="301">
        <f>((SUM(C11:C19,C21:C23)/SUM(C24:C32,C34:C36))-1)</f>
        <v>-0.20618655372706662</v>
      </c>
    </row>
    <row r="12" spans="2:8" ht="12.75" hidden="1">
      <c r="B12" s="300" t="s">
        <v>204</v>
      </c>
      <c r="C12" s="202">
        <f>GETPIVOTDATA("dato",'[1]tabla dinámica men'!$A$18,"mes",8,"año",2010)</f>
        <v>0</v>
      </c>
      <c r="D12" s="39">
        <f t="shared" si="0"/>
        <v>-1</v>
      </c>
      <c r="E12" s="39">
        <f t="shared" si="1"/>
        <v>-1</v>
      </c>
      <c r="F12" s="301">
        <f>((SUM(C12:C19,C21:C24)/SUM(C25:C32,C34:C37))-1)</f>
        <v>-0.15980838883047088</v>
      </c>
    </row>
    <row r="13" spans="2:8" ht="12.75">
      <c r="B13" s="300" t="s">
        <v>205</v>
      </c>
      <c r="C13" s="202">
        <f>GETPIVOTDATA("dato",'[1]tabla dinámica men'!$A$18,"mes",7,"año",2010)</f>
        <v>10611</v>
      </c>
      <c r="D13" s="39">
        <f t="shared" si="0"/>
        <v>-0.16330231824633337</v>
      </c>
      <c r="E13" s="39">
        <f t="shared" si="1"/>
        <v>-0.10756938603868793</v>
      </c>
      <c r="F13" s="301">
        <f>((SUM(C13:C19,C21:C25)/SUM(C26:C32,C34:C38))-1)</f>
        <v>-0.13721394790309083</v>
      </c>
    </row>
    <row r="14" spans="2:8" ht="12.75">
      <c r="B14" s="300" t="s">
        <v>206</v>
      </c>
      <c r="C14" s="202">
        <f>GETPIVOTDATA("dato",'[1]tabla dinámica men'!$A$18,"mes",6,"año",2010)</f>
        <v>12682</v>
      </c>
      <c r="D14" s="39">
        <f t="shared" si="0"/>
        <v>2.216490690739099E-2</v>
      </c>
      <c r="E14" s="39">
        <f t="shared" si="1"/>
        <v>-5.3333333333333011E-3</v>
      </c>
      <c r="F14" s="301">
        <f>((SUM(C14:C19,C21:C26)/SUM(C27:C32,C34:C39))-1)</f>
        <v>-0.15141153876042146</v>
      </c>
    </row>
    <row r="15" spans="2:8" ht="12.75">
      <c r="B15" s="300" t="s">
        <v>207</v>
      </c>
      <c r="C15" s="202">
        <f>GETPIVOTDATA("dato",'[1]tabla dinámica men'!$A$18,"mes",5,"año",2010)</f>
        <v>12407</v>
      </c>
      <c r="D15" s="39">
        <f t="shared" si="0"/>
        <v>-1.4926558157999205E-2</v>
      </c>
      <c r="E15" s="39">
        <f t="shared" si="1"/>
        <v>-7.918955024491614E-2</v>
      </c>
      <c r="F15" s="301">
        <f>((SUM(C15:C19,C21:C27)/SUM(C28:C32,C34:C40))-1)</f>
        <v>-0.16352380119005949</v>
      </c>
    </row>
    <row r="16" spans="2:8" ht="12.75">
      <c r="B16" s="300" t="s">
        <v>208</v>
      </c>
      <c r="C16" s="202">
        <f>GETPIVOTDATA("dato",'[1]tabla dinámica men'!$A$18,"mes",4,"año",2010)</f>
        <v>12595</v>
      </c>
      <c r="D16" s="39">
        <f t="shared" si="0"/>
        <v>-0.13578976259091532</v>
      </c>
      <c r="E16" s="39">
        <f t="shared" si="1"/>
        <v>-3.7005887300252338E-2</v>
      </c>
      <c r="F16" s="301">
        <f>((SUM(C16:C19,C21:C28)/SUM(C29:C32,C34:C41))-1)</f>
        <v>-0.17555711387445061</v>
      </c>
    </row>
    <row r="17" spans="2:6" ht="12.75">
      <c r="B17" s="300" t="s">
        <v>209</v>
      </c>
      <c r="C17" s="202">
        <f>GETPIVOTDATA("dato",'[1]tabla dinámica men'!$A$18,"mes",3,"año",2010)</f>
        <v>14574</v>
      </c>
      <c r="D17" s="39">
        <f t="shared" si="0"/>
        <v>-0.13037770750044753</v>
      </c>
      <c r="E17" s="39">
        <f t="shared" si="1"/>
        <v>-6.8932473008369022E-2</v>
      </c>
      <c r="F17" s="301">
        <f>((SUM(C17:C19,C21:C29)/SUM(C30:C32,C34:C42))-1)</f>
        <v>-0.19247876649679863</v>
      </c>
    </row>
    <row r="18" spans="2:6" ht="12.75">
      <c r="B18" s="300" t="s">
        <v>210</v>
      </c>
      <c r="C18" s="202">
        <f>GETPIVOTDATA("dato",'[1]tabla dinámica men'!$A$18,"mes",2,"año",2010)</f>
        <v>16759</v>
      </c>
      <c r="D18" s="39">
        <f t="shared" si="0"/>
        <v>0.27077646345162271</v>
      </c>
      <c r="E18" s="39">
        <f t="shared" si="1"/>
        <v>0.10460058001581851</v>
      </c>
      <c r="F18" s="301">
        <f>((SUM(C18:C19,C21:C30)/SUM(C31:C32,C34:C43))-1)</f>
        <v>-0.19063795695624353</v>
      </c>
    </row>
    <row r="19" spans="2:6" ht="12.75">
      <c r="B19" s="300" t="s">
        <v>211</v>
      </c>
      <c r="C19" s="202">
        <f>GETPIVOTDATA("dato",'[1]tabla dinámica men'!$A$18,"mes",1,"año",2010)</f>
        <v>13188</v>
      </c>
      <c r="D19" s="39" t="s">
        <v>32</v>
      </c>
      <c r="E19" s="39">
        <f t="shared" si="1"/>
        <v>-2.8150331613854052E-2</v>
      </c>
      <c r="F19" s="301">
        <f>((SUM(C19,C21:C31)/SUM(C32,C34:C44))-1)</f>
        <v>-0.21595572436687271</v>
      </c>
    </row>
    <row r="20" spans="2:6" ht="24">
      <c r="B20" s="302" t="s">
        <v>55</v>
      </c>
      <c r="C20" s="303">
        <f>GETPIVOTDATA("dato",'[1]tabla dinámica men'!$A$18,"año",2010)</f>
        <v>92816</v>
      </c>
      <c r="D20" s="304"/>
      <c r="E20" s="304">
        <f>(C19+C18+C17+C16+C15+C14+C13)/(C32+C31+C30+C29+C28+C27+C26)-1</f>
        <v>-2.8999455998660939E-2</v>
      </c>
      <c r="F20" s="304" t="s">
        <v>32</v>
      </c>
    </row>
    <row r="21" spans="2:6" ht="12.75" hidden="1" outlineLevel="1">
      <c r="B21" s="300" t="s">
        <v>200</v>
      </c>
      <c r="C21" s="202">
        <f>GETPIVOTDATA("dato",'[1]tabla dinámica men'!$A$18,"mes",12,"año",2009)</f>
        <v>13086</v>
      </c>
      <c r="D21" s="39">
        <f t="shared" ref="D21:D31" si="2">IFERROR((C21-C22)/C22,"-")</f>
        <v>-6.4617583988563265E-2</v>
      </c>
      <c r="E21" s="39">
        <f t="shared" si="1"/>
        <v>-0.18881725762459711</v>
      </c>
      <c r="F21" s="301">
        <f>((SUM(C21:C32)/SUM(C34:C45))-1)</f>
        <v>-0.22743196308640867</v>
      </c>
    </row>
    <row r="22" spans="2:6" ht="12.75" hidden="1" outlineLevel="1">
      <c r="B22" s="300" t="s">
        <v>201</v>
      </c>
      <c r="C22" s="202">
        <f>GETPIVOTDATA("dato",'[1]tabla dinámica men'!$A$18,"mes",11,"año",2009)</f>
        <v>13990</v>
      </c>
      <c r="D22" s="39">
        <f t="shared" si="2"/>
        <v>9.2200796315090955E-2</v>
      </c>
      <c r="E22" s="39">
        <f t="shared" si="1"/>
        <v>-0.21593902370677576</v>
      </c>
      <c r="F22" s="301">
        <f>((SUM(C22:C32,C34)/SUM(C35:C45,C47))-1)</f>
        <v>-0.21518097517200119</v>
      </c>
    </row>
    <row r="23" spans="2:6" ht="12.75" hidden="1" outlineLevel="1">
      <c r="B23" s="300" t="s">
        <v>202</v>
      </c>
      <c r="C23" s="202">
        <f>GETPIVOTDATA("dato",'[1]tabla dinámica men'!$A$18,"mes",10,"año",2009)</f>
        <v>12809</v>
      </c>
      <c r="D23" s="39">
        <f t="shared" si="2"/>
        <v>0.15157781174143667</v>
      </c>
      <c r="E23" s="39">
        <f t="shared" si="1"/>
        <v>-0.31524644499091203</v>
      </c>
      <c r="F23" s="301">
        <f>((SUM(C23:C32,C34:C35)/SUM(C36:C45,C47:C48))-1)</f>
        <v>-0.20022217152832189</v>
      </c>
    </row>
    <row r="24" spans="2:6" ht="12.75" hidden="1" outlineLevel="1">
      <c r="B24" s="300" t="s">
        <v>203</v>
      </c>
      <c r="C24" s="202">
        <f>GETPIVOTDATA("dato",'[1]tabla dinámica men'!$A$18,"mes",9,"año",2009)</f>
        <v>11123</v>
      </c>
      <c r="D24" s="39">
        <f t="shared" si="2"/>
        <v>0.43024302430243022</v>
      </c>
      <c r="E24" s="39">
        <f t="shared" si="1"/>
        <v>-0.2650323774283071</v>
      </c>
      <c r="F24" s="301">
        <f>((SUM(C24:C32,C34:C36)/SUM(C37:C45,C47:C49))-1)</f>
        <v>-0.16534855157125306</v>
      </c>
    </row>
    <row r="25" spans="2:6" ht="12.75" hidden="1" outlineLevel="1">
      <c r="B25" s="300" t="s">
        <v>204</v>
      </c>
      <c r="C25" s="202">
        <f>GETPIVOTDATA("dato",'[1]tabla dinámica men'!$A$18,"mes",8,"año",2009)</f>
        <v>7777</v>
      </c>
      <c r="D25" s="39">
        <f t="shared" si="2"/>
        <v>-0.34592094196804035</v>
      </c>
      <c r="E25" s="39">
        <f t="shared" si="1"/>
        <v>-0.36813454663633405</v>
      </c>
      <c r="F25" s="301">
        <f>((SUM(C25:C32,C34:C37)/SUM(C38:C45,C47:C50))-1)</f>
        <v>-0.14073598136705201</v>
      </c>
    </row>
    <row r="26" spans="2:6" ht="12.75" hidden="1" outlineLevel="1">
      <c r="B26" s="300" t="s">
        <v>205</v>
      </c>
      <c r="C26" s="202">
        <f>GETPIVOTDATA("dato",'[1]tabla dinámica men'!$A$18,"mes",7,"año",2009)</f>
        <v>11890</v>
      </c>
      <c r="D26" s="39">
        <f t="shared" si="2"/>
        <v>-6.7450980392156856E-2</v>
      </c>
      <c r="E26" s="39">
        <f t="shared" si="1"/>
        <v>-0.27220419905735449</v>
      </c>
      <c r="F26" s="301">
        <f>((SUM(C26:C32,C34:C38)/SUM(C39:C45,C47:C51))-1)</f>
        <v>-0.10750421585160197</v>
      </c>
    </row>
    <row r="27" spans="2:6" ht="12.75" hidden="1" outlineLevel="1">
      <c r="B27" s="300" t="s">
        <v>206</v>
      </c>
      <c r="C27" s="202">
        <f>GETPIVOTDATA("dato",'[1]tabla dinámica men'!$A$18,"mes",6,"año",2009)</f>
        <v>12750</v>
      </c>
      <c r="D27" s="39">
        <f t="shared" si="2"/>
        <v>-5.373311563010242E-2</v>
      </c>
      <c r="E27" s="39">
        <f t="shared" si="1"/>
        <v>-0.17422279792746109</v>
      </c>
      <c r="F27" s="301">
        <f>((SUM(C27:C32,C34:C39)/SUM(C40:C45,C47:C52))-1)</f>
        <v>-7.5634046352213158E-2</v>
      </c>
    </row>
    <row r="28" spans="2:6" ht="12.75" hidden="1" outlineLevel="1">
      <c r="B28" s="300" t="s">
        <v>207</v>
      </c>
      <c r="C28" s="202">
        <f>GETPIVOTDATA("dato",'[1]tabla dinámica men'!$A$18,"mes",5,"año",2009)</f>
        <v>13474</v>
      </c>
      <c r="D28" s="39">
        <f t="shared" si="2"/>
        <v>3.0201085709916659E-2</v>
      </c>
      <c r="E28" s="39">
        <f t="shared" si="1"/>
        <v>-0.22727533405975797</v>
      </c>
      <c r="F28" s="301">
        <f>((SUM(C28:C32,C34:C40)/SUM(C41:C45,C47:C53))-1)</f>
        <v>-5.0781290557026404E-2</v>
      </c>
    </row>
    <row r="29" spans="2:6" ht="12.75" hidden="1" outlineLevel="1">
      <c r="B29" s="300" t="s">
        <v>208</v>
      </c>
      <c r="C29" s="202">
        <f>GETPIVOTDATA("dato",'[1]tabla dinámica men'!$A$18,"mes",4,"año",2009)</f>
        <v>13079</v>
      </c>
      <c r="D29" s="39">
        <f t="shared" si="2"/>
        <v>-0.16444132115249474</v>
      </c>
      <c r="E29" s="39">
        <f t="shared" si="1"/>
        <v>-0.25657932132097994</v>
      </c>
      <c r="F29" s="301">
        <f>((SUM(C29:C32,C34:C41)/SUM(C42:C45,C47:C54))-1)</f>
        <v>-1.6364871339886955E-2</v>
      </c>
    </row>
    <row r="30" spans="2:6" ht="12.75" hidden="1" outlineLevel="1">
      <c r="B30" s="300" t="s">
        <v>209</v>
      </c>
      <c r="C30" s="202">
        <f>GETPIVOTDATA("dato",'[1]tabla dinámica men'!$A$18,"mes",3,"año",2009)</f>
        <v>15653</v>
      </c>
      <c r="D30" s="39">
        <f t="shared" si="2"/>
        <v>3.170313735829159E-2</v>
      </c>
      <c r="E30" s="39">
        <f t="shared" si="1"/>
        <v>-5.4256540390308694E-2</v>
      </c>
      <c r="F30" s="301">
        <f>((SUM(C30:C32,C34:C42)/SUM(C43:C45,C47:C55))-1)</f>
        <v>1.8672331725393843E-2</v>
      </c>
    </row>
    <row r="31" spans="2:6" ht="12.75" hidden="1" outlineLevel="1">
      <c r="B31" s="300" t="s">
        <v>210</v>
      </c>
      <c r="C31" s="202">
        <f>GETPIVOTDATA("dato",'[1]tabla dinámica men'!$A$18,"mes",2,"año",2009)</f>
        <v>15172</v>
      </c>
      <c r="D31" s="39">
        <f t="shared" si="2"/>
        <v>0.1180545320560059</v>
      </c>
      <c r="E31" s="39">
        <f t="shared" si="1"/>
        <v>-0.21611986566778607</v>
      </c>
      <c r="F31" s="301">
        <f>((SUM(C31:C32,C34:C43)/SUM(C44:C45,C47:C56))-1)</f>
        <v>1.0248432515385764E-2</v>
      </c>
    </row>
    <row r="32" spans="2:6" ht="12.75" hidden="1" outlineLevel="1">
      <c r="B32" s="300" t="s">
        <v>211</v>
      </c>
      <c r="C32" s="202">
        <f>GETPIVOTDATA("dato",'[1]tabla dinámica men'!$A$18,"mes",1,"año",2009)</f>
        <v>13570</v>
      </c>
      <c r="D32" s="39" t="s">
        <v>32</v>
      </c>
      <c r="E32" s="39">
        <f t="shared" si="1"/>
        <v>-0.20091861971499236</v>
      </c>
      <c r="F32" s="301">
        <f>((SUM(C32,C34:C44)/SUM(C45,C47:C57))-1)</f>
        <v>5.5152036101858926E-2</v>
      </c>
    </row>
    <row r="33" spans="2:6" ht="12.75" collapsed="1">
      <c r="B33" s="305">
        <v>2009</v>
      </c>
      <c r="C33" s="204">
        <f>GETPIVOTDATA("dato",'[1]tabla dinámica men'!$A$18,"año",2009)</f>
        <v>154373</v>
      </c>
      <c r="D33" s="306"/>
      <c r="E33" s="306">
        <f t="shared" si="1"/>
        <v>-0.22743196308640867</v>
      </c>
      <c r="F33" s="306">
        <f>C33/C46-1</f>
        <v>-0.22743196308640867</v>
      </c>
    </row>
    <row r="34" spans="2:6" ht="12.75" hidden="1" outlineLevel="1">
      <c r="B34" s="300" t="s">
        <v>200</v>
      </c>
      <c r="C34" s="202">
        <f>GETPIVOTDATA("dato",'[1]tabla dinámica men'!$A$18,"mes",12,"año",2008)</f>
        <v>16132</v>
      </c>
      <c r="D34" s="39">
        <f t="shared" ref="D34:D44" si="3">IFERROR((C34-C35)/C35,"-")</f>
        <v>-9.5891946421565885E-2</v>
      </c>
      <c r="E34" s="39">
        <f t="shared" si="1"/>
        <v>-4.5104770924588644E-2</v>
      </c>
      <c r="F34" s="301">
        <f>((SUM(C34:C45)/SUM(C47:C58))-1)</f>
        <v>8.7948166498788449E-2</v>
      </c>
    </row>
    <row r="35" spans="2:6" ht="12.75" hidden="1" outlineLevel="1">
      <c r="B35" s="300" t="s">
        <v>201</v>
      </c>
      <c r="C35" s="202">
        <f>GETPIVOTDATA("dato",'[1]tabla dinámica men'!$A$18,"mes",11,"año",2008)</f>
        <v>17843</v>
      </c>
      <c r="D35" s="39">
        <f t="shared" si="3"/>
        <v>-4.6134929968993904E-2</v>
      </c>
      <c r="E35" s="39">
        <f t="shared" si="1"/>
        <v>-5.6375271034956875E-2</v>
      </c>
      <c r="F35" s="301">
        <f>((SUM(C35:C45,C47)/SUM(C48:C58,C60))-1)</f>
        <v>9.2483660130718848E-2</v>
      </c>
    </row>
    <row r="36" spans="2:6" ht="12.75" hidden="1" outlineLevel="1">
      <c r="B36" s="300" t="s">
        <v>202</v>
      </c>
      <c r="C36" s="202">
        <f>GETPIVOTDATA("dato",'[1]tabla dinámica men'!$A$18,"mes",10,"año",2008)</f>
        <v>18706</v>
      </c>
      <c r="D36" s="39">
        <f t="shared" si="3"/>
        <v>0.2360248447204969</v>
      </c>
      <c r="E36" s="39">
        <f t="shared" si="1"/>
        <v>7.8404243053153522E-2</v>
      </c>
      <c r="F36" s="301">
        <f>((SUM(C36:C45,C47:C48)/SUM(C49:C58,C60:C61))-1)</f>
        <v>0.10322905382485859</v>
      </c>
    </row>
    <row r="37" spans="2:6" ht="12.75" hidden="1" outlineLevel="1">
      <c r="B37" s="300" t="s">
        <v>203</v>
      </c>
      <c r="C37" s="202">
        <f>GETPIVOTDATA("dato",'[1]tabla dinámica men'!$A$18,"mes",9,"año",2008)</f>
        <v>15134</v>
      </c>
      <c r="D37" s="39">
        <f t="shared" si="3"/>
        <v>0.22960675983100423</v>
      </c>
      <c r="E37" s="39">
        <f t="shared" si="1"/>
        <v>7.6004265908282909E-2</v>
      </c>
      <c r="F37" s="301">
        <f>((SUM(C37:C45,C47:C49)/SUM(C50:C58,C60:C62))-1)</f>
        <v>0.10555687419616588</v>
      </c>
    </row>
    <row r="38" spans="2:6" ht="12.75" hidden="1" outlineLevel="1">
      <c r="B38" s="300" t="s">
        <v>204</v>
      </c>
      <c r="C38" s="202">
        <f>GETPIVOTDATA("dato",'[1]tabla dinámica men'!$A$18,"mes",8,"año",2008)</f>
        <v>12308</v>
      </c>
      <c r="D38" s="39">
        <f t="shared" si="3"/>
        <v>-0.24661810613943808</v>
      </c>
      <c r="E38" s="39">
        <f t="shared" si="1"/>
        <v>0.23487508778970612</v>
      </c>
      <c r="F38" s="301">
        <f>((SUM(C38:C45,C47:C50)/SUM(C51:C58,C60:C63))-1)</f>
        <v>9.7608277640343521E-2</v>
      </c>
    </row>
    <row r="39" spans="2:6" ht="12.75" hidden="1" outlineLevel="1">
      <c r="B39" s="300" t="s">
        <v>205</v>
      </c>
      <c r="C39" s="202">
        <f>GETPIVOTDATA("dato",'[1]tabla dinámica men'!$A$18,"mes",7,"año",2008)</f>
        <v>16337</v>
      </c>
      <c r="D39" s="39">
        <f t="shared" si="3"/>
        <v>5.809585492227979E-2</v>
      </c>
      <c r="E39" s="39">
        <f t="shared" si="1"/>
        <v>0.13767409470752079</v>
      </c>
      <c r="F39" s="301">
        <f>((SUM(C39:C45,C47:C51)/SUM(C52:C58,C60:C64))-1)</f>
        <v>7.7208437063989166E-2</v>
      </c>
    </row>
    <row r="40" spans="2:6" ht="12.75" hidden="1" outlineLevel="1">
      <c r="B40" s="300" t="s">
        <v>206</v>
      </c>
      <c r="C40" s="202">
        <f>GETPIVOTDATA("dato",'[1]tabla dinámica men'!$A$18,"mes",6,"año",2008)</f>
        <v>15440</v>
      </c>
      <c r="D40" s="39">
        <f t="shared" si="3"/>
        <v>-0.11452658140735218</v>
      </c>
      <c r="E40" s="39">
        <f t="shared" si="1"/>
        <v>0.17227241667299364</v>
      </c>
      <c r="F40" s="301">
        <f>((SUM(C40:C45,C47:C52)/SUM(C53:C58,C60:C65))-1)</f>
        <v>6.4074076096154897E-2</v>
      </c>
    </row>
    <row r="41" spans="2:6" ht="12.75" hidden="1" outlineLevel="1">
      <c r="B41" s="300" t="s">
        <v>207</v>
      </c>
      <c r="C41" s="202">
        <f>GETPIVOTDATA("dato",'[1]tabla dinámica men'!$A$18,"mes",5,"año",2008)</f>
        <v>17437</v>
      </c>
      <c r="D41" s="39">
        <f t="shared" si="3"/>
        <v>-8.8671630762234988E-3</v>
      </c>
      <c r="E41" s="39">
        <f t="shared" si="1"/>
        <v>0.18409615645796551</v>
      </c>
      <c r="F41" s="301">
        <f>((SUM(C41:C45,C47:C53)/SUM(C54:C58,C60:C66))-1)</f>
        <v>3.7100447401999581E-2</v>
      </c>
    </row>
    <row r="42" spans="2:6" ht="12.75" hidden="1" outlineLevel="1">
      <c r="B42" s="300" t="s">
        <v>208</v>
      </c>
      <c r="C42" s="202">
        <f>GETPIVOTDATA("dato",'[1]tabla dinámica men'!$A$18,"mes",4,"año",2008)</f>
        <v>17593</v>
      </c>
      <c r="D42" s="39">
        <f t="shared" si="3"/>
        <v>6.2956921031961821E-2</v>
      </c>
      <c r="E42" s="39">
        <f t="shared" si="1"/>
        <v>0.13561838368190027</v>
      </c>
      <c r="F42" s="301">
        <f>((SUM(C42:C45,C47:C54)/SUM(C55:C58,C60:C67))-1)</f>
        <v>2.2367089425292308E-2</v>
      </c>
    </row>
    <row r="43" spans="2:6" ht="12.75" hidden="1" outlineLevel="1">
      <c r="B43" s="300" t="s">
        <v>209</v>
      </c>
      <c r="C43" s="202">
        <f>GETPIVOTDATA("dato",'[1]tabla dinámica men'!$A$18,"mes",3,"año",2008)</f>
        <v>16551</v>
      </c>
      <c r="D43" s="39">
        <f t="shared" si="3"/>
        <v>-0.14487212606561611</v>
      </c>
      <c r="E43" s="39">
        <f t="shared" si="1"/>
        <v>-0.12916973587288227</v>
      </c>
      <c r="F43" s="301">
        <f>((SUM(C43:C45,C47:C55)/SUM(C56:C58,C60:C68))-1)</f>
        <v>2.0079187056337933E-2</v>
      </c>
    </row>
    <row r="44" spans="2:6" ht="12.75" hidden="1" outlineLevel="1">
      <c r="B44" s="300" t="s">
        <v>210</v>
      </c>
      <c r="C44" s="202">
        <f>GETPIVOTDATA("dato",'[1]tabla dinámica men'!$A$18,"mes",2,"año",2008)</f>
        <v>19355</v>
      </c>
      <c r="D44" s="39">
        <f t="shared" si="3"/>
        <v>0.13973619126133552</v>
      </c>
      <c r="E44" s="39">
        <f t="shared" si="1"/>
        <v>0.27151491262646177</v>
      </c>
      <c r="F44" s="301">
        <f>((SUM(C44:C45,C47:C56)/SUM(C57:C58,C60:C69))-1)</f>
        <v>4.2340476816548289E-2</v>
      </c>
    </row>
    <row r="45" spans="2:6" ht="12.75" hidden="1" outlineLevel="1">
      <c r="B45" s="300" t="s">
        <v>211</v>
      </c>
      <c r="C45" s="202">
        <f>GETPIVOTDATA("dato",'[1]tabla dinámica men'!$A$18,"mes",1,"año",2008)</f>
        <v>16982</v>
      </c>
      <c r="D45" s="39" t="s">
        <v>32</v>
      </c>
      <c r="E45" s="39">
        <f t="shared" si="1"/>
        <v>0.17060729303095057</v>
      </c>
      <c r="F45" s="301">
        <f>((SUM(C45,C47:C57)/SUM(C58,C60:C70))-1)</f>
        <v>1.7080660495918387E-2</v>
      </c>
    </row>
    <row r="46" spans="2:6" ht="12.75" collapsed="1">
      <c r="B46" s="307">
        <v>2008</v>
      </c>
      <c r="C46" s="308">
        <f>GETPIVOTDATA("dato",'[1]tabla dinámica men'!$A$18,"año",2008)</f>
        <v>199818</v>
      </c>
      <c r="D46" s="309"/>
      <c r="E46" s="309">
        <f t="shared" si="1"/>
        <v>8.7948166498788449E-2</v>
      </c>
      <c r="F46" s="309">
        <f>C46/C59-1</f>
        <v>8.7948166498788449E-2</v>
      </c>
    </row>
    <row r="47" spans="2:6" ht="12.75" hidden="1" outlineLevel="1">
      <c r="B47" s="300" t="s">
        <v>200</v>
      </c>
      <c r="C47" s="202">
        <f>GETPIVOTDATA("dato",'[1]tabla dinámica men'!$A$18,"mes",12,"año",2007)</f>
        <v>16894</v>
      </c>
      <c r="D47" s="39">
        <f t="shared" ref="D47:D57" si="4">IFERROR((C47-C48)/C48,"-")</f>
        <v>-0.10656301232217462</v>
      </c>
      <c r="E47" s="39">
        <f t="shared" si="1"/>
        <v>3.8623804147601692E-3</v>
      </c>
      <c r="F47" s="301">
        <f>((SUM(C47:C58)/SUM(C60:C71))-1)</f>
        <v>4.8803707330951074E-3</v>
      </c>
    </row>
    <row r="48" spans="2:6" ht="12.75" hidden="1" outlineLevel="1">
      <c r="B48" s="300" t="s">
        <v>201</v>
      </c>
      <c r="C48" s="202">
        <f>GETPIVOTDATA("dato",'[1]tabla dinámica men'!$A$18,"mes",11,"año",2007)</f>
        <v>18909</v>
      </c>
      <c r="D48" s="39">
        <f t="shared" si="4"/>
        <v>9.0107229332410929E-2</v>
      </c>
      <c r="E48" s="39">
        <f t="shared" si="1"/>
        <v>4.5447006137004475E-2</v>
      </c>
      <c r="F48" s="301" t="s">
        <v>32</v>
      </c>
    </row>
    <row r="49" spans="2:6" ht="12.75" hidden="1" outlineLevel="1">
      <c r="B49" s="300" t="s">
        <v>202</v>
      </c>
      <c r="C49" s="202">
        <f>GETPIVOTDATA("dato",'[1]tabla dinámica men'!$A$18,"mes",10,"año",2007)</f>
        <v>17346</v>
      </c>
      <c r="D49" s="39">
        <f t="shared" si="4"/>
        <v>0.23327408460718094</v>
      </c>
      <c r="E49" s="39">
        <f t="shared" si="1"/>
        <v>0.10266353060835298</v>
      </c>
      <c r="F49" s="301" t="s">
        <v>32</v>
      </c>
    </row>
    <row r="50" spans="2:6" ht="12.75" hidden="1" outlineLevel="1">
      <c r="B50" s="300" t="s">
        <v>203</v>
      </c>
      <c r="C50" s="202">
        <f>GETPIVOTDATA("dato",'[1]tabla dinámica men'!$A$18,"mes",9,"año",2007)</f>
        <v>14065</v>
      </c>
      <c r="D50" s="39">
        <f t="shared" si="4"/>
        <v>0.41115681749774258</v>
      </c>
      <c r="E50" s="39">
        <f t="shared" si="1"/>
        <v>-2.3467333194473361E-2</v>
      </c>
      <c r="F50" s="301" t="s">
        <v>32</v>
      </c>
    </row>
    <row r="51" spans="2:6" ht="12.75" hidden="1" outlineLevel="1">
      <c r="B51" s="300" t="s">
        <v>204</v>
      </c>
      <c r="C51" s="202">
        <f>GETPIVOTDATA("dato",'[1]tabla dinámica men'!$A$18,"mes",8,"año",2007)</f>
        <v>9967</v>
      </c>
      <c r="D51" s="39">
        <f t="shared" si="4"/>
        <v>-0.30591922005571032</v>
      </c>
      <c r="E51" s="39">
        <f t="shared" si="1"/>
        <v>-0.1125456326239872</v>
      </c>
      <c r="F51" s="301" t="s">
        <v>32</v>
      </c>
    </row>
    <row r="52" spans="2:6" ht="12.75" hidden="1" outlineLevel="1">
      <c r="B52" s="300" t="s">
        <v>205</v>
      </c>
      <c r="C52" s="202">
        <f>GETPIVOTDATA("dato",'[1]tabla dinámica men'!$A$18,"mes",7,"año",2007)</f>
        <v>14360</v>
      </c>
      <c r="D52" s="39">
        <f t="shared" si="4"/>
        <v>9.0274087009338699E-2</v>
      </c>
      <c r="E52" s="39">
        <f t="shared" si="1"/>
        <v>-2.6968423905678329E-2</v>
      </c>
      <c r="F52" s="301" t="s">
        <v>32</v>
      </c>
    </row>
    <row r="53" spans="2:6" ht="12.75" hidden="1" outlineLevel="1">
      <c r="B53" s="300" t="s">
        <v>206</v>
      </c>
      <c r="C53" s="202">
        <f>GETPIVOTDATA("dato",'[1]tabla dinámica men'!$A$18,"mes",6,"año",2007)</f>
        <v>13171</v>
      </c>
      <c r="D53" s="39">
        <f t="shared" si="4"/>
        <v>-0.10559554529403775</v>
      </c>
      <c r="E53" s="39">
        <f t="shared" si="1"/>
        <v>-0.1635867149298279</v>
      </c>
      <c r="F53" s="301" t="s">
        <v>32</v>
      </c>
    </row>
    <row r="54" spans="2:6" ht="12.75" hidden="1" outlineLevel="1">
      <c r="B54" s="300" t="s">
        <v>207</v>
      </c>
      <c r="C54" s="202">
        <f>GETPIVOTDATA("dato",'[1]tabla dinámica men'!$A$18,"mes",5,"año",2007)</f>
        <v>14726</v>
      </c>
      <c r="D54" s="39">
        <f t="shared" si="4"/>
        <v>-4.9444874774076941E-2</v>
      </c>
      <c r="E54" s="39">
        <f t="shared" si="1"/>
        <v>-1.6948003525184552E-3</v>
      </c>
      <c r="F54" s="301" t="s">
        <v>32</v>
      </c>
    </row>
    <row r="55" spans="2:6" ht="12.75" hidden="1" outlineLevel="1">
      <c r="B55" s="300" t="s">
        <v>208</v>
      </c>
      <c r="C55" s="202">
        <f>GETPIVOTDATA("dato",'[1]tabla dinámica men'!$A$18,"mes",4,"año",2007)</f>
        <v>15492</v>
      </c>
      <c r="D55" s="39">
        <f t="shared" si="4"/>
        <v>-0.18488898242660212</v>
      </c>
      <c r="E55" s="39">
        <f t="shared" si="1"/>
        <v>0.11863672467326158</v>
      </c>
      <c r="F55" s="301" t="s">
        <v>32</v>
      </c>
    </row>
    <row r="56" spans="2:6" ht="12.75" hidden="1" outlineLevel="1">
      <c r="B56" s="300" t="s">
        <v>209</v>
      </c>
      <c r="C56" s="202">
        <f>GETPIVOTDATA("dato",'[1]tabla dinámica men'!$A$18,"mes",3,"año",2007)</f>
        <v>19006</v>
      </c>
      <c r="D56" s="39">
        <f t="shared" si="4"/>
        <v>0.24858757062146894</v>
      </c>
      <c r="E56" s="39">
        <f t="shared" si="1"/>
        <v>9.0481381605370448E-2</v>
      </c>
      <c r="F56" s="301" t="s">
        <v>32</v>
      </c>
    </row>
    <row r="57" spans="2:6" ht="12.75" hidden="1" outlineLevel="1">
      <c r="B57" s="300" t="s">
        <v>210</v>
      </c>
      <c r="C57" s="202">
        <f>GETPIVOTDATA("dato",'[1]tabla dinámica men'!$A$18,"mes",2,"año",2007)</f>
        <v>15222</v>
      </c>
      <c r="D57" s="39">
        <f t="shared" si="4"/>
        <v>4.9286551320052385E-2</v>
      </c>
      <c r="E57" s="39">
        <f t="shared" si="1"/>
        <v>-2.9951567677797608E-2</v>
      </c>
      <c r="F57" s="301" t="s">
        <v>32</v>
      </c>
    </row>
    <row r="58" spans="2:6" ht="12.75" hidden="1" outlineLevel="1">
      <c r="B58" s="300" t="s">
        <v>211</v>
      </c>
      <c r="C58" s="202">
        <f>GETPIVOTDATA("dato",'[1]tabla dinámica men'!$A$18,"mes",1,"año",2007)</f>
        <v>14507</v>
      </c>
      <c r="D58" s="39" t="s">
        <v>32</v>
      </c>
      <c r="E58" s="39">
        <f t="shared" si="1"/>
        <v>1.6893312771624869E-2</v>
      </c>
      <c r="F58" s="301" t="s">
        <v>32</v>
      </c>
    </row>
    <row r="59" spans="2:6" ht="12.75" collapsed="1">
      <c r="B59" s="307">
        <v>2007</v>
      </c>
      <c r="C59" s="308">
        <f>GETPIVOTDATA("dato",'[1]tabla dinámica men'!$A$18,"año",2007)</f>
        <v>183665</v>
      </c>
      <c r="D59" s="309"/>
      <c r="E59" s="309">
        <f t="shared" si="1"/>
        <v>4.8803707330951074E-3</v>
      </c>
      <c r="F59" s="309">
        <f>C59/C72-1</f>
        <v>4.8803707330951074E-3</v>
      </c>
    </row>
    <row r="60" spans="2:6" ht="12.75" hidden="1" outlineLevel="1">
      <c r="B60" s="300" t="s">
        <v>200</v>
      </c>
      <c r="C60" s="202">
        <f>GETPIVOTDATA("dato",'[1]tabla dinámica men'!$A$18,"mes",12,"año",2006)</f>
        <v>16829</v>
      </c>
      <c r="D60" s="39">
        <f t="shared" ref="D60:D70" si="5">IFERROR((C60-C61)/C61,"-")</f>
        <v>-6.9552717421352356E-2</v>
      </c>
      <c r="E60" s="310" t="s">
        <v>32</v>
      </c>
      <c r="F60" s="301" t="s">
        <v>32</v>
      </c>
    </row>
    <row r="61" spans="2:6" ht="12.75" hidden="1" outlineLevel="1">
      <c r="B61" s="300" t="s">
        <v>201</v>
      </c>
      <c r="C61" s="202">
        <f>GETPIVOTDATA("dato",'[1]tabla dinámica men'!$A$18,"mes",11,"año",2006)</f>
        <v>18087</v>
      </c>
      <c r="D61" s="39">
        <f t="shared" si="5"/>
        <v>0.14976797406395015</v>
      </c>
      <c r="E61" s="310" t="s">
        <v>32</v>
      </c>
      <c r="F61" s="301" t="s">
        <v>32</v>
      </c>
    </row>
    <row r="62" spans="2:6" ht="12.75" hidden="1" outlineLevel="1">
      <c r="B62" s="300" t="s">
        <v>202</v>
      </c>
      <c r="C62" s="202">
        <f>GETPIVOTDATA("dato",'[1]tabla dinámica men'!$A$18,"mes",10,"año",2006)</f>
        <v>15731</v>
      </c>
      <c r="D62" s="39">
        <f t="shared" si="5"/>
        <v>9.2203013261126149E-2</v>
      </c>
      <c r="E62" s="310" t="s">
        <v>32</v>
      </c>
      <c r="F62" s="301" t="s">
        <v>32</v>
      </c>
    </row>
    <row r="63" spans="2:6" ht="12.75" hidden="1" outlineLevel="1">
      <c r="B63" s="300" t="s">
        <v>203</v>
      </c>
      <c r="C63" s="202">
        <f>GETPIVOTDATA("dato",'[1]tabla dinámica men'!$A$18,"mes",9,"año",2006)</f>
        <v>14403</v>
      </c>
      <c r="D63" s="39">
        <f t="shared" si="5"/>
        <v>0.28243255275576529</v>
      </c>
      <c r="E63" s="310" t="s">
        <v>32</v>
      </c>
      <c r="F63" s="301" t="s">
        <v>32</v>
      </c>
    </row>
    <row r="64" spans="2:6" ht="12.75" hidden="1" outlineLevel="1">
      <c r="B64" s="300" t="s">
        <v>204</v>
      </c>
      <c r="C64" s="202">
        <f>GETPIVOTDATA("dato",'[1]tabla dinámica men'!$A$18,"mes",8,"año",2006)</f>
        <v>11231</v>
      </c>
      <c r="D64" s="39">
        <f t="shared" si="5"/>
        <v>-0.23898902290283236</v>
      </c>
      <c r="E64" s="310" t="s">
        <v>32</v>
      </c>
      <c r="F64" s="301" t="s">
        <v>32</v>
      </c>
    </row>
    <row r="65" spans="2:6" ht="12.75" hidden="1" outlineLevel="1">
      <c r="B65" s="300" t="s">
        <v>205</v>
      </c>
      <c r="C65" s="202">
        <f>GETPIVOTDATA("dato",'[1]tabla dinámica men'!$A$18,"mes",7,"año",2006)</f>
        <v>14758</v>
      </c>
      <c r="D65" s="39">
        <f t="shared" si="5"/>
        <v>-6.2805613767701787E-2</v>
      </c>
      <c r="E65" s="310" t="s">
        <v>32</v>
      </c>
      <c r="F65" s="301" t="s">
        <v>32</v>
      </c>
    </row>
    <row r="66" spans="2:6" ht="12.75" hidden="1" outlineLevel="1">
      <c r="B66" s="300" t="s">
        <v>206</v>
      </c>
      <c r="C66" s="202">
        <f>GETPIVOTDATA("dato",'[1]tabla dinámica men'!$A$18,"mes",6,"año",2006)</f>
        <v>15747</v>
      </c>
      <c r="D66" s="39">
        <f t="shared" si="5"/>
        <v>6.7520846044335975E-2</v>
      </c>
      <c r="E66" s="310" t="s">
        <v>32</v>
      </c>
      <c r="F66" s="301" t="s">
        <v>32</v>
      </c>
    </row>
    <row r="67" spans="2:6" ht="12.75" hidden="1" outlineLevel="1">
      <c r="B67" s="300" t="s">
        <v>207</v>
      </c>
      <c r="C67" s="202">
        <f>GETPIVOTDATA("dato",'[1]tabla dinámica men'!$A$18,"mes",5,"año",2006)</f>
        <v>14751</v>
      </c>
      <c r="D67" s="39">
        <f t="shared" si="5"/>
        <v>6.5131056393963466E-2</v>
      </c>
      <c r="E67" s="310" t="s">
        <v>32</v>
      </c>
      <c r="F67" s="301" t="s">
        <v>32</v>
      </c>
    </row>
    <row r="68" spans="2:6" ht="12.75" hidden="1" outlineLevel="1">
      <c r="B68" s="300" t="s">
        <v>208</v>
      </c>
      <c r="C68" s="202">
        <f>GETPIVOTDATA("dato",'[1]tabla dinámica men'!$A$18,"mes",4,"año",2006)</f>
        <v>13849</v>
      </c>
      <c r="D68" s="39">
        <f t="shared" si="5"/>
        <v>-0.20540478512823454</v>
      </c>
      <c r="E68" s="310" t="s">
        <v>32</v>
      </c>
      <c r="F68" s="301" t="s">
        <v>32</v>
      </c>
    </row>
    <row r="69" spans="2:6" ht="12.75" hidden="1" outlineLevel="1">
      <c r="B69" s="300" t="s">
        <v>209</v>
      </c>
      <c r="C69" s="202">
        <f>GETPIVOTDATA("dato",'[1]tabla dinámica men'!$A$18,"mes",3,"año",2006)</f>
        <v>17429</v>
      </c>
      <c r="D69" s="39">
        <f t="shared" si="5"/>
        <v>0.11069334692837114</v>
      </c>
      <c r="E69" s="310" t="s">
        <v>32</v>
      </c>
      <c r="F69" s="301" t="s">
        <v>32</v>
      </c>
    </row>
    <row r="70" spans="2:6" ht="12.75" hidden="1" outlineLevel="1">
      <c r="B70" s="300" t="s">
        <v>210</v>
      </c>
      <c r="C70" s="202">
        <f>GETPIVOTDATA("dato",'[1]tabla dinámica men'!$A$18,"mes",2,"año",2006)</f>
        <v>15692</v>
      </c>
      <c r="D70" s="39">
        <f t="shared" si="5"/>
        <v>9.9957941959904664E-2</v>
      </c>
      <c r="E70" s="310" t="s">
        <v>32</v>
      </c>
      <c r="F70" s="301" t="s">
        <v>32</v>
      </c>
    </row>
    <row r="71" spans="2:6" ht="12.75" hidden="1" outlineLevel="1">
      <c r="B71" s="300" t="s">
        <v>211</v>
      </c>
      <c r="C71" s="202">
        <f>GETPIVOTDATA("dato",'[1]tabla dinámica men'!$A$18,"mes",1,"año",2006)</f>
        <v>14266</v>
      </c>
      <c r="D71" s="39" t="s">
        <v>32</v>
      </c>
      <c r="E71" s="310" t="s">
        <v>32</v>
      </c>
      <c r="F71" s="301" t="s">
        <v>32</v>
      </c>
    </row>
    <row r="72" spans="2:6" ht="12.75" collapsed="1">
      <c r="B72" s="307">
        <v>2006</v>
      </c>
      <c r="C72" s="308">
        <f>GETPIVOTDATA("dato",'[1]tabla dinámica men'!$A$18,"año",2006)</f>
        <v>182773</v>
      </c>
      <c r="D72" s="309"/>
      <c r="E72" s="311" t="s">
        <v>32</v>
      </c>
      <c r="F72" s="311" t="s">
        <v>32</v>
      </c>
    </row>
    <row r="73" spans="2:6">
      <c r="B73" s="312" t="s">
        <v>212</v>
      </c>
      <c r="C73" s="313"/>
      <c r="D73" s="313"/>
      <c r="E73" s="313"/>
      <c r="F73" s="313"/>
    </row>
  </sheetData>
  <mergeCells count="2">
    <mergeCell ref="B6:F6"/>
    <mergeCell ref="B73:F73"/>
  </mergeCells>
  <hyperlinks>
    <hyperlink ref="H7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7.100000000000001" customHeight="1" thickBot="1"/>
    <row r="30" spans="2:12" ht="30" customHeight="1" thickBot="1">
      <c r="J30" s="60" t="s">
        <v>52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35">
    <tabColor theme="4" tint="-0.499984740745262"/>
    <pageSetUpPr autoPageBreaks="0" fitToPage="1"/>
  </sheetPr>
  <dimension ref="C5:I78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2" width="11.42578125" style="2"/>
    <col min="3" max="3" width="9.140625" style="2" customWidth="1"/>
    <col min="4" max="4" width="12" style="2" bestFit="1" customWidth="1"/>
    <col min="5" max="5" width="48.42578125" style="2" customWidth="1"/>
    <col min="6" max="6" width="30.42578125" style="2" customWidth="1"/>
    <col min="7" max="258" width="11.42578125" style="2"/>
    <col min="259" max="259" width="9.140625" style="2" customWidth="1"/>
    <col min="260" max="260" width="12" style="2" bestFit="1" customWidth="1"/>
    <col min="261" max="261" width="48.42578125" style="2" customWidth="1"/>
    <col min="262" max="514" width="11.42578125" style="2"/>
    <col min="515" max="515" width="9.140625" style="2" customWidth="1"/>
    <col min="516" max="516" width="12" style="2" bestFit="1" customWidth="1"/>
    <col min="517" max="517" width="48.42578125" style="2" customWidth="1"/>
    <col min="518" max="770" width="11.42578125" style="2"/>
    <col min="771" max="771" width="9.140625" style="2" customWidth="1"/>
    <col min="772" max="772" width="12" style="2" bestFit="1" customWidth="1"/>
    <col min="773" max="773" width="48.42578125" style="2" customWidth="1"/>
    <col min="774" max="1026" width="11.42578125" style="2"/>
    <col min="1027" max="1027" width="9.140625" style="2" customWidth="1"/>
    <col min="1028" max="1028" width="12" style="2" bestFit="1" customWidth="1"/>
    <col min="1029" max="1029" width="48.42578125" style="2" customWidth="1"/>
    <col min="1030" max="1282" width="11.42578125" style="2"/>
    <col min="1283" max="1283" width="9.140625" style="2" customWidth="1"/>
    <col min="1284" max="1284" width="12" style="2" bestFit="1" customWidth="1"/>
    <col min="1285" max="1285" width="48.42578125" style="2" customWidth="1"/>
    <col min="1286" max="1538" width="11.42578125" style="2"/>
    <col min="1539" max="1539" width="9.140625" style="2" customWidth="1"/>
    <col min="1540" max="1540" width="12" style="2" bestFit="1" customWidth="1"/>
    <col min="1541" max="1541" width="48.42578125" style="2" customWidth="1"/>
    <col min="1542" max="1794" width="11.42578125" style="2"/>
    <col min="1795" max="1795" width="9.140625" style="2" customWidth="1"/>
    <col min="1796" max="1796" width="12" style="2" bestFit="1" customWidth="1"/>
    <col min="1797" max="1797" width="48.42578125" style="2" customWidth="1"/>
    <col min="1798" max="2050" width="11.42578125" style="2"/>
    <col min="2051" max="2051" width="9.140625" style="2" customWidth="1"/>
    <col min="2052" max="2052" width="12" style="2" bestFit="1" customWidth="1"/>
    <col min="2053" max="2053" width="48.42578125" style="2" customWidth="1"/>
    <col min="2054" max="2306" width="11.42578125" style="2"/>
    <col min="2307" max="2307" width="9.140625" style="2" customWidth="1"/>
    <col min="2308" max="2308" width="12" style="2" bestFit="1" customWidth="1"/>
    <col min="2309" max="2309" width="48.42578125" style="2" customWidth="1"/>
    <col min="2310" max="2562" width="11.42578125" style="2"/>
    <col min="2563" max="2563" width="9.140625" style="2" customWidth="1"/>
    <col min="2564" max="2564" width="12" style="2" bestFit="1" customWidth="1"/>
    <col min="2565" max="2565" width="48.42578125" style="2" customWidth="1"/>
    <col min="2566" max="2818" width="11.42578125" style="2"/>
    <col min="2819" max="2819" width="9.140625" style="2" customWidth="1"/>
    <col min="2820" max="2820" width="12" style="2" bestFit="1" customWidth="1"/>
    <col min="2821" max="2821" width="48.42578125" style="2" customWidth="1"/>
    <col min="2822" max="3074" width="11.42578125" style="2"/>
    <col min="3075" max="3075" width="9.140625" style="2" customWidth="1"/>
    <col min="3076" max="3076" width="12" style="2" bestFit="1" customWidth="1"/>
    <col min="3077" max="3077" width="48.42578125" style="2" customWidth="1"/>
    <col min="3078" max="3330" width="11.42578125" style="2"/>
    <col min="3331" max="3331" width="9.140625" style="2" customWidth="1"/>
    <col min="3332" max="3332" width="12" style="2" bestFit="1" customWidth="1"/>
    <col min="3333" max="3333" width="48.42578125" style="2" customWidth="1"/>
    <col min="3334" max="3586" width="11.42578125" style="2"/>
    <col min="3587" max="3587" width="9.140625" style="2" customWidth="1"/>
    <col min="3588" max="3588" width="12" style="2" bestFit="1" customWidth="1"/>
    <col min="3589" max="3589" width="48.42578125" style="2" customWidth="1"/>
    <col min="3590" max="3842" width="11.42578125" style="2"/>
    <col min="3843" max="3843" width="9.140625" style="2" customWidth="1"/>
    <col min="3844" max="3844" width="12" style="2" bestFit="1" customWidth="1"/>
    <col min="3845" max="3845" width="48.42578125" style="2" customWidth="1"/>
    <col min="3846" max="4098" width="11.42578125" style="2"/>
    <col min="4099" max="4099" width="9.140625" style="2" customWidth="1"/>
    <col min="4100" max="4100" width="12" style="2" bestFit="1" customWidth="1"/>
    <col min="4101" max="4101" width="48.42578125" style="2" customWidth="1"/>
    <col min="4102" max="4354" width="11.42578125" style="2"/>
    <col min="4355" max="4355" width="9.140625" style="2" customWidth="1"/>
    <col min="4356" max="4356" width="12" style="2" bestFit="1" customWidth="1"/>
    <col min="4357" max="4357" width="48.42578125" style="2" customWidth="1"/>
    <col min="4358" max="4610" width="11.42578125" style="2"/>
    <col min="4611" max="4611" width="9.140625" style="2" customWidth="1"/>
    <col min="4612" max="4612" width="12" style="2" bestFit="1" customWidth="1"/>
    <col min="4613" max="4613" width="48.42578125" style="2" customWidth="1"/>
    <col min="4614" max="4866" width="11.42578125" style="2"/>
    <col min="4867" max="4867" width="9.140625" style="2" customWidth="1"/>
    <col min="4868" max="4868" width="12" style="2" bestFit="1" customWidth="1"/>
    <col min="4869" max="4869" width="48.42578125" style="2" customWidth="1"/>
    <col min="4870" max="5122" width="11.42578125" style="2"/>
    <col min="5123" max="5123" width="9.140625" style="2" customWidth="1"/>
    <col min="5124" max="5124" width="12" style="2" bestFit="1" customWidth="1"/>
    <col min="5125" max="5125" width="48.42578125" style="2" customWidth="1"/>
    <col min="5126" max="5378" width="11.42578125" style="2"/>
    <col min="5379" max="5379" width="9.140625" style="2" customWidth="1"/>
    <col min="5380" max="5380" width="12" style="2" bestFit="1" customWidth="1"/>
    <col min="5381" max="5381" width="48.42578125" style="2" customWidth="1"/>
    <col min="5382" max="5634" width="11.42578125" style="2"/>
    <col min="5635" max="5635" width="9.140625" style="2" customWidth="1"/>
    <col min="5636" max="5636" width="12" style="2" bestFit="1" customWidth="1"/>
    <col min="5637" max="5637" width="48.42578125" style="2" customWidth="1"/>
    <col min="5638" max="5890" width="11.42578125" style="2"/>
    <col min="5891" max="5891" width="9.140625" style="2" customWidth="1"/>
    <col min="5892" max="5892" width="12" style="2" bestFit="1" customWidth="1"/>
    <col min="5893" max="5893" width="48.42578125" style="2" customWidth="1"/>
    <col min="5894" max="6146" width="11.42578125" style="2"/>
    <col min="6147" max="6147" width="9.140625" style="2" customWidth="1"/>
    <col min="6148" max="6148" width="12" style="2" bestFit="1" customWidth="1"/>
    <col min="6149" max="6149" width="48.42578125" style="2" customWidth="1"/>
    <col min="6150" max="6402" width="11.42578125" style="2"/>
    <col min="6403" max="6403" width="9.140625" style="2" customWidth="1"/>
    <col min="6404" max="6404" width="12" style="2" bestFit="1" customWidth="1"/>
    <col min="6405" max="6405" width="48.42578125" style="2" customWidth="1"/>
    <col min="6406" max="6658" width="11.42578125" style="2"/>
    <col min="6659" max="6659" width="9.140625" style="2" customWidth="1"/>
    <col min="6660" max="6660" width="12" style="2" bestFit="1" customWidth="1"/>
    <col min="6661" max="6661" width="48.42578125" style="2" customWidth="1"/>
    <col min="6662" max="6914" width="11.42578125" style="2"/>
    <col min="6915" max="6915" width="9.140625" style="2" customWidth="1"/>
    <col min="6916" max="6916" width="12" style="2" bestFit="1" customWidth="1"/>
    <col min="6917" max="6917" width="48.42578125" style="2" customWidth="1"/>
    <col min="6918" max="7170" width="11.42578125" style="2"/>
    <col min="7171" max="7171" width="9.140625" style="2" customWidth="1"/>
    <col min="7172" max="7172" width="12" style="2" bestFit="1" customWidth="1"/>
    <col min="7173" max="7173" width="48.42578125" style="2" customWidth="1"/>
    <col min="7174" max="7426" width="11.42578125" style="2"/>
    <col min="7427" max="7427" width="9.140625" style="2" customWidth="1"/>
    <col min="7428" max="7428" width="12" style="2" bestFit="1" customWidth="1"/>
    <col min="7429" max="7429" width="48.42578125" style="2" customWidth="1"/>
    <col min="7430" max="7682" width="11.42578125" style="2"/>
    <col min="7683" max="7683" width="9.140625" style="2" customWidth="1"/>
    <col min="7684" max="7684" width="12" style="2" bestFit="1" customWidth="1"/>
    <col min="7685" max="7685" width="48.42578125" style="2" customWidth="1"/>
    <col min="7686" max="7938" width="11.42578125" style="2"/>
    <col min="7939" max="7939" width="9.140625" style="2" customWidth="1"/>
    <col min="7940" max="7940" width="12" style="2" bestFit="1" customWidth="1"/>
    <col min="7941" max="7941" width="48.42578125" style="2" customWidth="1"/>
    <col min="7942" max="8194" width="11.42578125" style="2"/>
    <col min="8195" max="8195" width="9.140625" style="2" customWidth="1"/>
    <col min="8196" max="8196" width="12" style="2" bestFit="1" customWidth="1"/>
    <col min="8197" max="8197" width="48.42578125" style="2" customWidth="1"/>
    <col min="8198" max="8450" width="11.42578125" style="2"/>
    <col min="8451" max="8451" width="9.140625" style="2" customWidth="1"/>
    <col min="8452" max="8452" width="12" style="2" bestFit="1" customWidth="1"/>
    <col min="8453" max="8453" width="48.42578125" style="2" customWidth="1"/>
    <col min="8454" max="8706" width="11.42578125" style="2"/>
    <col min="8707" max="8707" width="9.140625" style="2" customWidth="1"/>
    <col min="8708" max="8708" width="12" style="2" bestFit="1" customWidth="1"/>
    <col min="8709" max="8709" width="48.42578125" style="2" customWidth="1"/>
    <col min="8710" max="8962" width="11.42578125" style="2"/>
    <col min="8963" max="8963" width="9.140625" style="2" customWidth="1"/>
    <col min="8964" max="8964" width="12" style="2" bestFit="1" customWidth="1"/>
    <col min="8965" max="8965" width="48.42578125" style="2" customWidth="1"/>
    <col min="8966" max="9218" width="11.42578125" style="2"/>
    <col min="9219" max="9219" width="9.140625" style="2" customWidth="1"/>
    <col min="9220" max="9220" width="12" style="2" bestFit="1" customWidth="1"/>
    <col min="9221" max="9221" width="48.42578125" style="2" customWidth="1"/>
    <col min="9222" max="9474" width="11.42578125" style="2"/>
    <col min="9475" max="9475" width="9.140625" style="2" customWidth="1"/>
    <col min="9476" max="9476" width="12" style="2" bestFit="1" customWidth="1"/>
    <col min="9477" max="9477" width="48.42578125" style="2" customWidth="1"/>
    <col min="9478" max="9730" width="11.42578125" style="2"/>
    <col min="9731" max="9731" width="9.140625" style="2" customWidth="1"/>
    <col min="9732" max="9732" width="12" style="2" bestFit="1" customWidth="1"/>
    <col min="9733" max="9733" width="48.42578125" style="2" customWidth="1"/>
    <col min="9734" max="9986" width="11.42578125" style="2"/>
    <col min="9987" max="9987" width="9.140625" style="2" customWidth="1"/>
    <col min="9988" max="9988" width="12" style="2" bestFit="1" customWidth="1"/>
    <col min="9989" max="9989" width="48.42578125" style="2" customWidth="1"/>
    <col min="9990" max="10242" width="11.42578125" style="2"/>
    <col min="10243" max="10243" width="9.140625" style="2" customWidth="1"/>
    <col min="10244" max="10244" width="12" style="2" bestFit="1" customWidth="1"/>
    <col min="10245" max="10245" width="48.42578125" style="2" customWidth="1"/>
    <col min="10246" max="10498" width="11.42578125" style="2"/>
    <col min="10499" max="10499" width="9.140625" style="2" customWidth="1"/>
    <col min="10500" max="10500" width="12" style="2" bestFit="1" customWidth="1"/>
    <col min="10501" max="10501" width="48.42578125" style="2" customWidth="1"/>
    <col min="10502" max="10754" width="11.42578125" style="2"/>
    <col min="10755" max="10755" width="9.140625" style="2" customWidth="1"/>
    <col min="10756" max="10756" width="12" style="2" bestFit="1" customWidth="1"/>
    <col min="10757" max="10757" width="48.42578125" style="2" customWidth="1"/>
    <col min="10758" max="11010" width="11.42578125" style="2"/>
    <col min="11011" max="11011" width="9.140625" style="2" customWidth="1"/>
    <col min="11012" max="11012" width="12" style="2" bestFit="1" customWidth="1"/>
    <col min="11013" max="11013" width="48.42578125" style="2" customWidth="1"/>
    <col min="11014" max="11266" width="11.42578125" style="2"/>
    <col min="11267" max="11267" width="9.140625" style="2" customWidth="1"/>
    <col min="11268" max="11268" width="12" style="2" bestFit="1" customWidth="1"/>
    <col min="11269" max="11269" width="48.42578125" style="2" customWidth="1"/>
    <col min="11270" max="11522" width="11.42578125" style="2"/>
    <col min="11523" max="11523" width="9.140625" style="2" customWidth="1"/>
    <col min="11524" max="11524" width="12" style="2" bestFit="1" customWidth="1"/>
    <col min="11525" max="11525" width="48.42578125" style="2" customWidth="1"/>
    <col min="11526" max="11778" width="11.42578125" style="2"/>
    <col min="11779" max="11779" width="9.140625" style="2" customWidth="1"/>
    <col min="11780" max="11780" width="12" style="2" bestFit="1" customWidth="1"/>
    <col min="11781" max="11781" width="48.42578125" style="2" customWidth="1"/>
    <col min="11782" max="12034" width="11.42578125" style="2"/>
    <col min="12035" max="12035" width="9.140625" style="2" customWidth="1"/>
    <col min="12036" max="12036" width="12" style="2" bestFit="1" customWidth="1"/>
    <col min="12037" max="12037" width="48.42578125" style="2" customWidth="1"/>
    <col min="12038" max="12290" width="11.42578125" style="2"/>
    <col min="12291" max="12291" width="9.140625" style="2" customWidth="1"/>
    <col min="12292" max="12292" width="12" style="2" bestFit="1" customWidth="1"/>
    <col min="12293" max="12293" width="48.42578125" style="2" customWidth="1"/>
    <col min="12294" max="12546" width="11.42578125" style="2"/>
    <col min="12547" max="12547" width="9.140625" style="2" customWidth="1"/>
    <col min="12548" max="12548" width="12" style="2" bestFit="1" customWidth="1"/>
    <col min="12549" max="12549" width="48.42578125" style="2" customWidth="1"/>
    <col min="12550" max="12802" width="11.42578125" style="2"/>
    <col min="12803" max="12803" width="9.140625" style="2" customWidth="1"/>
    <col min="12804" max="12804" width="12" style="2" bestFit="1" customWidth="1"/>
    <col min="12805" max="12805" width="48.42578125" style="2" customWidth="1"/>
    <col min="12806" max="13058" width="11.42578125" style="2"/>
    <col min="13059" max="13059" width="9.140625" style="2" customWidth="1"/>
    <col min="13060" max="13060" width="12" style="2" bestFit="1" customWidth="1"/>
    <col min="13061" max="13061" width="48.42578125" style="2" customWidth="1"/>
    <col min="13062" max="13314" width="11.42578125" style="2"/>
    <col min="13315" max="13315" width="9.140625" style="2" customWidth="1"/>
    <col min="13316" max="13316" width="12" style="2" bestFit="1" customWidth="1"/>
    <col min="13317" max="13317" width="48.42578125" style="2" customWidth="1"/>
    <col min="13318" max="13570" width="11.42578125" style="2"/>
    <col min="13571" max="13571" width="9.140625" style="2" customWidth="1"/>
    <col min="13572" max="13572" width="12" style="2" bestFit="1" customWidth="1"/>
    <col min="13573" max="13573" width="48.42578125" style="2" customWidth="1"/>
    <col min="13574" max="13826" width="11.42578125" style="2"/>
    <col min="13827" max="13827" width="9.140625" style="2" customWidth="1"/>
    <col min="13828" max="13828" width="12" style="2" bestFit="1" customWidth="1"/>
    <col min="13829" max="13829" width="48.42578125" style="2" customWidth="1"/>
    <col min="13830" max="14082" width="11.42578125" style="2"/>
    <col min="14083" max="14083" width="9.140625" style="2" customWidth="1"/>
    <col min="14084" max="14084" width="12" style="2" bestFit="1" customWidth="1"/>
    <col min="14085" max="14085" width="48.42578125" style="2" customWidth="1"/>
    <col min="14086" max="14338" width="11.42578125" style="2"/>
    <col min="14339" max="14339" width="9.140625" style="2" customWidth="1"/>
    <col min="14340" max="14340" width="12" style="2" bestFit="1" customWidth="1"/>
    <col min="14341" max="14341" width="48.42578125" style="2" customWidth="1"/>
    <col min="14342" max="14594" width="11.42578125" style="2"/>
    <col min="14595" max="14595" width="9.140625" style="2" customWidth="1"/>
    <col min="14596" max="14596" width="12" style="2" bestFit="1" customWidth="1"/>
    <col min="14597" max="14597" width="48.42578125" style="2" customWidth="1"/>
    <col min="14598" max="14850" width="11.42578125" style="2"/>
    <col min="14851" max="14851" width="9.140625" style="2" customWidth="1"/>
    <col min="14852" max="14852" width="12" style="2" bestFit="1" customWidth="1"/>
    <col min="14853" max="14853" width="48.42578125" style="2" customWidth="1"/>
    <col min="14854" max="15106" width="11.42578125" style="2"/>
    <col min="15107" max="15107" width="9.140625" style="2" customWidth="1"/>
    <col min="15108" max="15108" width="12" style="2" bestFit="1" customWidth="1"/>
    <col min="15109" max="15109" width="48.42578125" style="2" customWidth="1"/>
    <col min="15110" max="15362" width="11.42578125" style="2"/>
    <col min="15363" max="15363" width="9.140625" style="2" customWidth="1"/>
    <col min="15364" max="15364" width="12" style="2" bestFit="1" customWidth="1"/>
    <col min="15365" max="15365" width="48.42578125" style="2" customWidth="1"/>
    <col min="15366" max="15618" width="11.42578125" style="2"/>
    <col min="15619" max="15619" width="9.140625" style="2" customWidth="1"/>
    <col min="15620" max="15620" width="12" style="2" bestFit="1" customWidth="1"/>
    <col min="15621" max="15621" width="48.42578125" style="2" customWidth="1"/>
    <col min="15622" max="15874" width="11.42578125" style="2"/>
    <col min="15875" max="15875" width="9.140625" style="2" customWidth="1"/>
    <col min="15876" max="15876" width="12" style="2" bestFit="1" customWidth="1"/>
    <col min="15877" max="15877" width="48.42578125" style="2" customWidth="1"/>
    <col min="15878" max="16130" width="11.42578125" style="2"/>
    <col min="16131" max="16131" width="9.140625" style="2" customWidth="1"/>
    <col min="16132" max="16132" width="12" style="2" bestFit="1" customWidth="1"/>
    <col min="16133" max="16133" width="48.42578125" style="2" customWidth="1"/>
    <col min="16134" max="16384" width="11.42578125" style="2"/>
  </cols>
  <sheetData>
    <row r="5" spans="3:6" ht="30" customHeight="1">
      <c r="C5" s="314" t="s">
        <v>213</v>
      </c>
      <c r="D5" s="315"/>
      <c r="E5" s="315"/>
      <c r="F5" s="315"/>
    </row>
    <row r="6" spans="3:6" ht="20.25" customHeight="1">
      <c r="C6" s="15"/>
      <c r="D6" s="1"/>
      <c r="E6" s="1"/>
      <c r="F6" s="1"/>
    </row>
    <row r="7" spans="3:6" ht="24.95" customHeight="1">
      <c r="C7" s="15"/>
      <c r="D7" s="24" t="s">
        <v>19</v>
      </c>
      <c r="E7" s="25"/>
      <c r="F7" s="25"/>
    </row>
    <row r="8" spans="3:6" ht="20.100000000000001" customHeight="1">
      <c r="C8" s="15"/>
      <c r="D8" s="1"/>
      <c r="E8" s="1"/>
      <c r="F8" s="1"/>
    </row>
    <row r="9" spans="3:6" ht="20.100000000000001" customHeight="1">
      <c r="C9" s="1"/>
      <c r="D9" s="16" t="s">
        <v>10</v>
      </c>
      <c r="E9" s="6"/>
      <c r="F9" s="6"/>
    </row>
    <row r="10" spans="3:6" ht="22.5" customHeight="1">
      <c r="C10" s="1"/>
      <c r="D10" s="1"/>
      <c r="E10" s="17"/>
      <c r="F10" s="1"/>
    </row>
    <row r="11" spans="3:6" ht="22.5" customHeight="1">
      <c r="C11" s="1"/>
      <c r="D11" s="1"/>
      <c r="E11" s="18" t="s">
        <v>214</v>
      </c>
      <c r="F11" s="1"/>
    </row>
    <row r="12" spans="3:6" ht="22.5" customHeight="1">
      <c r="C12" s="1"/>
      <c r="D12" s="1"/>
      <c r="E12" s="18" t="s">
        <v>215</v>
      </c>
      <c r="F12" s="1"/>
    </row>
    <row r="13" spans="3:6" ht="22.5" customHeight="1">
      <c r="C13" s="1"/>
      <c r="D13" s="1"/>
      <c r="E13" s="18" t="s">
        <v>216</v>
      </c>
      <c r="F13" s="1"/>
    </row>
    <row r="14" spans="3:6" ht="22.5" customHeight="1">
      <c r="C14" s="1"/>
      <c r="D14" s="1"/>
      <c r="E14" s="18" t="s">
        <v>217</v>
      </c>
      <c r="F14" s="1"/>
    </row>
    <row r="15" spans="3:6" ht="22.5" customHeight="1">
      <c r="C15" s="1"/>
      <c r="D15" s="1"/>
      <c r="E15" s="18" t="s">
        <v>218</v>
      </c>
      <c r="F15" s="1"/>
    </row>
    <row r="16" spans="3:6" ht="22.5" customHeight="1">
      <c r="C16" s="1"/>
      <c r="D16" s="1"/>
      <c r="E16" s="17"/>
      <c r="F16" s="1"/>
    </row>
    <row r="17" spans="3:9" ht="22.5" customHeight="1">
      <c r="C17" s="15"/>
      <c r="D17" s="24" t="str">
        <f>actualizaciones!A2</f>
        <v xml:space="preserve">acumulado julio 2010 </v>
      </c>
      <c r="E17" s="25"/>
      <c r="F17" s="25"/>
    </row>
    <row r="18" spans="3:9" ht="22.5" customHeight="1">
      <c r="C18" s="15"/>
      <c r="D18" s="1"/>
      <c r="E18" s="1"/>
      <c r="F18" s="1"/>
    </row>
    <row r="19" spans="3:9" ht="22.5" customHeight="1">
      <c r="C19" s="1"/>
      <c r="D19" s="16" t="s">
        <v>10</v>
      </c>
      <c r="E19" s="6"/>
      <c r="F19" s="6"/>
    </row>
    <row r="20" spans="3:9" ht="22.5" customHeight="1">
      <c r="C20" s="1"/>
      <c r="D20" s="1"/>
      <c r="E20" s="17"/>
      <c r="F20" s="1"/>
    </row>
    <row r="21" spans="3:9" ht="22.5" customHeight="1">
      <c r="C21" s="1"/>
      <c r="D21" s="1"/>
      <c r="E21" s="18" t="s">
        <v>11</v>
      </c>
      <c r="F21" s="1"/>
    </row>
    <row r="22" spans="3:9" ht="22.5" customHeight="1">
      <c r="C22" s="1"/>
      <c r="D22" s="1"/>
      <c r="E22" s="18" t="s">
        <v>219</v>
      </c>
      <c r="F22" s="1"/>
    </row>
    <row r="23" spans="3:9" ht="22.5" customHeight="1">
      <c r="C23" s="1"/>
      <c r="D23" s="1"/>
      <c r="E23" s="18" t="s">
        <v>220</v>
      </c>
      <c r="F23" s="1"/>
    </row>
    <row r="24" spans="3:9" ht="22.5" customHeight="1">
      <c r="C24" s="1"/>
      <c r="D24" s="1"/>
      <c r="E24" s="18" t="s">
        <v>13</v>
      </c>
      <c r="F24" s="1"/>
    </row>
    <row r="25" spans="3:9" ht="22.5" customHeight="1">
      <c r="C25" s="1"/>
      <c r="D25" s="1"/>
      <c r="E25" s="17"/>
      <c r="F25" s="1"/>
    </row>
    <row r="26" spans="3:9" ht="22.5" customHeight="1">
      <c r="C26" s="1"/>
      <c r="D26" s="16" t="s">
        <v>17</v>
      </c>
      <c r="E26" s="6"/>
      <c r="F26" s="6"/>
    </row>
    <row r="27" spans="3:9" ht="22.5" customHeight="1">
      <c r="C27" s="1"/>
      <c r="D27" s="1"/>
      <c r="E27" s="17"/>
      <c r="F27" s="1"/>
    </row>
    <row r="28" spans="3:9" ht="22.5" customHeight="1">
      <c r="C28" s="1"/>
      <c r="D28" s="1"/>
      <c r="E28" s="18" t="s">
        <v>221</v>
      </c>
      <c r="F28" s="1"/>
      <c r="G28" s="12"/>
      <c r="H28" s="12"/>
      <c r="I28" s="12"/>
    </row>
    <row r="29" spans="3:9" ht="22.5" customHeight="1">
      <c r="C29" s="1"/>
      <c r="D29" s="1"/>
      <c r="E29" s="18" t="s">
        <v>222</v>
      </c>
      <c r="F29" s="1"/>
    </row>
    <row r="30" spans="3:9" ht="22.5" customHeight="1">
      <c r="C30" s="1"/>
      <c r="D30" s="1"/>
      <c r="E30" s="18" t="s">
        <v>24</v>
      </c>
      <c r="F30" s="1"/>
    </row>
    <row r="31" spans="3:9" ht="22.5" customHeight="1">
      <c r="C31" s="1"/>
      <c r="D31" s="1"/>
      <c r="E31" s="316"/>
      <c r="F31" s="1"/>
    </row>
    <row r="32" spans="3:9" ht="15" customHeight="1">
      <c r="C32" s="21"/>
    </row>
    <row r="33" spans="3:6" ht="15" customHeight="1">
      <c r="C33" s="11" t="s">
        <v>8</v>
      </c>
      <c r="D33" s="11"/>
      <c r="E33" s="11"/>
      <c r="F33" s="11"/>
    </row>
    <row r="34" spans="3:6" ht="15" customHeight="1"/>
    <row r="35" spans="3:6" ht="15" customHeight="1"/>
    <row r="36" spans="3:6" ht="15" customHeight="1">
      <c r="D36" s="22"/>
      <c r="E36" s="23"/>
    </row>
    <row r="37" spans="3:6" ht="15" customHeight="1"/>
    <row r="38" spans="3:6" ht="15" customHeight="1">
      <c r="C38" s="21"/>
    </row>
    <row r="39" spans="3:6" ht="15" customHeight="1">
      <c r="C39" s="12"/>
      <c r="D39" s="12"/>
      <c r="E39" s="12"/>
      <c r="F39" s="12"/>
    </row>
    <row r="40" spans="3:6" ht="15" customHeight="1"/>
    <row r="41" spans="3:6" ht="15" customHeight="1"/>
    <row r="42" spans="3:6" ht="15" customHeight="1"/>
    <row r="43" spans="3:6" ht="15" customHeight="1">
      <c r="C43" s="21"/>
    </row>
    <row r="44" spans="3:6" ht="15" customHeight="1"/>
    <row r="45" spans="3:6" ht="15" customHeight="1"/>
    <row r="46" spans="3:6" ht="15" customHeight="1"/>
    <row r="47" spans="3:6" ht="15" customHeight="1"/>
    <row r="48" spans="3: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</sheetData>
  <mergeCells count="1">
    <mergeCell ref="C33:F33"/>
  </mergeCells>
  <hyperlinks>
    <hyperlink ref="E14" location="'tablas pernocta cat ev anual'!A1" tooltip="Tipología y categoría de establecimiento" display="Tipología y categoría de los establecimientos"/>
    <hyperlink ref="E21" location="'Pernoctaciones tipología'!A1" tooltip="Tipología de establecimiento" display="Tipología de establecimiento"/>
    <hyperlink ref="E22" location="'Pernoctaciones zonas y tipologí'!A1" tooltip="Zonas y tipología de establecimiento" display="Zonas y tipología de establecimiento"/>
    <hyperlink ref="E24" location="'Pernoctaciones  tipolog y categ'!A1" tooltip="Tipología y categoría de establecimiento" display="Tipología y categoría de establecimiento"/>
    <hyperlink ref="E28" location="'Gráfica pernoct zonas tipología'!A1" tooltip="Gráfica zona y tipología" display="Zonas y tipología alojativa"/>
    <hyperlink ref="E29" location="'Gráfica pernoct tipolog'!A1" tooltip="Gráfica tipología alojativa" display="Tipología alojativa"/>
    <hyperlink ref="E23" location="'Pernoctacion zona por tipología'!A1" tooltip="Tipología y categoría de establecimiento" display="Tipología y zona de establecimiento"/>
    <hyperlink ref="E11" location="'Pernoctacion mensual'!A1" tooltip="Evolución mensual" display="Evolución mensual"/>
    <hyperlink ref="E30" location="'Gráfica pernoctaciones mensual'!A1" tooltip="Gráfica evolución mensual pernoctaciones" display="Evolución mensual"/>
    <hyperlink ref="E13" location="'evoución PERNOCTA zona'!A1" tooltip="Variación interanual por zona turística y tipología de establecimiento" display="Variación interanual por zona turística y tipología de establecimiento"/>
    <hyperlink ref="E15" location="'evolución pernocta cat ev anual'!A1" tooltip="Variación interanual por  tipología y categoría de establecimiento" display="Variación interanual por  tipología y categoría de establecimiento"/>
    <hyperlink ref="E12" location="'Tablas PERNOCTA zona'!A1" tooltip="Evolución anual por zona turística y tipología de establecimiento" display="Evolución anual por zona turística y tipología de establecimiento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9:L28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2" width="11.42578125" style="23"/>
    <col min="3" max="3" width="36.7109375" style="23" customWidth="1"/>
    <col min="4" max="4" width="12.7109375" style="23" customWidth="1"/>
    <col min="5" max="5" width="10.7109375" style="23" customWidth="1"/>
    <col min="6" max="6" width="12.7109375" style="23" customWidth="1"/>
    <col min="7" max="8" width="10.7109375" style="23" customWidth="1"/>
    <col min="9" max="15" width="11.42578125" style="23"/>
    <col min="16" max="16" width="13.28515625" style="23" customWidth="1"/>
    <col min="17" max="258" width="11.42578125" style="23"/>
    <col min="259" max="259" width="36.7109375" style="23" customWidth="1"/>
    <col min="260" max="260" width="12.7109375" style="23" customWidth="1"/>
    <col min="261" max="261" width="10.7109375" style="23" customWidth="1"/>
    <col min="262" max="262" width="12.7109375" style="23" customWidth="1"/>
    <col min="263" max="264" width="10.7109375" style="23" customWidth="1"/>
    <col min="265" max="271" width="11.42578125" style="23"/>
    <col min="272" max="272" width="13.28515625" style="23" customWidth="1"/>
    <col min="273" max="514" width="11.42578125" style="23"/>
    <col min="515" max="515" width="36.7109375" style="23" customWidth="1"/>
    <col min="516" max="516" width="12.7109375" style="23" customWidth="1"/>
    <col min="517" max="517" width="10.7109375" style="23" customWidth="1"/>
    <col min="518" max="518" width="12.7109375" style="23" customWidth="1"/>
    <col min="519" max="520" width="10.7109375" style="23" customWidth="1"/>
    <col min="521" max="527" width="11.42578125" style="23"/>
    <col min="528" max="528" width="13.28515625" style="23" customWidth="1"/>
    <col min="529" max="770" width="11.42578125" style="23"/>
    <col min="771" max="771" width="36.7109375" style="23" customWidth="1"/>
    <col min="772" max="772" width="12.7109375" style="23" customWidth="1"/>
    <col min="773" max="773" width="10.7109375" style="23" customWidth="1"/>
    <col min="774" max="774" width="12.7109375" style="23" customWidth="1"/>
    <col min="775" max="776" width="10.7109375" style="23" customWidth="1"/>
    <col min="777" max="783" width="11.42578125" style="23"/>
    <col min="784" max="784" width="13.28515625" style="23" customWidth="1"/>
    <col min="785" max="1026" width="11.42578125" style="23"/>
    <col min="1027" max="1027" width="36.7109375" style="23" customWidth="1"/>
    <col min="1028" max="1028" width="12.7109375" style="23" customWidth="1"/>
    <col min="1029" max="1029" width="10.7109375" style="23" customWidth="1"/>
    <col min="1030" max="1030" width="12.7109375" style="23" customWidth="1"/>
    <col min="1031" max="1032" width="10.7109375" style="23" customWidth="1"/>
    <col min="1033" max="1039" width="11.42578125" style="23"/>
    <col min="1040" max="1040" width="13.28515625" style="23" customWidth="1"/>
    <col min="1041" max="1282" width="11.42578125" style="23"/>
    <col min="1283" max="1283" width="36.7109375" style="23" customWidth="1"/>
    <col min="1284" max="1284" width="12.7109375" style="23" customWidth="1"/>
    <col min="1285" max="1285" width="10.7109375" style="23" customWidth="1"/>
    <col min="1286" max="1286" width="12.7109375" style="23" customWidth="1"/>
    <col min="1287" max="1288" width="10.7109375" style="23" customWidth="1"/>
    <col min="1289" max="1295" width="11.42578125" style="23"/>
    <col min="1296" max="1296" width="13.28515625" style="23" customWidth="1"/>
    <col min="1297" max="1538" width="11.42578125" style="23"/>
    <col min="1539" max="1539" width="36.7109375" style="23" customWidth="1"/>
    <col min="1540" max="1540" width="12.7109375" style="23" customWidth="1"/>
    <col min="1541" max="1541" width="10.7109375" style="23" customWidth="1"/>
    <col min="1542" max="1542" width="12.7109375" style="23" customWidth="1"/>
    <col min="1543" max="1544" width="10.7109375" style="23" customWidth="1"/>
    <col min="1545" max="1551" width="11.42578125" style="23"/>
    <col min="1552" max="1552" width="13.28515625" style="23" customWidth="1"/>
    <col min="1553" max="1794" width="11.42578125" style="23"/>
    <col min="1795" max="1795" width="36.7109375" style="23" customWidth="1"/>
    <col min="1796" max="1796" width="12.7109375" style="23" customWidth="1"/>
    <col min="1797" max="1797" width="10.7109375" style="23" customWidth="1"/>
    <col min="1798" max="1798" width="12.7109375" style="23" customWidth="1"/>
    <col min="1799" max="1800" width="10.7109375" style="23" customWidth="1"/>
    <col min="1801" max="1807" width="11.42578125" style="23"/>
    <col min="1808" max="1808" width="13.28515625" style="23" customWidth="1"/>
    <col min="1809" max="2050" width="11.42578125" style="23"/>
    <col min="2051" max="2051" width="36.7109375" style="23" customWidth="1"/>
    <col min="2052" max="2052" width="12.7109375" style="23" customWidth="1"/>
    <col min="2053" max="2053" width="10.7109375" style="23" customWidth="1"/>
    <col min="2054" max="2054" width="12.7109375" style="23" customWidth="1"/>
    <col min="2055" max="2056" width="10.7109375" style="23" customWidth="1"/>
    <col min="2057" max="2063" width="11.42578125" style="23"/>
    <col min="2064" max="2064" width="13.28515625" style="23" customWidth="1"/>
    <col min="2065" max="2306" width="11.42578125" style="23"/>
    <col min="2307" max="2307" width="36.7109375" style="23" customWidth="1"/>
    <col min="2308" max="2308" width="12.7109375" style="23" customWidth="1"/>
    <col min="2309" max="2309" width="10.7109375" style="23" customWidth="1"/>
    <col min="2310" max="2310" width="12.7109375" style="23" customWidth="1"/>
    <col min="2311" max="2312" width="10.7109375" style="23" customWidth="1"/>
    <col min="2313" max="2319" width="11.42578125" style="23"/>
    <col min="2320" max="2320" width="13.28515625" style="23" customWidth="1"/>
    <col min="2321" max="2562" width="11.42578125" style="23"/>
    <col min="2563" max="2563" width="36.7109375" style="23" customWidth="1"/>
    <col min="2564" max="2564" width="12.7109375" style="23" customWidth="1"/>
    <col min="2565" max="2565" width="10.7109375" style="23" customWidth="1"/>
    <col min="2566" max="2566" width="12.7109375" style="23" customWidth="1"/>
    <col min="2567" max="2568" width="10.7109375" style="23" customWidth="1"/>
    <col min="2569" max="2575" width="11.42578125" style="23"/>
    <col min="2576" max="2576" width="13.28515625" style="23" customWidth="1"/>
    <col min="2577" max="2818" width="11.42578125" style="23"/>
    <col min="2819" max="2819" width="36.7109375" style="23" customWidth="1"/>
    <col min="2820" max="2820" width="12.7109375" style="23" customWidth="1"/>
    <col min="2821" max="2821" width="10.7109375" style="23" customWidth="1"/>
    <col min="2822" max="2822" width="12.7109375" style="23" customWidth="1"/>
    <col min="2823" max="2824" width="10.7109375" style="23" customWidth="1"/>
    <col min="2825" max="2831" width="11.42578125" style="23"/>
    <col min="2832" max="2832" width="13.28515625" style="23" customWidth="1"/>
    <col min="2833" max="3074" width="11.42578125" style="23"/>
    <col min="3075" max="3075" width="36.7109375" style="23" customWidth="1"/>
    <col min="3076" max="3076" width="12.7109375" style="23" customWidth="1"/>
    <col min="3077" max="3077" width="10.7109375" style="23" customWidth="1"/>
    <col min="3078" max="3078" width="12.7109375" style="23" customWidth="1"/>
    <col min="3079" max="3080" width="10.7109375" style="23" customWidth="1"/>
    <col min="3081" max="3087" width="11.42578125" style="23"/>
    <col min="3088" max="3088" width="13.28515625" style="23" customWidth="1"/>
    <col min="3089" max="3330" width="11.42578125" style="23"/>
    <col min="3331" max="3331" width="36.7109375" style="23" customWidth="1"/>
    <col min="3332" max="3332" width="12.7109375" style="23" customWidth="1"/>
    <col min="3333" max="3333" width="10.7109375" style="23" customWidth="1"/>
    <col min="3334" max="3334" width="12.7109375" style="23" customWidth="1"/>
    <col min="3335" max="3336" width="10.7109375" style="23" customWidth="1"/>
    <col min="3337" max="3343" width="11.42578125" style="23"/>
    <col min="3344" max="3344" width="13.28515625" style="23" customWidth="1"/>
    <col min="3345" max="3586" width="11.42578125" style="23"/>
    <col min="3587" max="3587" width="36.7109375" style="23" customWidth="1"/>
    <col min="3588" max="3588" width="12.7109375" style="23" customWidth="1"/>
    <col min="3589" max="3589" width="10.7109375" style="23" customWidth="1"/>
    <col min="3590" max="3590" width="12.7109375" style="23" customWidth="1"/>
    <col min="3591" max="3592" width="10.7109375" style="23" customWidth="1"/>
    <col min="3593" max="3599" width="11.42578125" style="23"/>
    <col min="3600" max="3600" width="13.28515625" style="23" customWidth="1"/>
    <col min="3601" max="3842" width="11.42578125" style="23"/>
    <col min="3843" max="3843" width="36.7109375" style="23" customWidth="1"/>
    <col min="3844" max="3844" width="12.7109375" style="23" customWidth="1"/>
    <col min="3845" max="3845" width="10.7109375" style="23" customWidth="1"/>
    <col min="3846" max="3846" width="12.7109375" style="23" customWidth="1"/>
    <col min="3847" max="3848" width="10.7109375" style="23" customWidth="1"/>
    <col min="3849" max="3855" width="11.42578125" style="23"/>
    <col min="3856" max="3856" width="13.28515625" style="23" customWidth="1"/>
    <col min="3857" max="4098" width="11.42578125" style="23"/>
    <col min="4099" max="4099" width="36.7109375" style="23" customWidth="1"/>
    <col min="4100" max="4100" width="12.7109375" style="23" customWidth="1"/>
    <col min="4101" max="4101" width="10.7109375" style="23" customWidth="1"/>
    <col min="4102" max="4102" width="12.7109375" style="23" customWidth="1"/>
    <col min="4103" max="4104" width="10.7109375" style="23" customWidth="1"/>
    <col min="4105" max="4111" width="11.42578125" style="23"/>
    <col min="4112" max="4112" width="13.28515625" style="23" customWidth="1"/>
    <col min="4113" max="4354" width="11.42578125" style="23"/>
    <col min="4355" max="4355" width="36.7109375" style="23" customWidth="1"/>
    <col min="4356" max="4356" width="12.7109375" style="23" customWidth="1"/>
    <col min="4357" max="4357" width="10.7109375" style="23" customWidth="1"/>
    <col min="4358" max="4358" width="12.7109375" style="23" customWidth="1"/>
    <col min="4359" max="4360" width="10.7109375" style="23" customWidth="1"/>
    <col min="4361" max="4367" width="11.42578125" style="23"/>
    <col min="4368" max="4368" width="13.28515625" style="23" customWidth="1"/>
    <col min="4369" max="4610" width="11.42578125" style="23"/>
    <col min="4611" max="4611" width="36.7109375" style="23" customWidth="1"/>
    <col min="4612" max="4612" width="12.7109375" style="23" customWidth="1"/>
    <col min="4613" max="4613" width="10.7109375" style="23" customWidth="1"/>
    <col min="4614" max="4614" width="12.7109375" style="23" customWidth="1"/>
    <col min="4615" max="4616" width="10.7109375" style="23" customWidth="1"/>
    <col min="4617" max="4623" width="11.42578125" style="23"/>
    <col min="4624" max="4624" width="13.28515625" style="23" customWidth="1"/>
    <col min="4625" max="4866" width="11.42578125" style="23"/>
    <col min="4867" max="4867" width="36.7109375" style="23" customWidth="1"/>
    <col min="4868" max="4868" width="12.7109375" style="23" customWidth="1"/>
    <col min="4869" max="4869" width="10.7109375" style="23" customWidth="1"/>
    <col min="4870" max="4870" width="12.7109375" style="23" customWidth="1"/>
    <col min="4871" max="4872" width="10.7109375" style="23" customWidth="1"/>
    <col min="4873" max="4879" width="11.42578125" style="23"/>
    <col min="4880" max="4880" width="13.28515625" style="23" customWidth="1"/>
    <col min="4881" max="5122" width="11.42578125" style="23"/>
    <col min="5123" max="5123" width="36.7109375" style="23" customWidth="1"/>
    <col min="5124" max="5124" width="12.7109375" style="23" customWidth="1"/>
    <col min="5125" max="5125" width="10.7109375" style="23" customWidth="1"/>
    <col min="5126" max="5126" width="12.7109375" style="23" customWidth="1"/>
    <col min="5127" max="5128" width="10.7109375" style="23" customWidth="1"/>
    <col min="5129" max="5135" width="11.42578125" style="23"/>
    <col min="5136" max="5136" width="13.28515625" style="23" customWidth="1"/>
    <col min="5137" max="5378" width="11.42578125" style="23"/>
    <col min="5379" max="5379" width="36.7109375" style="23" customWidth="1"/>
    <col min="5380" max="5380" width="12.7109375" style="23" customWidth="1"/>
    <col min="5381" max="5381" width="10.7109375" style="23" customWidth="1"/>
    <col min="5382" max="5382" width="12.7109375" style="23" customWidth="1"/>
    <col min="5383" max="5384" width="10.7109375" style="23" customWidth="1"/>
    <col min="5385" max="5391" width="11.42578125" style="23"/>
    <col min="5392" max="5392" width="13.28515625" style="23" customWidth="1"/>
    <col min="5393" max="5634" width="11.42578125" style="23"/>
    <col min="5635" max="5635" width="36.7109375" style="23" customWidth="1"/>
    <col min="5636" max="5636" width="12.7109375" style="23" customWidth="1"/>
    <col min="5637" max="5637" width="10.7109375" style="23" customWidth="1"/>
    <col min="5638" max="5638" width="12.7109375" style="23" customWidth="1"/>
    <col min="5639" max="5640" width="10.7109375" style="23" customWidth="1"/>
    <col min="5641" max="5647" width="11.42578125" style="23"/>
    <col min="5648" max="5648" width="13.28515625" style="23" customWidth="1"/>
    <col min="5649" max="5890" width="11.42578125" style="23"/>
    <col min="5891" max="5891" width="36.7109375" style="23" customWidth="1"/>
    <col min="5892" max="5892" width="12.7109375" style="23" customWidth="1"/>
    <col min="5893" max="5893" width="10.7109375" style="23" customWidth="1"/>
    <col min="5894" max="5894" width="12.7109375" style="23" customWidth="1"/>
    <col min="5895" max="5896" width="10.7109375" style="23" customWidth="1"/>
    <col min="5897" max="5903" width="11.42578125" style="23"/>
    <col min="5904" max="5904" width="13.28515625" style="23" customWidth="1"/>
    <col min="5905" max="6146" width="11.42578125" style="23"/>
    <col min="6147" max="6147" width="36.7109375" style="23" customWidth="1"/>
    <col min="6148" max="6148" width="12.7109375" style="23" customWidth="1"/>
    <col min="6149" max="6149" width="10.7109375" style="23" customWidth="1"/>
    <col min="6150" max="6150" width="12.7109375" style="23" customWidth="1"/>
    <col min="6151" max="6152" width="10.7109375" style="23" customWidth="1"/>
    <col min="6153" max="6159" width="11.42578125" style="23"/>
    <col min="6160" max="6160" width="13.28515625" style="23" customWidth="1"/>
    <col min="6161" max="6402" width="11.42578125" style="23"/>
    <col min="6403" max="6403" width="36.7109375" style="23" customWidth="1"/>
    <col min="6404" max="6404" width="12.7109375" style="23" customWidth="1"/>
    <col min="6405" max="6405" width="10.7109375" style="23" customWidth="1"/>
    <col min="6406" max="6406" width="12.7109375" style="23" customWidth="1"/>
    <col min="6407" max="6408" width="10.7109375" style="23" customWidth="1"/>
    <col min="6409" max="6415" width="11.42578125" style="23"/>
    <col min="6416" max="6416" width="13.28515625" style="23" customWidth="1"/>
    <col min="6417" max="6658" width="11.42578125" style="23"/>
    <col min="6659" max="6659" width="36.7109375" style="23" customWidth="1"/>
    <col min="6660" max="6660" width="12.7109375" style="23" customWidth="1"/>
    <col min="6661" max="6661" width="10.7109375" style="23" customWidth="1"/>
    <col min="6662" max="6662" width="12.7109375" style="23" customWidth="1"/>
    <col min="6663" max="6664" width="10.7109375" style="23" customWidth="1"/>
    <col min="6665" max="6671" width="11.42578125" style="23"/>
    <col min="6672" max="6672" width="13.28515625" style="23" customWidth="1"/>
    <col min="6673" max="6914" width="11.42578125" style="23"/>
    <col min="6915" max="6915" width="36.7109375" style="23" customWidth="1"/>
    <col min="6916" max="6916" width="12.7109375" style="23" customWidth="1"/>
    <col min="6917" max="6917" width="10.7109375" style="23" customWidth="1"/>
    <col min="6918" max="6918" width="12.7109375" style="23" customWidth="1"/>
    <col min="6919" max="6920" width="10.7109375" style="23" customWidth="1"/>
    <col min="6921" max="6927" width="11.42578125" style="23"/>
    <col min="6928" max="6928" width="13.28515625" style="23" customWidth="1"/>
    <col min="6929" max="7170" width="11.42578125" style="23"/>
    <col min="7171" max="7171" width="36.7109375" style="23" customWidth="1"/>
    <col min="7172" max="7172" width="12.7109375" style="23" customWidth="1"/>
    <col min="7173" max="7173" width="10.7109375" style="23" customWidth="1"/>
    <col min="7174" max="7174" width="12.7109375" style="23" customWidth="1"/>
    <col min="7175" max="7176" width="10.7109375" style="23" customWidth="1"/>
    <col min="7177" max="7183" width="11.42578125" style="23"/>
    <col min="7184" max="7184" width="13.28515625" style="23" customWidth="1"/>
    <col min="7185" max="7426" width="11.42578125" style="23"/>
    <col min="7427" max="7427" width="36.7109375" style="23" customWidth="1"/>
    <col min="7428" max="7428" width="12.7109375" style="23" customWidth="1"/>
    <col min="7429" max="7429" width="10.7109375" style="23" customWidth="1"/>
    <col min="7430" max="7430" width="12.7109375" style="23" customWidth="1"/>
    <col min="7431" max="7432" width="10.7109375" style="23" customWidth="1"/>
    <col min="7433" max="7439" width="11.42578125" style="23"/>
    <col min="7440" max="7440" width="13.28515625" style="23" customWidth="1"/>
    <col min="7441" max="7682" width="11.42578125" style="23"/>
    <col min="7683" max="7683" width="36.7109375" style="23" customWidth="1"/>
    <col min="7684" max="7684" width="12.7109375" style="23" customWidth="1"/>
    <col min="7685" max="7685" width="10.7109375" style="23" customWidth="1"/>
    <col min="7686" max="7686" width="12.7109375" style="23" customWidth="1"/>
    <col min="7687" max="7688" width="10.7109375" style="23" customWidth="1"/>
    <col min="7689" max="7695" width="11.42578125" style="23"/>
    <col min="7696" max="7696" width="13.28515625" style="23" customWidth="1"/>
    <col min="7697" max="7938" width="11.42578125" style="23"/>
    <col min="7939" max="7939" width="36.7109375" style="23" customWidth="1"/>
    <col min="7940" max="7940" width="12.7109375" style="23" customWidth="1"/>
    <col min="7941" max="7941" width="10.7109375" style="23" customWidth="1"/>
    <col min="7942" max="7942" width="12.7109375" style="23" customWidth="1"/>
    <col min="7943" max="7944" width="10.7109375" style="23" customWidth="1"/>
    <col min="7945" max="7951" width="11.42578125" style="23"/>
    <col min="7952" max="7952" width="13.28515625" style="23" customWidth="1"/>
    <col min="7953" max="8194" width="11.42578125" style="23"/>
    <col min="8195" max="8195" width="36.7109375" style="23" customWidth="1"/>
    <col min="8196" max="8196" width="12.7109375" style="23" customWidth="1"/>
    <col min="8197" max="8197" width="10.7109375" style="23" customWidth="1"/>
    <col min="8198" max="8198" width="12.7109375" style="23" customWidth="1"/>
    <col min="8199" max="8200" width="10.7109375" style="23" customWidth="1"/>
    <col min="8201" max="8207" width="11.42578125" style="23"/>
    <col min="8208" max="8208" width="13.28515625" style="23" customWidth="1"/>
    <col min="8209" max="8450" width="11.42578125" style="23"/>
    <col min="8451" max="8451" width="36.7109375" style="23" customWidth="1"/>
    <col min="8452" max="8452" width="12.7109375" style="23" customWidth="1"/>
    <col min="8453" max="8453" width="10.7109375" style="23" customWidth="1"/>
    <col min="8454" max="8454" width="12.7109375" style="23" customWidth="1"/>
    <col min="8455" max="8456" width="10.7109375" style="23" customWidth="1"/>
    <col min="8457" max="8463" width="11.42578125" style="23"/>
    <col min="8464" max="8464" width="13.28515625" style="23" customWidth="1"/>
    <col min="8465" max="8706" width="11.42578125" style="23"/>
    <col min="8707" max="8707" width="36.7109375" style="23" customWidth="1"/>
    <col min="8708" max="8708" width="12.7109375" style="23" customWidth="1"/>
    <col min="8709" max="8709" width="10.7109375" style="23" customWidth="1"/>
    <col min="8710" max="8710" width="12.7109375" style="23" customWidth="1"/>
    <col min="8711" max="8712" width="10.7109375" style="23" customWidth="1"/>
    <col min="8713" max="8719" width="11.42578125" style="23"/>
    <col min="8720" max="8720" width="13.28515625" style="23" customWidth="1"/>
    <col min="8721" max="8962" width="11.42578125" style="23"/>
    <col min="8963" max="8963" width="36.7109375" style="23" customWidth="1"/>
    <col min="8964" max="8964" width="12.7109375" style="23" customWidth="1"/>
    <col min="8965" max="8965" width="10.7109375" style="23" customWidth="1"/>
    <col min="8966" max="8966" width="12.7109375" style="23" customWidth="1"/>
    <col min="8967" max="8968" width="10.7109375" style="23" customWidth="1"/>
    <col min="8969" max="8975" width="11.42578125" style="23"/>
    <col min="8976" max="8976" width="13.28515625" style="23" customWidth="1"/>
    <col min="8977" max="9218" width="11.42578125" style="23"/>
    <col min="9219" max="9219" width="36.7109375" style="23" customWidth="1"/>
    <col min="9220" max="9220" width="12.7109375" style="23" customWidth="1"/>
    <col min="9221" max="9221" width="10.7109375" style="23" customWidth="1"/>
    <col min="9222" max="9222" width="12.7109375" style="23" customWidth="1"/>
    <col min="9223" max="9224" width="10.7109375" style="23" customWidth="1"/>
    <col min="9225" max="9231" width="11.42578125" style="23"/>
    <col min="9232" max="9232" width="13.28515625" style="23" customWidth="1"/>
    <col min="9233" max="9474" width="11.42578125" style="23"/>
    <col min="9475" max="9475" width="36.7109375" style="23" customWidth="1"/>
    <col min="9476" max="9476" width="12.7109375" style="23" customWidth="1"/>
    <col min="9477" max="9477" width="10.7109375" style="23" customWidth="1"/>
    <col min="9478" max="9478" width="12.7109375" style="23" customWidth="1"/>
    <col min="9479" max="9480" width="10.7109375" style="23" customWidth="1"/>
    <col min="9481" max="9487" width="11.42578125" style="23"/>
    <col min="9488" max="9488" width="13.28515625" style="23" customWidth="1"/>
    <col min="9489" max="9730" width="11.42578125" style="23"/>
    <col min="9731" max="9731" width="36.7109375" style="23" customWidth="1"/>
    <col min="9732" max="9732" width="12.7109375" style="23" customWidth="1"/>
    <col min="9733" max="9733" width="10.7109375" style="23" customWidth="1"/>
    <col min="9734" max="9734" width="12.7109375" style="23" customWidth="1"/>
    <col min="9735" max="9736" width="10.7109375" style="23" customWidth="1"/>
    <col min="9737" max="9743" width="11.42578125" style="23"/>
    <col min="9744" max="9744" width="13.28515625" style="23" customWidth="1"/>
    <col min="9745" max="9986" width="11.42578125" style="23"/>
    <col min="9987" max="9987" width="36.7109375" style="23" customWidth="1"/>
    <col min="9988" max="9988" width="12.7109375" style="23" customWidth="1"/>
    <col min="9989" max="9989" width="10.7109375" style="23" customWidth="1"/>
    <col min="9990" max="9990" width="12.7109375" style="23" customWidth="1"/>
    <col min="9991" max="9992" width="10.7109375" style="23" customWidth="1"/>
    <col min="9993" max="9999" width="11.42578125" style="23"/>
    <col min="10000" max="10000" width="13.28515625" style="23" customWidth="1"/>
    <col min="10001" max="10242" width="11.42578125" style="23"/>
    <col min="10243" max="10243" width="36.7109375" style="23" customWidth="1"/>
    <col min="10244" max="10244" width="12.7109375" style="23" customWidth="1"/>
    <col min="10245" max="10245" width="10.7109375" style="23" customWidth="1"/>
    <col min="10246" max="10246" width="12.7109375" style="23" customWidth="1"/>
    <col min="10247" max="10248" width="10.7109375" style="23" customWidth="1"/>
    <col min="10249" max="10255" width="11.42578125" style="23"/>
    <col min="10256" max="10256" width="13.28515625" style="23" customWidth="1"/>
    <col min="10257" max="10498" width="11.42578125" style="23"/>
    <col min="10499" max="10499" width="36.7109375" style="23" customWidth="1"/>
    <col min="10500" max="10500" width="12.7109375" style="23" customWidth="1"/>
    <col min="10501" max="10501" width="10.7109375" style="23" customWidth="1"/>
    <col min="10502" max="10502" width="12.7109375" style="23" customWidth="1"/>
    <col min="10503" max="10504" width="10.7109375" style="23" customWidth="1"/>
    <col min="10505" max="10511" width="11.42578125" style="23"/>
    <col min="10512" max="10512" width="13.28515625" style="23" customWidth="1"/>
    <col min="10513" max="10754" width="11.42578125" style="23"/>
    <col min="10755" max="10755" width="36.7109375" style="23" customWidth="1"/>
    <col min="10756" max="10756" width="12.7109375" style="23" customWidth="1"/>
    <col min="10757" max="10757" width="10.7109375" style="23" customWidth="1"/>
    <col min="10758" max="10758" width="12.7109375" style="23" customWidth="1"/>
    <col min="10759" max="10760" width="10.7109375" style="23" customWidth="1"/>
    <col min="10761" max="10767" width="11.42578125" style="23"/>
    <col min="10768" max="10768" width="13.28515625" style="23" customWidth="1"/>
    <col min="10769" max="11010" width="11.42578125" style="23"/>
    <col min="11011" max="11011" width="36.7109375" style="23" customWidth="1"/>
    <col min="11012" max="11012" width="12.7109375" style="23" customWidth="1"/>
    <col min="11013" max="11013" width="10.7109375" style="23" customWidth="1"/>
    <col min="11014" max="11014" width="12.7109375" style="23" customWidth="1"/>
    <col min="11015" max="11016" width="10.7109375" style="23" customWidth="1"/>
    <col min="11017" max="11023" width="11.42578125" style="23"/>
    <col min="11024" max="11024" width="13.28515625" style="23" customWidth="1"/>
    <col min="11025" max="11266" width="11.42578125" style="23"/>
    <col min="11267" max="11267" width="36.7109375" style="23" customWidth="1"/>
    <col min="11268" max="11268" width="12.7109375" style="23" customWidth="1"/>
    <col min="11269" max="11269" width="10.7109375" style="23" customWidth="1"/>
    <col min="11270" max="11270" width="12.7109375" style="23" customWidth="1"/>
    <col min="11271" max="11272" width="10.7109375" style="23" customWidth="1"/>
    <col min="11273" max="11279" width="11.42578125" style="23"/>
    <col min="11280" max="11280" width="13.28515625" style="23" customWidth="1"/>
    <col min="11281" max="11522" width="11.42578125" style="23"/>
    <col min="11523" max="11523" width="36.7109375" style="23" customWidth="1"/>
    <col min="11524" max="11524" width="12.7109375" style="23" customWidth="1"/>
    <col min="11525" max="11525" width="10.7109375" style="23" customWidth="1"/>
    <col min="11526" max="11526" width="12.7109375" style="23" customWidth="1"/>
    <col min="11527" max="11528" width="10.7109375" style="23" customWidth="1"/>
    <col min="11529" max="11535" width="11.42578125" style="23"/>
    <col min="11536" max="11536" width="13.28515625" style="23" customWidth="1"/>
    <col min="11537" max="11778" width="11.42578125" style="23"/>
    <col min="11779" max="11779" width="36.7109375" style="23" customWidth="1"/>
    <col min="11780" max="11780" width="12.7109375" style="23" customWidth="1"/>
    <col min="11781" max="11781" width="10.7109375" style="23" customWidth="1"/>
    <col min="11782" max="11782" width="12.7109375" style="23" customWidth="1"/>
    <col min="11783" max="11784" width="10.7109375" style="23" customWidth="1"/>
    <col min="11785" max="11791" width="11.42578125" style="23"/>
    <col min="11792" max="11792" width="13.28515625" style="23" customWidth="1"/>
    <col min="11793" max="12034" width="11.42578125" style="23"/>
    <col min="12035" max="12035" width="36.7109375" style="23" customWidth="1"/>
    <col min="12036" max="12036" width="12.7109375" style="23" customWidth="1"/>
    <col min="12037" max="12037" width="10.7109375" style="23" customWidth="1"/>
    <col min="12038" max="12038" width="12.7109375" style="23" customWidth="1"/>
    <col min="12039" max="12040" width="10.7109375" style="23" customWidth="1"/>
    <col min="12041" max="12047" width="11.42578125" style="23"/>
    <col min="12048" max="12048" width="13.28515625" style="23" customWidth="1"/>
    <col min="12049" max="12290" width="11.42578125" style="23"/>
    <col min="12291" max="12291" width="36.7109375" style="23" customWidth="1"/>
    <col min="12292" max="12292" width="12.7109375" style="23" customWidth="1"/>
    <col min="12293" max="12293" width="10.7109375" style="23" customWidth="1"/>
    <col min="12294" max="12294" width="12.7109375" style="23" customWidth="1"/>
    <col min="12295" max="12296" width="10.7109375" style="23" customWidth="1"/>
    <col min="12297" max="12303" width="11.42578125" style="23"/>
    <col min="12304" max="12304" width="13.28515625" style="23" customWidth="1"/>
    <col min="12305" max="12546" width="11.42578125" style="23"/>
    <col min="12547" max="12547" width="36.7109375" style="23" customWidth="1"/>
    <col min="12548" max="12548" width="12.7109375" style="23" customWidth="1"/>
    <col min="12549" max="12549" width="10.7109375" style="23" customWidth="1"/>
    <col min="12550" max="12550" width="12.7109375" style="23" customWidth="1"/>
    <col min="12551" max="12552" width="10.7109375" style="23" customWidth="1"/>
    <col min="12553" max="12559" width="11.42578125" style="23"/>
    <col min="12560" max="12560" width="13.28515625" style="23" customWidth="1"/>
    <col min="12561" max="12802" width="11.42578125" style="23"/>
    <col min="12803" max="12803" width="36.7109375" style="23" customWidth="1"/>
    <col min="12804" max="12804" width="12.7109375" style="23" customWidth="1"/>
    <col min="12805" max="12805" width="10.7109375" style="23" customWidth="1"/>
    <col min="12806" max="12806" width="12.7109375" style="23" customWidth="1"/>
    <col min="12807" max="12808" width="10.7109375" style="23" customWidth="1"/>
    <col min="12809" max="12815" width="11.42578125" style="23"/>
    <col min="12816" max="12816" width="13.28515625" style="23" customWidth="1"/>
    <col min="12817" max="13058" width="11.42578125" style="23"/>
    <col min="13059" max="13059" width="36.7109375" style="23" customWidth="1"/>
    <col min="13060" max="13060" width="12.7109375" style="23" customWidth="1"/>
    <col min="13061" max="13061" width="10.7109375" style="23" customWidth="1"/>
    <col min="13062" max="13062" width="12.7109375" style="23" customWidth="1"/>
    <col min="13063" max="13064" width="10.7109375" style="23" customWidth="1"/>
    <col min="13065" max="13071" width="11.42578125" style="23"/>
    <col min="13072" max="13072" width="13.28515625" style="23" customWidth="1"/>
    <col min="13073" max="13314" width="11.42578125" style="23"/>
    <col min="13315" max="13315" width="36.7109375" style="23" customWidth="1"/>
    <col min="13316" max="13316" width="12.7109375" style="23" customWidth="1"/>
    <col min="13317" max="13317" width="10.7109375" style="23" customWidth="1"/>
    <col min="13318" max="13318" width="12.7109375" style="23" customWidth="1"/>
    <col min="13319" max="13320" width="10.7109375" style="23" customWidth="1"/>
    <col min="13321" max="13327" width="11.42578125" style="23"/>
    <col min="13328" max="13328" width="13.28515625" style="23" customWidth="1"/>
    <col min="13329" max="13570" width="11.42578125" style="23"/>
    <col min="13571" max="13571" width="36.7109375" style="23" customWidth="1"/>
    <col min="13572" max="13572" width="12.7109375" style="23" customWidth="1"/>
    <col min="13573" max="13573" width="10.7109375" style="23" customWidth="1"/>
    <col min="13574" max="13574" width="12.7109375" style="23" customWidth="1"/>
    <col min="13575" max="13576" width="10.7109375" style="23" customWidth="1"/>
    <col min="13577" max="13583" width="11.42578125" style="23"/>
    <col min="13584" max="13584" width="13.28515625" style="23" customWidth="1"/>
    <col min="13585" max="13826" width="11.42578125" style="23"/>
    <col min="13827" max="13827" width="36.7109375" style="23" customWidth="1"/>
    <col min="13828" max="13828" width="12.7109375" style="23" customWidth="1"/>
    <col min="13829" max="13829" width="10.7109375" style="23" customWidth="1"/>
    <col min="13830" max="13830" width="12.7109375" style="23" customWidth="1"/>
    <col min="13831" max="13832" width="10.7109375" style="23" customWidth="1"/>
    <col min="13833" max="13839" width="11.42578125" style="23"/>
    <col min="13840" max="13840" width="13.28515625" style="23" customWidth="1"/>
    <col min="13841" max="14082" width="11.42578125" style="23"/>
    <col min="14083" max="14083" width="36.7109375" style="23" customWidth="1"/>
    <col min="14084" max="14084" width="12.7109375" style="23" customWidth="1"/>
    <col min="14085" max="14085" width="10.7109375" style="23" customWidth="1"/>
    <col min="14086" max="14086" width="12.7109375" style="23" customWidth="1"/>
    <col min="14087" max="14088" width="10.7109375" style="23" customWidth="1"/>
    <col min="14089" max="14095" width="11.42578125" style="23"/>
    <col min="14096" max="14096" width="13.28515625" style="23" customWidth="1"/>
    <col min="14097" max="14338" width="11.42578125" style="23"/>
    <col min="14339" max="14339" width="36.7109375" style="23" customWidth="1"/>
    <col min="14340" max="14340" width="12.7109375" style="23" customWidth="1"/>
    <col min="14341" max="14341" width="10.7109375" style="23" customWidth="1"/>
    <col min="14342" max="14342" width="12.7109375" style="23" customWidth="1"/>
    <col min="14343" max="14344" width="10.7109375" style="23" customWidth="1"/>
    <col min="14345" max="14351" width="11.42578125" style="23"/>
    <col min="14352" max="14352" width="13.28515625" style="23" customWidth="1"/>
    <col min="14353" max="14594" width="11.42578125" style="23"/>
    <col min="14595" max="14595" width="36.7109375" style="23" customWidth="1"/>
    <col min="14596" max="14596" width="12.7109375" style="23" customWidth="1"/>
    <col min="14597" max="14597" width="10.7109375" style="23" customWidth="1"/>
    <col min="14598" max="14598" width="12.7109375" style="23" customWidth="1"/>
    <col min="14599" max="14600" width="10.7109375" style="23" customWidth="1"/>
    <col min="14601" max="14607" width="11.42578125" style="23"/>
    <col min="14608" max="14608" width="13.28515625" style="23" customWidth="1"/>
    <col min="14609" max="14850" width="11.42578125" style="23"/>
    <col min="14851" max="14851" width="36.7109375" style="23" customWidth="1"/>
    <col min="14852" max="14852" width="12.7109375" style="23" customWidth="1"/>
    <col min="14853" max="14853" width="10.7109375" style="23" customWidth="1"/>
    <col min="14854" max="14854" width="12.7109375" style="23" customWidth="1"/>
    <col min="14855" max="14856" width="10.7109375" style="23" customWidth="1"/>
    <col min="14857" max="14863" width="11.42578125" style="23"/>
    <col min="14864" max="14864" width="13.28515625" style="23" customWidth="1"/>
    <col min="14865" max="15106" width="11.42578125" style="23"/>
    <col min="15107" max="15107" width="36.7109375" style="23" customWidth="1"/>
    <col min="15108" max="15108" width="12.7109375" style="23" customWidth="1"/>
    <col min="15109" max="15109" width="10.7109375" style="23" customWidth="1"/>
    <col min="15110" max="15110" width="12.7109375" style="23" customWidth="1"/>
    <col min="15111" max="15112" width="10.7109375" style="23" customWidth="1"/>
    <col min="15113" max="15119" width="11.42578125" style="23"/>
    <col min="15120" max="15120" width="13.28515625" style="23" customWidth="1"/>
    <col min="15121" max="15362" width="11.42578125" style="23"/>
    <col min="15363" max="15363" width="36.7109375" style="23" customWidth="1"/>
    <col min="15364" max="15364" width="12.7109375" style="23" customWidth="1"/>
    <col min="15365" max="15365" width="10.7109375" style="23" customWidth="1"/>
    <col min="15366" max="15366" width="12.7109375" style="23" customWidth="1"/>
    <col min="15367" max="15368" width="10.7109375" style="23" customWidth="1"/>
    <col min="15369" max="15375" width="11.42578125" style="23"/>
    <col min="15376" max="15376" width="13.28515625" style="23" customWidth="1"/>
    <col min="15377" max="15618" width="11.42578125" style="23"/>
    <col min="15619" max="15619" width="36.7109375" style="23" customWidth="1"/>
    <col min="15620" max="15620" width="12.7109375" style="23" customWidth="1"/>
    <col min="15621" max="15621" width="10.7109375" style="23" customWidth="1"/>
    <col min="15622" max="15622" width="12.7109375" style="23" customWidth="1"/>
    <col min="15623" max="15624" width="10.7109375" style="23" customWidth="1"/>
    <col min="15625" max="15631" width="11.42578125" style="23"/>
    <col min="15632" max="15632" width="13.28515625" style="23" customWidth="1"/>
    <col min="15633" max="15874" width="11.42578125" style="23"/>
    <col min="15875" max="15875" width="36.7109375" style="23" customWidth="1"/>
    <col min="15876" max="15876" width="12.7109375" style="23" customWidth="1"/>
    <col min="15877" max="15877" width="10.7109375" style="23" customWidth="1"/>
    <col min="15878" max="15878" width="12.7109375" style="23" customWidth="1"/>
    <col min="15879" max="15880" width="10.7109375" style="23" customWidth="1"/>
    <col min="15881" max="15887" width="11.42578125" style="23"/>
    <col min="15888" max="15888" width="13.28515625" style="23" customWidth="1"/>
    <col min="15889" max="16130" width="11.42578125" style="23"/>
    <col min="16131" max="16131" width="36.7109375" style="23" customWidth="1"/>
    <col min="16132" max="16132" width="12.7109375" style="23" customWidth="1"/>
    <col min="16133" max="16133" width="10.7109375" style="23" customWidth="1"/>
    <col min="16134" max="16134" width="12.7109375" style="23" customWidth="1"/>
    <col min="16135" max="16136" width="10.7109375" style="23" customWidth="1"/>
    <col min="16137" max="16143" width="11.42578125" style="23"/>
    <col min="16144" max="16144" width="13.28515625" style="23" customWidth="1"/>
    <col min="16145" max="16384" width="11.42578125" style="23"/>
  </cols>
  <sheetData>
    <row r="9" spans="3:8" ht="26.25">
      <c r="C9" s="26"/>
    </row>
    <row r="10" spans="3:8" ht="22.5" customHeight="1">
      <c r="C10" s="27" t="s">
        <v>25</v>
      </c>
      <c r="D10" s="28"/>
      <c r="E10" s="28"/>
      <c r="F10" s="28"/>
      <c r="G10" s="28"/>
      <c r="H10" s="29"/>
    </row>
    <row r="11" spans="3:8" ht="36" customHeight="1">
      <c r="C11" s="30" t="s">
        <v>26</v>
      </c>
      <c r="D11" s="31" t="str">
        <f>actualizaciones!A3</f>
        <v>acumulado julio 2009</v>
      </c>
      <c r="E11" s="32" t="s">
        <v>27</v>
      </c>
      <c r="F11" s="31" t="str">
        <f>actualizaciones!A2</f>
        <v xml:space="preserve">acumulado julio 2010 </v>
      </c>
      <c r="G11" s="32" t="s">
        <v>27</v>
      </c>
      <c r="H11" s="32" t="s">
        <v>28</v>
      </c>
    </row>
    <row r="12" spans="3:8">
      <c r="C12" s="33" t="s">
        <v>29</v>
      </c>
      <c r="D12" s="34">
        <f>GETPIVOTDATA("dato",'[1]Evolución mensual tipología'!$B$27,"categoría","TOTAL","año",2009)</f>
        <v>95588</v>
      </c>
      <c r="E12" s="35">
        <f>D12/D12</f>
        <v>1</v>
      </c>
      <c r="F12" s="34">
        <f>GETPIVOTDATA("dato",'[1]Evolución mensual tipología'!$B$27,"categoría","TOTAL","año",2010)</f>
        <v>92816</v>
      </c>
      <c r="G12" s="35">
        <f>F12/F12</f>
        <v>1</v>
      </c>
      <c r="H12" s="36">
        <f>(F12-D12)/D12</f>
        <v>-2.8999455998660918E-2</v>
      </c>
    </row>
    <row r="13" spans="3:8">
      <c r="C13" s="37" t="s">
        <v>30</v>
      </c>
      <c r="D13" s="38">
        <f>GETPIVOTDATA("dato",'[1]Evolución mensual tipología'!$B$27,"categoría","Hoteleros","año",2009)</f>
        <v>95588</v>
      </c>
      <c r="E13" s="39">
        <f>D13/D12</f>
        <v>1</v>
      </c>
      <c r="F13" s="38">
        <f>GETPIVOTDATA("dato",'[1]Evolución mensual tipología'!$B$27,"categoría","Hoteleros","año",2010)</f>
        <v>92816</v>
      </c>
      <c r="G13" s="39">
        <f>F13/F12</f>
        <v>1</v>
      </c>
      <c r="H13" s="40">
        <f>(F13-D13)/D13</f>
        <v>-2.8999455998660918E-2</v>
      </c>
    </row>
    <row r="14" spans="3:8">
      <c r="C14" s="37" t="s">
        <v>31</v>
      </c>
      <c r="D14" s="38" t="s">
        <v>32</v>
      </c>
      <c r="E14" s="41" t="s">
        <v>32</v>
      </c>
      <c r="F14" s="38" t="s">
        <v>32</v>
      </c>
      <c r="G14" s="41" t="s">
        <v>32</v>
      </c>
      <c r="H14" s="40" t="s">
        <v>32</v>
      </c>
    </row>
    <row r="15" spans="3:8" ht="12.75" customHeight="1">
      <c r="C15" s="42" t="s">
        <v>33</v>
      </c>
      <c r="D15" s="43"/>
      <c r="E15" s="43"/>
      <c r="F15" s="43"/>
      <c r="G15" s="43"/>
      <c r="H15" s="44"/>
    </row>
    <row r="17" spans="2:12">
      <c r="C17" s="45"/>
      <c r="D17" s="45"/>
      <c r="E17" s="45"/>
      <c r="F17" s="45"/>
      <c r="G17" s="45"/>
    </row>
    <row r="28" spans="2:12"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</row>
  </sheetData>
  <mergeCells count="1">
    <mergeCell ref="C10:H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8" min="8" max="51" man="1"/>
  </colBreaks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C2:I71"/>
  <sheetViews>
    <sheetView showGridLines="0" showRowColHeaders="0" zoomScaleNormal="100" workbookViewId="0">
      <selection activeCell="I13" sqref="I13"/>
    </sheetView>
  </sheetViews>
  <sheetFormatPr baseColWidth="10" defaultRowHeight="15" outlineLevelRow="1"/>
  <cols>
    <col min="1" max="1" width="14.7109375" style="120" customWidth="1"/>
    <col min="2" max="2" width="11.42578125" style="120"/>
    <col min="3" max="4" width="11.7109375" style="120" bestFit="1" customWidth="1"/>
    <col min="5" max="5" width="13.85546875" style="120" customWidth="1"/>
    <col min="6" max="6" width="11.7109375" style="120" bestFit="1" customWidth="1"/>
    <col min="7" max="7" width="12.140625" style="120" bestFit="1" customWidth="1"/>
    <col min="8" max="8" width="14.28515625" style="120" customWidth="1"/>
    <col min="9" max="9" width="12" style="120" bestFit="1" customWidth="1"/>
    <col min="10" max="16384" width="11.42578125" style="120"/>
  </cols>
  <sheetData>
    <row r="2" spans="3:9" ht="44.25" customHeight="1"/>
    <row r="3" spans="3:9" ht="27" customHeight="1">
      <c r="C3" s="121" t="s">
        <v>223</v>
      </c>
      <c r="D3" s="121"/>
      <c r="E3" s="121"/>
      <c r="F3" s="121"/>
      <c r="G3" s="121"/>
      <c r="H3" s="121"/>
      <c r="I3" s="121"/>
    </row>
    <row r="4" spans="3:9" ht="15" customHeight="1">
      <c r="C4" s="122"/>
      <c r="D4" s="123" t="s">
        <v>89</v>
      </c>
      <c r="E4" s="124"/>
      <c r="F4" s="124"/>
      <c r="G4" s="123" t="s">
        <v>92</v>
      </c>
      <c r="H4" s="124"/>
      <c r="I4" s="124"/>
    </row>
    <row r="5" spans="3:9" ht="30">
      <c r="C5" s="126"/>
      <c r="D5" s="127" t="s">
        <v>93</v>
      </c>
      <c r="E5" s="127" t="s">
        <v>94</v>
      </c>
      <c r="F5" s="127" t="s">
        <v>70</v>
      </c>
      <c r="G5" s="127" t="s">
        <v>95</v>
      </c>
      <c r="H5" s="127" t="s">
        <v>94</v>
      </c>
      <c r="I5" s="127" t="s">
        <v>37</v>
      </c>
    </row>
    <row r="6" spans="3:9" hidden="1">
      <c r="C6" s="51" t="s">
        <v>38</v>
      </c>
      <c r="D6" s="52" t="e">
        <f>GETPIVOTDATA("dato",'[1]tabla dinámica pernocta'!$P$5,"categoría","Hoteleros","mes",12,"año",2010)</f>
        <v>#REF!</v>
      </c>
      <c r="E6" s="52" t="e">
        <f>GETPIVOTDATA("dato",'[1]tabla dinámica pernocta'!$P$5,"categoría","EXTRAHOTELEROS","mes",12,"año",2010)</f>
        <v>#REF!</v>
      </c>
      <c r="F6" s="52" t="e">
        <f>GETPIVOTDATA("dato",'[1]tabla dinámica pernocta'!$P$5,"categoría","TOTAL","mes",12,"año",2010)</f>
        <v>#REF!</v>
      </c>
      <c r="G6" s="52" t="e">
        <f>GETPIVOTDATA("Suma de TOTAL HOTELERO",'[1]tabla dinámica pernocta'!$H$5,"PAIS/INDICADOR","PERNOCTACIONES","MES","12","AÑO",2010)</f>
        <v>#REF!</v>
      </c>
      <c r="H6" s="52" t="e">
        <f>GETPIVOTDATA("Suma de Extrahoteleros",'[1]tabla dinámica pernocta'!$H$5,"PAIS/INDICADOR","PERNOCTACIONES","MES","12","AÑO",2010)</f>
        <v>#REF!</v>
      </c>
      <c r="I6" s="52" t="e">
        <f>GETPIVOTDATA("Suma de TOTAL GENERAL",'[1]tabla dinámica pernocta'!$H$5,"PAIS/INDICADOR","PERNOCTACIONES","MES","12","AÑO",2010)</f>
        <v>#REF!</v>
      </c>
    </row>
    <row r="7" spans="3:9" hidden="1">
      <c r="C7" s="51" t="s">
        <v>39</v>
      </c>
      <c r="D7" s="52" t="e">
        <f>GETPIVOTDATA("dato",'[1]tabla dinámica pernocta'!$P$5,"categoría","Hoteleros","mes",11,"año",2010)</f>
        <v>#REF!</v>
      </c>
      <c r="E7" s="52" t="e">
        <f>GETPIVOTDATA("dato",'[1]tabla dinámica pernocta'!$P$5,"categoría","EXTRAHOTELEROS","mes",11,"año",2010)</f>
        <v>#REF!</v>
      </c>
      <c r="F7" s="52" t="e">
        <f>GETPIVOTDATA("dato",'[1]tabla dinámica pernocta'!$P$5,"categoría","TOTAL","mes",11,"año",2010)</f>
        <v>#REF!</v>
      </c>
      <c r="G7" s="52" t="e">
        <f>GETPIVOTDATA("Suma de TOTAL HOTELERO",'[1]tabla dinámica pernocta'!$H$5,"PAIS/INDICADOR","PERNOCTACIONES","MES","11","AÑO",2010)</f>
        <v>#REF!</v>
      </c>
      <c r="H7" s="52" t="e">
        <f>GETPIVOTDATA("Suma de Extrahoteleros",'[1]tabla dinámica pernocta'!$H$5,"PAIS/INDICADOR","PERNOCTACIONES","MES","11","AÑO",2010)</f>
        <v>#REF!</v>
      </c>
      <c r="I7" s="52" t="e">
        <f>GETPIVOTDATA("Suma de TOTAL GENERAL",'[1]tabla dinámica pernocta'!$H$5,"PAIS/INDICADOR","PERNOCTACIONES","MES","11","AÑO",2010)</f>
        <v>#REF!</v>
      </c>
    </row>
    <row r="8" spans="3:9" hidden="1">
      <c r="C8" s="51" t="s">
        <v>40</v>
      </c>
      <c r="D8" s="52" t="e">
        <f>GETPIVOTDATA("dato",'[1]tabla dinámica pernocta'!$P$5,"categoría","Hoteleros","mes",10,"año",2010)</f>
        <v>#REF!</v>
      </c>
      <c r="E8" s="52" t="e">
        <f>GETPIVOTDATA("dato",'[1]tabla dinámica pernocta'!$P$5,"categoría","EXTRAHOTELEROS","mes",10,"año",2010)</f>
        <v>#REF!</v>
      </c>
      <c r="F8" s="52" t="e">
        <f>GETPIVOTDATA("dato",'[1]tabla dinámica pernocta'!$P$5,"categoría","TOTAL","mes",10,"año",2010)</f>
        <v>#REF!</v>
      </c>
      <c r="G8" s="52" t="e">
        <f>GETPIVOTDATA("Suma de TOTAL HOTELERO",'[1]tabla dinámica pernocta'!$H$5,"PAIS/INDICADOR","PERNOCTACIONES","MES","10","AÑO",2010)</f>
        <v>#REF!</v>
      </c>
      <c r="H8" s="52" t="e">
        <f>GETPIVOTDATA("Suma de Extrahoteleros",'[1]tabla dinámica pernocta'!$H$5,"PAIS/INDICADOR","PERNOCTACIONES","MES","10","AÑO",2010)</f>
        <v>#REF!</v>
      </c>
      <c r="I8" s="52" t="e">
        <f>GETPIVOTDATA("Suma de TOTAL GENERAL",'[1]tabla dinámica pernocta'!$H$5,"PAIS/INDICADOR","PERNOCTACIONES","MES","10","AÑO",2010)</f>
        <v>#REF!</v>
      </c>
    </row>
    <row r="9" spans="3:9" hidden="1">
      <c r="C9" s="51" t="s">
        <v>41</v>
      </c>
      <c r="D9" s="52" t="e">
        <f>GETPIVOTDATA("dato",'[1]tabla dinámica pernocta'!$P$5,"categoría","Hoteleros","mes",9,"año",2010)</f>
        <v>#REF!</v>
      </c>
      <c r="E9" s="52" t="e">
        <f>GETPIVOTDATA("dato",'[1]tabla dinámica pernocta'!$P$5,"categoría","EXTRAHOTELEROS","mes",9,"año",2010)</f>
        <v>#REF!</v>
      </c>
      <c r="F9" s="52" t="e">
        <f>GETPIVOTDATA("dato",'[1]tabla dinámica pernocta'!$P$5,"categoría","TOTAL","mes",9,"año",2010)</f>
        <v>#REF!</v>
      </c>
      <c r="G9" s="52" t="e">
        <f>GETPIVOTDATA("Suma de TOTAL HOTELERO",'[1]tabla dinámica pernocta'!$H$5,"PAIS/INDICADOR","PERNOCTACIONES","MES","9","AÑO",2010)</f>
        <v>#REF!</v>
      </c>
      <c r="H9" s="52" t="e">
        <f>GETPIVOTDATA("Suma de Extrahoteleros",'[1]tabla dinámica pernocta'!$H$5,"PAIS/INDICADOR","PERNOCTACIONES","MES","9","AÑO",2010)</f>
        <v>#REF!</v>
      </c>
      <c r="I9" s="52" t="e">
        <f>GETPIVOTDATA("Suma de TOTAL GENERAL",'[1]tabla dinámica pernocta'!$H$5,"PAIS/INDICADOR","PERNOCTACIONES","MES","9","AÑO",2010)</f>
        <v>#REF!</v>
      </c>
    </row>
    <row r="10" spans="3:9" hidden="1">
      <c r="C10" s="51" t="s">
        <v>42</v>
      </c>
      <c r="D10" s="52" t="e">
        <f>GETPIVOTDATA("dato",'[1]tabla dinámica pernocta'!$P$5,"categoría","Hoteleros","mes",8,"año",2010)</f>
        <v>#REF!</v>
      </c>
      <c r="E10" s="52" t="e">
        <f>GETPIVOTDATA("dato",'[1]tabla dinámica pernocta'!$P$5,"categoría","EXTRAHOTELEROS","mes",8,"año",2010)</f>
        <v>#REF!</v>
      </c>
      <c r="F10" s="52" t="e">
        <f>GETPIVOTDATA("dato",'[1]tabla dinámica pernocta'!$P$5,"categoría","TOTAL","mes",8,"año",2010)</f>
        <v>#REF!</v>
      </c>
      <c r="G10" s="52" t="e">
        <f>GETPIVOTDATA("Suma de TOTAL HOTELERO",'[1]tabla dinámica pernocta'!$H$5,"PAIS/INDICADOR","PERNOCTACIONES","MES","8","AÑO",2010)</f>
        <v>#REF!</v>
      </c>
      <c r="H10" s="52" t="e">
        <f>GETPIVOTDATA("Suma de Extrahoteleros",'[1]tabla dinámica pernocta'!$H$5,"PAIS/INDICADOR","PERNOCTACIONES","MES","8","AÑO",2010)</f>
        <v>#REF!</v>
      </c>
      <c r="I10" s="52" t="e">
        <f>GETPIVOTDATA("Suma de TOTAL GENERAL",'[1]tabla dinámica pernocta'!$H$5,"PAIS/INDICADOR","PERNOCTACIONES","MES","8","AÑO",2010)</f>
        <v>#REF!</v>
      </c>
    </row>
    <row r="11" spans="3:9">
      <c r="C11" s="51" t="s">
        <v>43</v>
      </c>
      <c r="D11" s="52">
        <f>GETPIVOTDATA("dato",'[1]tabla dinámica pernocta'!$P$5,"categoría","Hoteleros","mes",7,"año",2010)</f>
        <v>22934</v>
      </c>
      <c r="E11" s="52">
        <f>GETPIVOTDATA("dato",'[1]tabla dinámica pernocta'!$P$5,"categoría","EXTRAHOTELEROS","mes",7,"año",2010)</f>
        <v>0</v>
      </c>
      <c r="F11" s="52">
        <f>GETPIVOTDATA("dato",'[1]tabla dinámica pernocta'!$P$5,"categoría","TOTAL","mes",7,"año",2010)</f>
        <v>22934</v>
      </c>
      <c r="G11" s="52">
        <f>GETPIVOTDATA("Suma de TOTAL HOTELERO",'[1]tabla dinámica pernocta'!$H$5,"PAIS/INDICADOR","PERNOCTACIONES","MES","7","AÑO",2010)</f>
        <v>1852448</v>
      </c>
      <c r="H11" s="52">
        <f>GETPIVOTDATA("Suma de Extrahoteleros",'[1]tabla dinámica pernocta'!$H$5,"PAIS/INDICADOR","PERNOCTACIONES","MES","7","AÑO",2010)</f>
        <v>1401004</v>
      </c>
      <c r="I11" s="52">
        <f>GETPIVOTDATA("Suma de TOTAL GENERAL",'[1]tabla dinámica pernocta'!$H$5,"PAIS/INDICADOR","PERNOCTACIONES","MES","7","AÑO",2010)</f>
        <v>3253452</v>
      </c>
    </row>
    <row r="12" spans="3:9">
      <c r="C12" s="51" t="s">
        <v>44</v>
      </c>
      <c r="D12" s="52">
        <f>GETPIVOTDATA("dato",'[1]tabla dinámica pernocta'!$P$5,"categoría","Hoteleros","mes",6,"año",2010)</f>
        <v>26127</v>
      </c>
      <c r="E12" s="52">
        <f>GETPIVOTDATA("dato",'[1]tabla dinámica pernocta'!$P$5,"categoría","EXTRAHOTELEROS","mes",6,"año",2010)</f>
        <v>0</v>
      </c>
      <c r="F12" s="52">
        <f>GETPIVOTDATA("dato",'[1]tabla dinámica pernocta'!$P$5,"categoría","TOTAL","mes",6,"año",2010)</f>
        <v>26127</v>
      </c>
      <c r="G12" s="52">
        <f>GETPIVOTDATA("Suma de TOTAL HOTELERO",'[1]tabla dinámica pernocta'!$H$5,"PAIS/INDICADOR","PERNOCTACIONES","MES","6","AÑO",2010)</f>
        <v>1564162</v>
      </c>
      <c r="H12" s="52">
        <f>GETPIVOTDATA("Suma de Extrahoteleros",'[1]tabla dinámica pernocta'!$H$5,"PAIS/INDICADOR","PERNOCTACIONES","MES","6","AÑO",2010)</f>
        <v>1097110</v>
      </c>
      <c r="I12" s="52">
        <f>GETPIVOTDATA("Suma de TOTAL GENERAL",'[1]tabla dinámica pernocta'!$H$5,"PAIS/INDICADOR","PERNOCTACIONES","MES","6","AÑO",2010)</f>
        <v>2661272</v>
      </c>
    </row>
    <row r="13" spans="3:9">
      <c r="C13" s="51" t="s">
        <v>45</v>
      </c>
      <c r="D13" s="52">
        <f>GETPIVOTDATA("dato",'[1]tabla dinámica pernocta'!$P$5,"categoría","Hoteleros","mes",5,"año",2010)</f>
        <v>25316</v>
      </c>
      <c r="E13" s="52">
        <f>GETPIVOTDATA("dato",'[1]tabla dinámica pernocta'!$P$5,"categoría","EXTRAHOTELEROS","mes",5,"año",2010)</f>
        <v>0</v>
      </c>
      <c r="F13" s="52">
        <f>GETPIVOTDATA("dato",'[1]tabla dinámica pernocta'!$P$5,"categoría","TOTAL","mes",5,"año",2010)</f>
        <v>25316</v>
      </c>
      <c r="G13" s="52">
        <f>GETPIVOTDATA("Suma de TOTAL HOTELERO",'[1]tabla dinámica pernocta'!$H$5,"PAIS/INDICADOR","PERNOCTACIONES","MES","5","AÑO",2010)</f>
        <v>1491751</v>
      </c>
      <c r="H13" s="52">
        <f>GETPIVOTDATA("Suma de Extrahoteleros",'[1]tabla dinámica pernocta'!$H$5,"PAIS/INDICADOR","PERNOCTACIONES","MES","5","AÑO",2010)</f>
        <v>966851</v>
      </c>
      <c r="I13" s="52">
        <f>GETPIVOTDATA("Suma de TOTAL GENERAL",'[1]tabla dinámica pernocta'!$H$5,"PAIS/INDICADOR","PERNOCTACIONES","MES","5","AÑO",2010)</f>
        <v>2458602</v>
      </c>
    </row>
    <row r="14" spans="3:9">
      <c r="C14" s="51" t="s">
        <v>46</v>
      </c>
      <c r="D14" s="52">
        <f>GETPIVOTDATA("dato",'[1]tabla dinámica pernocta'!$P$5,"categoría","Hoteleros","mes",4,"año",2010)</f>
        <v>27550</v>
      </c>
      <c r="E14" s="52">
        <f>GETPIVOTDATA("dato",'[1]tabla dinámica pernocta'!$P$5,"categoría","EXTRAHOTELEROS","mes",4,"año",2010)</f>
        <v>0</v>
      </c>
      <c r="F14" s="52">
        <f>GETPIVOTDATA("dato",'[1]tabla dinámica pernocta'!$P$5,"categoría","TOTAL","mes",4,"año",2010)</f>
        <v>27550</v>
      </c>
      <c r="G14" s="52">
        <f>GETPIVOTDATA("Suma de TOTAL HOTELERO",'[1]tabla dinámica pernocta'!$H$5,"PAIS/INDICADOR","PERNOCTACIONES","MES","4","AÑO",2010)</f>
        <v>1576794</v>
      </c>
      <c r="H14" s="52">
        <f>GETPIVOTDATA("Suma de Extrahoteleros",'[1]tabla dinámica pernocta'!$H$5,"PAIS/INDICADOR","PERNOCTACIONES","MES","4","AÑO",2010)</f>
        <v>1127852</v>
      </c>
      <c r="I14" s="52">
        <f>GETPIVOTDATA("Suma de TOTAL GENERAL",'[1]tabla dinámica pernocta'!$H$5,"PAIS/INDICADOR","PERNOCTACIONES","MES","4","AÑO",2010)</f>
        <v>2704646</v>
      </c>
    </row>
    <row r="15" spans="3:9">
      <c r="C15" s="51" t="s">
        <v>47</v>
      </c>
      <c r="D15" s="52">
        <f>GETPIVOTDATA("dato",'[1]tabla dinámica pernocta'!$P$5,"categoría","Hoteleros","mes",3,"año",2010)</f>
        <v>28465</v>
      </c>
      <c r="E15" s="52">
        <f>GETPIVOTDATA("dato",'[1]tabla dinámica pernocta'!$P$5,"categoría","EXTRAHOTELEROS","mes",3,"año",2010)</f>
        <v>0</v>
      </c>
      <c r="F15" s="52">
        <f>GETPIVOTDATA("dato",'[1]tabla dinámica pernocta'!$P$5,"categoría","TOTAL","mes",3,"año",2010)</f>
        <v>28465</v>
      </c>
      <c r="G15" s="52">
        <f>GETPIVOTDATA("Suma de TOTAL HOTELERO",'[1]tabla dinámica pernocta'!$H$5,"PAIS/INDICADOR","PERNOCTACIONES","MES","3","AÑO",2010)</f>
        <v>1745136</v>
      </c>
      <c r="H15" s="52">
        <f>GETPIVOTDATA("Suma de Extrahoteleros",'[1]tabla dinámica pernocta'!$H$5,"PAIS/INDICADOR","PERNOCTACIONES","MES","3","AÑO",2010)</f>
        <v>1433073</v>
      </c>
      <c r="I15" s="52">
        <f>GETPIVOTDATA("Suma de TOTAL GENERAL",'[1]tabla dinámica pernocta'!$H$5,"PAIS/INDICADOR","PERNOCTACIONES","MES","3","AÑO",2010)</f>
        <v>3178209</v>
      </c>
    </row>
    <row r="16" spans="3:9">
      <c r="C16" s="51" t="s">
        <v>48</v>
      </c>
      <c r="D16" s="52">
        <f>GETPIVOTDATA("dato",'[1]tabla dinámica pernocta'!$P$5,"categoría","Hoteleros","mes",2,"año",2010)</f>
        <v>34631</v>
      </c>
      <c r="E16" s="52">
        <f>GETPIVOTDATA("dato",'[1]tabla dinámica pernocta'!$P$5,"categoría","EXTRAHOTELEROS","mes",2,"año",2010)</f>
        <v>0</v>
      </c>
      <c r="F16" s="52">
        <f>GETPIVOTDATA("dato",'[1]tabla dinámica pernocta'!$P$5,"categoría","TOTAL","mes",2,"año",2010)</f>
        <v>34631</v>
      </c>
      <c r="G16" s="52">
        <f>GETPIVOTDATA("Suma de TOTAL HOTELERO",'[1]tabla dinámica pernocta'!$H$5,"PAIS/INDICADOR","PERNOCTACIONES","MES","2","AÑO",2010)</f>
        <v>1678464</v>
      </c>
      <c r="H16" s="52">
        <f>GETPIVOTDATA("Suma de Extrahoteleros",'[1]tabla dinámica pernocta'!$H$5,"PAIS/INDICADOR","PERNOCTACIONES","MES","2","AÑO",2010)</f>
        <v>1371184</v>
      </c>
      <c r="I16" s="52">
        <f>GETPIVOTDATA("Suma de TOTAL GENERAL",'[1]tabla dinámica pernocta'!$H$5,"PAIS/INDICADOR","PERNOCTACIONES","MES","2","AÑO",2010)</f>
        <v>3049648</v>
      </c>
    </row>
    <row r="17" spans="3:9">
      <c r="C17" s="51" t="s">
        <v>49</v>
      </c>
      <c r="D17" s="52">
        <f>GETPIVOTDATA("dato",'[1]tabla dinámica pernocta'!$P$5,"categoría","Hoteleros","mes",1,"año",2010)</f>
        <v>28645</v>
      </c>
      <c r="E17" s="52">
        <f>GETPIVOTDATA("dato",'[1]tabla dinámica pernocta'!$P$5,"categoría","EXTRAHOTELEROS","mes",1,"año",2010)</f>
        <v>0</v>
      </c>
      <c r="F17" s="52">
        <f>GETPIVOTDATA("dato",'[1]tabla dinámica pernocta'!$P$5,"categoría","TOTAL","mes",1,"año",2010)</f>
        <v>28645</v>
      </c>
      <c r="G17" s="52">
        <f>GETPIVOTDATA("Suma de TOTAL HOTELERO",'[1]tabla dinámica pernocta'!$H$5,"PAIS/INDICADOR","PERNOCTACIONES","MES","1","AÑO",2010)</f>
        <v>1788406</v>
      </c>
      <c r="H17" s="52">
        <f>GETPIVOTDATA("Suma de Extrahoteleros",'[1]tabla dinámica pernocta'!$H$5,"PAIS/INDICADOR","PERNOCTACIONES","MES","1","AÑO",2010)</f>
        <v>1439231</v>
      </c>
      <c r="I17" s="52">
        <f>GETPIVOTDATA("Suma de TOTAL GENERAL",'[1]tabla dinámica pernocta'!$H$5,"PAIS/INDICADOR","PERNOCTACIONES","MES","1","AÑO",2010)</f>
        <v>3227637</v>
      </c>
    </row>
    <row r="18" spans="3:9" ht="30">
      <c r="C18" s="54" t="str">
        <f>actualizaciones!A2</f>
        <v xml:space="preserve">acumulado julio 2010 </v>
      </c>
      <c r="D18" s="55">
        <f>GETPIVOTDATA("dato",'[1]tabla dinámica pernocta'!$P$5,"categoría","Hoteleros","año",2010)</f>
        <v>193668</v>
      </c>
      <c r="E18" s="55">
        <f>GETPIVOTDATA("dato",'[1]tabla dinámica pernocta'!$P$5,"categoría","EXTRAHOTELEROS","año",2010)</f>
        <v>0</v>
      </c>
      <c r="F18" s="55">
        <f>GETPIVOTDATA("dato",'[1]tabla dinámica pernocta'!$P$5,"categoría","TOTAL","año",2010)</f>
        <v>193668</v>
      </c>
      <c r="G18" s="55">
        <f>GETPIVOTDATA("Suma de TOTAL HOTELERO",'[1]tabla dinámica pernocta'!$H$5,"PAIS/INDICADOR","PERNOCTACIONES","AÑO",2010)</f>
        <v>11697161</v>
      </c>
      <c r="H18" s="55">
        <f>GETPIVOTDATA("Suma de Extrahoteleros",'[1]tabla dinámica pernocta'!$H$5,"PAIS/INDICADOR","PERNOCTACIONES","AÑO",2010)</f>
        <v>8836305</v>
      </c>
      <c r="I18" s="55">
        <f>GETPIVOTDATA("Suma de TOTAL GENERAL",'[1]tabla dinámica pernocta'!$H$5,"PAIS/INDICADOR","PERNOCTACIONES","AÑO",2010)</f>
        <v>20533466</v>
      </c>
    </row>
    <row r="19" spans="3:9" hidden="1" outlineLevel="1">
      <c r="C19" s="51" t="s">
        <v>38</v>
      </c>
      <c r="D19" s="52">
        <f>GETPIVOTDATA("dato",'[1]tabla dinámica pernocta'!$P$5,"categoría","Hoteleros","mes",12,"año",2009)</f>
        <v>36076</v>
      </c>
      <c r="E19" s="52">
        <f>GETPIVOTDATA("dato",'[1]tabla dinámica pernocta'!$P$5,"categoría","EXTRAHOTELEROS","mes",12,"año",2009)</f>
        <v>0</v>
      </c>
      <c r="F19" s="52">
        <f>GETPIVOTDATA("dato",'[1]tabla dinámica pernocta'!$P$5,"categoría","TOTAL","mes",12,"año",2009)</f>
        <v>36076</v>
      </c>
      <c r="G19" s="52">
        <f>GETPIVOTDATA("Suma de TOTAL HOTELERO",'[1]tabla dinámica pernocta'!$H$5,"PAIS/INDICADOR","PERNOCTACIONES","MES","12","AÑO",2009)</f>
        <v>1650116</v>
      </c>
      <c r="H19" s="52">
        <f>GETPIVOTDATA("Suma de Extrahoteleros",'[1]tabla dinámica pernocta'!$H$5,"PAIS/INDICADOR","PERNOCTACIONES","MES","12","AÑO",2009)</f>
        <v>1369960</v>
      </c>
      <c r="I19" s="52">
        <f>GETPIVOTDATA("Suma de TOTAL GENERAL",'[1]tabla dinámica pernocta'!$H$5,"PAIS/INDICADOR","PERNOCTACIONES","MES","12","AÑO",2009)</f>
        <v>3020076</v>
      </c>
    </row>
    <row r="20" spans="3:9" hidden="1" outlineLevel="1">
      <c r="C20" s="51" t="s">
        <v>39</v>
      </c>
      <c r="D20" s="52">
        <f>GETPIVOTDATA("dato",'[1]tabla dinámica pernocta'!$P$5,"categoría","Hoteleros","mes",11,"año",2009)</f>
        <v>27704</v>
      </c>
      <c r="E20" s="52">
        <f>GETPIVOTDATA("dato",'[1]tabla dinámica pernocta'!$P$5,"categoría","EXTRAHOTELEROS","mes",11,"año",2009)</f>
        <v>0</v>
      </c>
      <c r="F20" s="52">
        <f>GETPIVOTDATA("dato",'[1]tabla dinámica pernocta'!$P$5,"categoría","TOTAL","mes",11,"año",2009)</f>
        <v>27704</v>
      </c>
      <c r="G20" s="52">
        <f>GETPIVOTDATA("Suma de TOTAL HOTELERO",'[1]tabla dinámica pernocta'!$H$5,"PAIS/INDICADOR","PERNOCTACIONES","MES","11","AÑO",2009)</f>
        <v>1669106</v>
      </c>
      <c r="H20" s="52">
        <f>GETPIVOTDATA("Suma de Extrahoteleros",'[1]tabla dinámica pernocta'!$H$5,"PAIS/INDICADOR","PERNOCTACIONES","MES","11","AÑO",2009)</f>
        <v>1328566</v>
      </c>
      <c r="I20" s="52">
        <f>GETPIVOTDATA("Suma de TOTAL GENERAL",'[1]tabla dinámica pernocta'!$H$5,"PAIS/INDICADOR","PERNOCTACIONES","MES","11","AÑO",2009)</f>
        <v>2997672</v>
      </c>
    </row>
    <row r="21" spans="3:9" hidden="1" outlineLevel="1">
      <c r="C21" s="51" t="s">
        <v>40</v>
      </c>
      <c r="D21" s="52">
        <f>GETPIVOTDATA("dato",'[1]tabla dinámica pernocta'!$P$5,"categoría","Hoteleros","mes",10,"año",2009)</f>
        <v>28970</v>
      </c>
      <c r="E21" s="52">
        <f>GETPIVOTDATA("dato",'[1]tabla dinámica pernocta'!$P$5,"categoría","EXTRAHOTELEROS","mes",10,"año",2009)</f>
        <v>0</v>
      </c>
      <c r="F21" s="52">
        <f>GETPIVOTDATA("dato",'[1]tabla dinámica pernocta'!$P$5,"categoría","TOTAL","mes",10,"año",2009)</f>
        <v>28970</v>
      </c>
      <c r="G21" s="52">
        <f>GETPIVOTDATA("Suma de TOTAL HOTELERO",'[1]tabla dinámica pernocta'!$H$5,"PAIS/INDICADOR","PERNOCTACIONES","MES","10","AÑO",2009)</f>
        <v>1624863</v>
      </c>
      <c r="H21" s="52">
        <f>GETPIVOTDATA("Suma de Extrahoteleros",'[1]tabla dinámica pernocta'!$H$5,"PAIS/INDICADOR","PERNOCTACIONES","MES","10","AÑO",2009)</f>
        <v>1252596</v>
      </c>
      <c r="I21" s="52">
        <f>GETPIVOTDATA("Suma de TOTAL GENERAL",'[1]tabla dinámica pernocta'!$H$5,"PAIS/INDICADOR","PERNOCTACIONES","MES","10","AÑO",2009)</f>
        <v>2877459</v>
      </c>
    </row>
    <row r="22" spans="3:9" hidden="1" outlineLevel="1">
      <c r="C22" s="51" t="s">
        <v>41</v>
      </c>
      <c r="D22" s="52">
        <f>GETPIVOTDATA("dato",'[1]tabla dinámica pernocta'!$P$5,"categoría","Hoteleros","mes",9,"año",2009)</f>
        <v>25861</v>
      </c>
      <c r="E22" s="52">
        <f>GETPIVOTDATA("dato",'[1]tabla dinámica pernocta'!$P$5,"categoría","EXTRAHOTELEROS","mes",9,"año",2009)</f>
        <v>0</v>
      </c>
      <c r="F22" s="52">
        <f>GETPIVOTDATA("dato",'[1]tabla dinámica pernocta'!$P$5,"categoría","TOTAL","mes",9,"año",2009)</f>
        <v>25861</v>
      </c>
      <c r="G22" s="52">
        <f>GETPIVOTDATA("Suma de TOTAL HOTELERO",'[1]tabla dinámica pernocta'!$H$5,"PAIS/INDICADOR","PERNOCTACIONES","MES","9","AÑO",2009)</f>
        <v>1563852</v>
      </c>
      <c r="H22" s="52">
        <f>GETPIVOTDATA("Suma de Extrahoteleros",'[1]tabla dinámica pernocta'!$H$5,"PAIS/INDICADOR","PERNOCTACIONES","MES","9","AÑO",2009)</f>
        <v>1153578</v>
      </c>
      <c r="I22" s="52">
        <f>GETPIVOTDATA("Suma de TOTAL GENERAL",'[1]tabla dinámica pernocta'!$H$5,"PAIS/INDICADOR","PERNOCTACIONES","MES","9","AÑO",2009)</f>
        <v>2717430</v>
      </c>
    </row>
    <row r="23" spans="3:9" hidden="1" outlineLevel="1">
      <c r="C23" s="51" t="s">
        <v>42</v>
      </c>
      <c r="D23" s="52">
        <f>GETPIVOTDATA("dato",'[1]tabla dinámica pernocta'!$P$5,"categoría","Hoteleros","mes",8,"año",2009)</f>
        <v>21384</v>
      </c>
      <c r="E23" s="52">
        <f>GETPIVOTDATA("dato",'[1]tabla dinámica pernocta'!$P$5,"categoría","EXTRAHOTELEROS","mes",8,"año",2009)</f>
        <v>0</v>
      </c>
      <c r="F23" s="52">
        <f>GETPIVOTDATA("dato",'[1]tabla dinámica pernocta'!$P$5,"categoría","TOTAL","mes",8,"año",2009)</f>
        <v>21384</v>
      </c>
      <c r="G23" s="52">
        <f>GETPIVOTDATA("Suma de TOTAL HOTELERO",'[1]tabla dinámica pernocta'!$H$5,"PAIS/INDICADOR","PERNOCTACIONES","MES","8","AÑO",2009)</f>
        <v>1953383</v>
      </c>
      <c r="H23" s="52">
        <f>GETPIVOTDATA("Suma de Extrahoteleros",'[1]tabla dinámica pernocta'!$H$5,"PAIS/INDICADOR","PERNOCTACIONES","MES","8","AÑO",2009)</f>
        <v>1616501</v>
      </c>
      <c r="I23" s="52">
        <f>GETPIVOTDATA("Suma de TOTAL GENERAL",'[1]tabla dinámica pernocta'!$H$5,"PAIS/INDICADOR","PERNOCTACIONES","MES","8","AÑO",2009)</f>
        <v>3569884</v>
      </c>
    </row>
    <row r="24" spans="3:9" hidden="1" outlineLevel="1">
      <c r="C24" s="51" t="s">
        <v>43</v>
      </c>
      <c r="D24" s="52">
        <f>GETPIVOTDATA("dato",'[1]tabla dinámica pernocta'!$P$5,"categoría","Hoteleros","mes",7,"año",2009)</f>
        <v>27260</v>
      </c>
      <c r="E24" s="52">
        <f>GETPIVOTDATA("dato",'[1]tabla dinámica pernocta'!$P$5,"categoría","EXTRAHOTELEROS","mes",7,"año",2009)</f>
        <v>0</v>
      </c>
      <c r="F24" s="52">
        <f>GETPIVOTDATA("dato",'[1]tabla dinámica pernocta'!$P$5,"categoría","TOTAL","mes",7,"año",2009)</f>
        <v>27260</v>
      </c>
      <c r="G24" s="52">
        <f>GETPIVOTDATA("Suma de TOTAL HOTELERO",'[1]tabla dinámica pernocta'!$H$5,"PAIS/INDICADOR","PERNOCTACIONES","MES","7","AÑO",2009)</f>
        <v>1793828</v>
      </c>
      <c r="H24" s="52">
        <f>GETPIVOTDATA("Suma de Extrahoteleros",'[1]tabla dinámica pernocta'!$H$5,"PAIS/INDICADOR","PERNOCTACIONES","MES","7","AÑO",2009)</f>
        <v>1385305</v>
      </c>
      <c r="I24" s="52">
        <f>GETPIVOTDATA("Suma de TOTAL GENERAL",'[1]tabla dinámica pernocta'!$H$5,"PAIS/INDICADOR","PERNOCTACIONES","MES","7","AÑO",2009)</f>
        <v>3179133</v>
      </c>
    </row>
    <row r="25" spans="3:9" hidden="1" outlineLevel="1">
      <c r="C25" s="51" t="s">
        <v>44</v>
      </c>
      <c r="D25" s="52">
        <f>GETPIVOTDATA("dato",'[1]tabla dinámica pernocta'!$P$5,"categoría","Hoteleros","mes",6,"año",2009)</f>
        <v>28102</v>
      </c>
      <c r="E25" s="52">
        <f>GETPIVOTDATA("dato",'[1]tabla dinámica pernocta'!$P$5,"categoría","EXTRAHOTELEROS","mes",6,"año",2009)</f>
        <v>0</v>
      </c>
      <c r="F25" s="52">
        <f>GETPIVOTDATA("dato",'[1]tabla dinámica pernocta'!$P$5,"categoría","TOTAL","mes",6,"año",2009)</f>
        <v>28102</v>
      </c>
      <c r="G25" s="52">
        <f>GETPIVOTDATA("Suma de TOTAL HOTELERO",'[1]tabla dinámica pernocta'!$H$5,"PAIS/INDICADOR","PERNOCTACIONES","MES","6","AÑO",2009)</f>
        <v>1487696</v>
      </c>
      <c r="H25" s="52">
        <f>GETPIVOTDATA("Suma de Extrahoteleros",'[1]tabla dinámica pernocta'!$H$5,"PAIS/INDICADOR","PERNOCTACIONES","MES","6","AÑO",2009)</f>
        <v>1080912</v>
      </c>
      <c r="I25" s="52">
        <f>GETPIVOTDATA("Suma de TOTAL GENERAL",'[1]tabla dinámica pernocta'!$H$5,"PAIS/INDICADOR","PERNOCTACIONES","MES","6","AÑO",2009)</f>
        <v>2568608</v>
      </c>
    </row>
    <row r="26" spans="3:9" hidden="1" outlineLevel="1">
      <c r="C26" s="51" t="s">
        <v>45</v>
      </c>
      <c r="D26" s="52">
        <f>GETPIVOTDATA("dato",'[1]tabla dinámica pernocta'!$P$5,"categoría","Hoteleros","mes",5,"año",2009)</f>
        <v>30141</v>
      </c>
      <c r="E26" s="52">
        <f>GETPIVOTDATA("dato",'[1]tabla dinámica pernocta'!$P$5,"categoría","EXTRAHOTELEROS","mes",5,"año",2009)</f>
        <v>0</v>
      </c>
      <c r="F26" s="52">
        <f>GETPIVOTDATA("dato",'[1]tabla dinámica pernocta'!$P$5,"categoría","TOTAL","mes",5,"año",2009)</f>
        <v>30141</v>
      </c>
      <c r="G26" s="52">
        <f>GETPIVOTDATA("Suma de TOTAL HOTELERO",'[1]tabla dinámica pernocta'!$H$5,"PAIS/INDICADOR","PERNOCTACIONES","MES","5","AÑO",2009)</f>
        <v>1419900</v>
      </c>
      <c r="H26" s="52">
        <f>GETPIVOTDATA("Suma de Extrahoteleros",'[1]tabla dinámica pernocta'!$H$5,"PAIS/INDICADOR","PERNOCTACIONES","MES","5","AÑO",2009)</f>
        <v>1003208</v>
      </c>
      <c r="I26" s="52">
        <f>GETPIVOTDATA("Suma de TOTAL GENERAL",'[1]tabla dinámica pernocta'!$H$5,"PAIS/INDICADOR","PERNOCTACIONES","MES","5","AÑO",2009)</f>
        <v>2423108</v>
      </c>
    </row>
    <row r="27" spans="3:9" hidden="1" outlineLevel="1">
      <c r="C27" s="51" t="s">
        <v>46</v>
      </c>
      <c r="D27" s="52">
        <f>GETPIVOTDATA("dato",'[1]tabla dinámica pernocta'!$P$5,"categoría","Hoteleros","mes",4,"año",2009)</f>
        <v>29837</v>
      </c>
      <c r="E27" s="52">
        <f>GETPIVOTDATA("dato",'[1]tabla dinámica pernocta'!$P$5,"categoría","EXTRAHOTELEROS","mes",4,"año",2009)</f>
        <v>0</v>
      </c>
      <c r="F27" s="52">
        <f>GETPIVOTDATA("dato",'[1]tabla dinámica pernocta'!$P$5,"categoría","TOTAL","mes",4,"año",2009)</f>
        <v>29837</v>
      </c>
      <c r="G27" s="52">
        <f>GETPIVOTDATA("Suma de TOTAL HOTELERO",'[1]tabla dinámica pernocta'!$H$5,"PAIS/INDICADOR","PERNOCTACIONES","MES","4","AÑO",2009)</f>
        <v>1648568</v>
      </c>
      <c r="H27" s="52">
        <f>GETPIVOTDATA("Suma de Extrahoteleros",'[1]tabla dinámica pernocta'!$H$5,"PAIS/INDICADOR","PERNOCTACIONES","MES","4","AÑO",2009)</f>
        <v>1269875</v>
      </c>
      <c r="I27" s="52">
        <f>GETPIVOTDATA("Suma de TOTAL GENERAL",'[1]tabla dinámica pernocta'!$H$5,"PAIS/INDICADOR","PERNOCTACIONES","MES","4","AÑO",2009)</f>
        <v>2918443</v>
      </c>
    </row>
    <row r="28" spans="3:9" hidden="1" outlineLevel="1">
      <c r="C28" s="51" t="s">
        <v>47</v>
      </c>
      <c r="D28" s="52">
        <f>GETPIVOTDATA("dato",'[1]tabla dinámica pernocta'!$P$5,"categoría","Hoteleros","mes",3,"año",2009)</f>
        <v>36664</v>
      </c>
      <c r="E28" s="52">
        <f>GETPIVOTDATA("dato",'[1]tabla dinámica pernocta'!$P$5,"categoría","EXTRAHOTELEROS","mes",3,"año",2009)</f>
        <v>0</v>
      </c>
      <c r="F28" s="52">
        <f>GETPIVOTDATA("dato",'[1]tabla dinámica pernocta'!$P$5,"categoría","TOTAL","mes",3,"año",2009)</f>
        <v>36664</v>
      </c>
      <c r="G28" s="52">
        <f>GETPIVOTDATA("Suma de TOTAL HOTELERO",'[1]tabla dinámica pernocta'!$H$5,"PAIS/INDICADOR","PERNOCTACIONES","MES","3","AÑO",2009)</f>
        <v>1727907</v>
      </c>
      <c r="H28" s="52">
        <f>GETPIVOTDATA("Suma de Extrahoteleros",'[1]tabla dinámica pernocta'!$H$5,"PAIS/INDICADOR","PERNOCTACIONES","MES","3","AÑO",2009)</f>
        <v>1557564</v>
      </c>
      <c r="I28" s="52">
        <f>GETPIVOTDATA("Suma de TOTAL GENERAL",'[1]tabla dinámica pernocta'!$H$5,"PAIS/INDICADOR","PERNOCTACIONES","MES","3","AÑO",2009)</f>
        <v>3285471</v>
      </c>
    </row>
    <row r="29" spans="3:9" hidden="1" outlineLevel="1">
      <c r="C29" s="51" t="s">
        <v>48</v>
      </c>
      <c r="D29" s="52">
        <f>GETPIVOTDATA("dato",'[1]tabla dinámica pernocta'!$P$5,"categoría","Hoteleros","mes",2,"año",2009)</f>
        <v>39273</v>
      </c>
      <c r="E29" s="52">
        <f>GETPIVOTDATA("dato",'[1]tabla dinámica pernocta'!$P$5,"categoría","EXTRAHOTELEROS","mes",2,"año",2009)</f>
        <v>0</v>
      </c>
      <c r="F29" s="52">
        <f>GETPIVOTDATA("dato",'[1]tabla dinámica pernocta'!$P$5,"categoría","TOTAL","mes",2,"año",2009)</f>
        <v>39273</v>
      </c>
      <c r="G29" s="52">
        <f>GETPIVOTDATA("Suma de TOTAL HOTELERO",'[1]tabla dinámica pernocta'!$H$5,"PAIS/INDICADOR","PERNOCTACIONES","MES","2","AÑO",2009)</f>
        <v>1654586</v>
      </c>
      <c r="H29" s="52">
        <f>GETPIVOTDATA("Suma de Extrahoteleros",'[1]tabla dinámica pernocta'!$H$5,"PAIS/INDICADOR","PERNOCTACIONES","MES","2","AÑO",2009)</f>
        <v>1492297</v>
      </c>
      <c r="I29" s="52">
        <f>GETPIVOTDATA("Suma de TOTAL GENERAL",'[1]tabla dinámica pernocta'!$H$5,"PAIS/INDICADOR","PERNOCTACIONES","MES","2","AÑO",2009)</f>
        <v>3146883</v>
      </c>
    </row>
    <row r="30" spans="3:9" hidden="1" outlineLevel="1">
      <c r="C30" s="51" t="s">
        <v>49</v>
      </c>
      <c r="D30" s="52">
        <f>GETPIVOTDATA("dato",'[1]tabla dinámica pernocta'!$P$5,"categoría","Hoteleros","mes",1,"año",2009)</f>
        <v>32979</v>
      </c>
      <c r="E30" s="52">
        <f>GETPIVOTDATA("dato",'[1]tabla dinámica pernocta'!$P$5,"categoría","EXTRAHOTELEROS","mes",1,"año",2009)</f>
        <v>0</v>
      </c>
      <c r="F30" s="52">
        <f>GETPIVOTDATA("dato",'[1]tabla dinámica pernocta'!$P$5,"categoría","TOTAL","mes",1,"año",2009)</f>
        <v>32979</v>
      </c>
      <c r="G30" s="52">
        <f>GETPIVOTDATA("Suma de TOTAL HOTELERO",'[1]tabla dinámica pernocta'!$H$5,"PAIS/INDICADOR","PERNOCTACIONES","MES","1","AÑO",2009)</f>
        <v>1832577</v>
      </c>
      <c r="H30" s="52">
        <f>GETPIVOTDATA("Suma de Extrahoteleros",'[1]tabla dinámica pernocta'!$H$5,"PAIS/INDICADOR","PERNOCTACIONES","MES","1","AÑO",2009)</f>
        <v>1587962</v>
      </c>
      <c r="I30" s="52">
        <f>GETPIVOTDATA("Suma de TOTAL GENERAL",'[1]tabla dinámica pernocta'!$H$5,"PAIS/INDICADOR","PERNOCTACIONES","MES","1","AÑO",2009)</f>
        <v>3420539</v>
      </c>
    </row>
    <row r="31" spans="3:9" collapsed="1">
      <c r="C31" s="131">
        <v>2009</v>
      </c>
      <c r="D31" s="57">
        <f>GETPIVOTDATA("dato",'[1]tabla dinámica pernocta'!$P$5,"categoría","Hoteleros","año",2009)</f>
        <v>364251</v>
      </c>
      <c r="E31" s="57">
        <f>GETPIVOTDATA("dato",'[1]tabla dinámica pernocta'!$P$5,"categoría","EXTRAHOTELEROS","año",2009)</f>
        <v>0</v>
      </c>
      <c r="F31" s="57">
        <f>GETPIVOTDATA("dato",'[1]tabla dinámica pernocta'!$P$5,"categoría","TOTAL","año",2009)</f>
        <v>364251</v>
      </c>
      <c r="G31" s="57">
        <f>GETPIVOTDATA("Suma de TOTAL HOTELERO",'[1]tabla dinámica pernocta'!$H$5,"PAIS/INDICADOR","PERNOCTACIONES","AÑO",2009)</f>
        <v>20026382</v>
      </c>
      <c r="H31" s="57">
        <f>GETPIVOTDATA("Suma de Extrahoteleros",'[1]tabla dinámica pernocta'!$H$5,"PAIS/INDICADOR","PERNOCTACIONES","AÑO",2009)</f>
        <v>16098324</v>
      </c>
      <c r="I31" s="57">
        <f>GETPIVOTDATA("Suma de TOTAL GENERAL",'[1]tabla dinámica pernocta'!$H$5,"PAIS/INDICADOR","PERNOCTACIONES","AÑO",2009)</f>
        <v>36124706</v>
      </c>
    </row>
    <row r="32" spans="3:9" hidden="1" outlineLevel="1">
      <c r="C32" s="51" t="s">
        <v>38</v>
      </c>
      <c r="D32" s="52">
        <f>GETPIVOTDATA("dato",'[1]tabla dinámica pernocta'!$P$5,"categoría","Hoteleros","mes",12,"año",2008)</f>
        <v>38168</v>
      </c>
      <c r="E32" s="52">
        <f>GETPIVOTDATA("dato",'[1]tabla dinámica pernocta'!$P$5,"categoría","EXTRAHOTELEROS","mes",12,"año",2008)</f>
        <v>0</v>
      </c>
      <c r="F32" s="52">
        <f>GETPIVOTDATA("dato",'[1]tabla dinámica pernocta'!$P$5,"categoría","TOTAL","mes",12,"año",2008)</f>
        <v>38168</v>
      </c>
      <c r="G32" s="52">
        <f>GETPIVOTDATA("Suma de TOTAL HOTELERO",'[1]tabla dinámica pernocta'!$H$5,"PAIS/INDICADOR","PERNOCTACIONES","MES","12","AÑO",2008)</f>
        <v>1787997</v>
      </c>
      <c r="H32" s="52">
        <f>GETPIVOTDATA("Suma de Extrahoteleros",'[1]tabla dinámica pernocta'!$H$5,"PAIS/INDICADOR","PERNOCTACIONES","MES","12","AÑO",2008)</f>
        <v>1569972</v>
      </c>
      <c r="I32" s="52">
        <f>GETPIVOTDATA("Suma de TOTAL GENERAL",'[1]tabla dinámica pernocta'!$H$5,"PAIS/INDICADOR","PERNOCTACIONES","MES","12","AÑO",2008)</f>
        <v>3357969</v>
      </c>
    </row>
    <row r="33" spans="3:9" hidden="1" outlineLevel="1">
      <c r="C33" s="51" t="s">
        <v>39</v>
      </c>
      <c r="D33" s="52">
        <f>GETPIVOTDATA("dato",'[1]tabla dinámica pernocta'!$P$5,"categoría","Hoteleros","mes",11,"año",2008)</f>
        <v>42442</v>
      </c>
      <c r="E33" s="52">
        <f>GETPIVOTDATA("dato",'[1]tabla dinámica pernocta'!$P$5,"categoría","EXTRAHOTELEROS","mes",11,"año",2008)</f>
        <v>0</v>
      </c>
      <c r="F33" s="52">
        <f>GETPIVOTDATA("dato",'[1]tabla dinámica pernocta'!$P$5,"categoría","TOTAL","mes",11,"año",2008)</f>
        <v>42442</v>
      </c>
      <c r="G33" s="52">
        <f>GETPIVOTDATA("Suma de TOTAL HOTELERO",'[1]tabla dinámica pernocta'!$H$5,"PAIS/INDICADOR","PERNOCTACIONES","MES","11","AÑO",2008)</f>
        <v>1811912</v>
      </c>
      <c r="H33" s="52">
        <f>GETPIVOTDATA("Suma de Extrahoteleros",'[1]tabla dinámica pernocta'!$H$5,"PAIS/INDICADOR","PERNOCTACIONES","MES","11","AÑO",2008)</f>
        <v>1590100</v>
      </c>
      <c r="I33" s="52">
        <f>GETPIVOTDATA("Suma de TOTAL GENERAL",'[1]tabla dinámica pernocta'!$H$5,"PAIS/INDICADOR","PERNOCTACIONES","MES","11","AÑO",2008)</f>
        <v>3402012</v>
      </c>
    </row>
    <row r="34" spans="3:9" hidden="1" outlineLevel="1">
      <c r="C34" s="51" t="s">
        <v>40</v>
      </c>
      <c r="D34" s="52">
        <f>GETPIVOTDATA("dato",'[1]tabla dinámica pernocta'!$P$5,"categoría","Hoteleros","mes",10,"año",2008)</f>
        <v>43114</v>
      </c>
      <c r="E34" s="52">
        <f>GETPIVOTDATA("dato",'[1]tabla dinámica pernocta'!$P$5,"categoría","EXTRAHOTELEROS","mes",10,"año",2008)</f>
        <v>0</v>
      </c>
      <c r="F34" s="52">
        <f>GETPIVOTDATA("dato",'[1]tabla dinámica pernocta'!$P$5,"categoría","TOTAL","mes",10,"año",2008)</f>
        <v>43114</v>
      </c>
      <c r="G34" s="52">
        <f>GETPIVOTDATA("Suma de TOTAL HOTELERO",'[1]tabla dinámica pernocta'!$H$5,"PAIS/INDICADOR","PERNOCTACIONES","MES","10","AÑO",2008)</f>
        <v>1831399</v>
      </c>
      <c r="H34" s="52">
        <f>GETPIVOTDATA("Suma de Extrahoteleros",'[1]tabla dinámica pernocta'!$H$5,"PAIS/INDICADOR","PERNOCTACIONES","MES","10","AÑO",2008)</f>
        <v>1459828</v>
      </c>
      <c r="I34" s="52">
        <f>GETPIVOTDATA("Suma de TOTAL GENERAL",'[1]tabla dinámica pernocta'!$H$5,"PAIS/INDICADOR","PERNOCTACIONES","MES","10","AÑO",2008)</f>
        <v>3291227</v>
      </c>
    </row>
    <row r="35" spans="3:9" hidden="1" outlineLevel="1">
      <c r="C35" s="51" t="s">
        <v>41</v>
      </c>
      <c r="D35" s="52">
        <f>GETPIVOTDATA("dato",'[1]tabla dinámica pernocta'!$P$5,"categoría","Hoteleros","mes",9,"año",2008)</f>
        <v>34144</v>
      </c>
      <c r="E35" s="52">
        <f>GETPIVOTDATA("dato",'[1]tabla dinámica pernocta'!$P$5,"categoría","EXTRAHOTELEROS","mes",9,"año",2008)</f>
        <v>0</v>
      </c>
      <c r="F35" s="52">
        <f>GETPIVOTDATA("dato",'[1]tabla dinámica pernocta'!$P$5,"categoría","TOTAL","mes",9,"año",2008)</f>
        <v>34144</v>
      </c>
      <c r="G35" s="52">
        <f>GETPIVOTDATA("Suma de TOTAL HOTELERO",'[1]tabla dinámica pernocta'!$H$5,"PAIS/INDICADOR","PERNOCTACIONES","MES","9","AÑO",2008)</f>
        <v>1779143</v>
      </c>
      <c r="H35" s="52">
        <f>GETPIVOTDATA("Suma de Extrahoteleros",'[1]tabla dinámica pernocta'!$H$5,"PAIS/INDICADOR","PERNOCTACIONES","MES","9","AÑO",2008)</f>
        <v>1308186</v>
      </c>
      <c r="I35" s="52">
        <f>GETPIVOTDATA("Suma de TOTAL GENERAL",'[1]tabla dinámica pernocta'!$H$5,"PAIS/INDICADOR","PERNOCTACIONES","MES","9","AÑO",2008)</f>
        <v>3087329</v>
      </c>
    </row>
    <row r="36" spans="3:9" ht="15" hidden="1" customHeight="1" outlineLevel="1">
      <c r="C36" s="51" t="s">
        <v>42</v>
      </c>
      <c r="D36" s="52">
        <f>GETPIVOTDATA("dato",'[1]tabla dinámica pernocta'!$P$5,"categoría","Hoteleros","mes",8,"año",2008)</f>
        <v>31889</v>
      </c>
      <c r="E36" s="52">
        <f>GETPIVOTDATA("dato",'[1]tabla dinámica pernocta'!$P$5,"categoría","EXTRAHOTELEROS","mes",8,"año",2008)</f>
        <v>0</v>
      </c>
      <c r="F36" s="52">
        <f>GETPIVOTDATA("dato",'[1]tabla dinámica pernocta'!$P$5,"categoría","TOTAL","mes",8,"año",2008)</f>
        <v>31889</v>
      </c>
      <c r="G36" s="52">
        <f>GETPIVOTDATA("Suma de TOTAL HOTELERO",'[1]tabla dinámica pernocta'!$H$5,"PAIS/INDICADOR","PERNOCTACIONES","MES","8","AÑO",2008)</f>
        <v>2239441</v>
      </c>
      <c r="H36" s="52">
        <f>GETPIVOTDATA("Suma de Extrahoteleros",'[1]tabla dinámica pernocta'!$H$5,"PAIS/INDICADOR","PERNOCTACIONES","MES","8","AÑO",2008)</f>
        <v>1917147</v>
      </c>
      <c r="I36" s="52">
        <f>GETPIVOTDATA("Suma de TOTAL GENERAL",'[1]tabla dinámica pernocta'!$H$5,"PAIS/INDICADOR","PERNOCTACIONES","MES","8","AÑO",2008)</f>
        <v>4156588</v>
      </c>
    </row>
    <row r="37" spans="3:9" ht="15" hidden="1" customHeight="1" outlineLevel="1">
      <c r="C37" s="51" t="s">
        <v>43</v>
      </c>
      <c r="D37" s="52">
        <f>GETPIVOTDATA("dato",'[1]tabla dinámica pernocta'!$P$5,"categoría","Hoteleros","mes",7,"año",2008)</f>
        <v>42255</v>
      </c>
      <c r="E37" s="52">
        <f>GETPIVOTDATA("dato",'[1]tabla dinámica pernocta'!$P$5,"categoría","EXTRAHOTELEROS","mes",7,"año",2008)</f>
        <v>0</v>
      </c>
      <c r="F37" s="52">
        <f>GETPIVOTDATA("dato",'[1]tabla dinámica pernocta'!$P$5,"categoría","TOTAL","mes",7,"año",2008)</f>
        <v>42255</v>
      </c>
      <c r="G37" s="52">
        <f>GETPIVOTDATA("Suma de TOTAL HOTELERO",'[1]tabla dinámica pernocta'!$H$5,"PAIS/INDICADOR","PERNOCTACIONES","MES","7","AÑO",2008)</f>
        <v>2110883</v>
      </c>
      <c r="H37" s="52">
        <f>GETPIVOTDATA("Suma de Extrahoteleros",'[1]tabla dinámica pernocta'!$H$5,"PAIS/INDICADOR","PERNOCTACIONES","MES","7","AÑO",2008)</f>
        <v>1691231</v>
      </c>
      <c r="I37" s="52">
        <f>GETPIVOTDATA("Suma de TOTAL GENERAL",'[1]tabla dinámica pernocta'!$H$5,"PAIS/INDICADOR","PERNOCTACIONES","MES","7","AÑO",2008)</f>
        <v>3802114</v>
      </c>
    </row>
    <row r="38" spans="3:9" ht="15" hidden="1" customHeight="1" outlineLevel="1">
      <c r="C38" s="51" t="s">
        <v>44</v>
      </c>
      <c r="D38" s="52">
        <f>GETPIVOTDATA("dato",'[1]tabla dinámica pernocta'!$P$5,"categoría","Hoteleros","mes",6,"año",2008)</f>
        <v>39136</v>
      </c>
      <c r="E38" s="52">
        <f>GETPIVOTDATA("dato",'[1]tabla dinámica pernocta'!$P$5,"categoría","EXTRAHOTELEROS","mes",6,"año",2008)</f>
        <v>0</v>
      </c>
      <c r="F38" s="52">
        <f>GETPIVOTDATA("dato",'[1]tabla dinámica pernocta'!$P$5,"categoría","TOTAL","mes",6,"año",2008)</f>
        <v>39136</v>
      </c>
      <c r="G38" s="52">
        <f>GETPIVOTDATA("Suma de TOTAL HOTELERO",'[1]tabla dinámica pernocta'!$H$5,"PAIS/INDICADOR","PERNOCTACIONES","MES","6","AÑO",2008)</f>
        <v>1744555</v>
      </c>
      <c r="H38" s="52">
        <f>GETPIVOTDATA("Suma de Extrahoteleros",'[1]tabla dinámica pernocta'!$H$5,"PAIS/INDICADOR","PERNOCTACIONES","MES","6","AÑO",2008)</f>
        <v>1342804</v>
      </c>
      <c r="I38" s="52">
        <f>GETPIVOTDATA("Suma de TOTAL GENERAL",'[1]tabla dinámica pernocta'!$H$5,"PAIS/INDICADOR","PERNOCTACIONES","MES","6","AÑO",2008)</f>
        <v>3087359</v>
      </c>
    </row>
    <row r="39" spans="3:9" hidden="1" outlineLevel="1">
      <c r="C39" s="51" t="s">
        <v>45</v>
      </c>
      <c r="D39" s="52">
        <f>GETPIVOTDATA("dato",'[1]tabla dinámica pernocta'!$P$5,"categoría","Hoteleros","mes",5,"año",2008)</f>
        <v>47422</v>
      </c>
      <c r="E39" s="52">
        <f>GETPIVOTDATA("dato",'[1]tabla dinámica pernocta'!$P$5,"categoría","EXTRAHOTELEROS","mes",5,"año",2008)</f>
        <v>0</v>
      </c>
      <c r="F39" s="52">
        <f>GETPIVOTDATA("dato",'[1]tabla dinámica pernocta'!$P$5,"categoría","TOTAL","mes",5,"año",2008)</f>
        <v>47422</v>
      </c>
      <c r="G39" s="52">
        <f>GETPIVOTDATA("Suma de TOTAL HOTELERO",'[1]tabla dinámica pernocta'!$H$5,"PAIS/INDICADOR","PERNOCTACIONES","MES","5","AÑO",2008)</f>
        <v>1723796</v>
      </c>
      <c r="H39" s="52">
        <f>GETPIVOTDATA("Suma de Extrahoteleros",'[1]tabla dinámica pernocta'!$H$5,"PAIS/INDICADOR","PERNOCTACIONES","MES","5","AÑO",2008)</f>
        <v>1245031</v>
      </c>
      <c r="I39" s="52">
        <f>GETPIVOTDATA("Suma de TOTAL GENERAL",'[1]tabla dinámica pernocta'!$H$5,"PAIS/INDICADOR","PERNOCTACIONES","MES","5","AÑO",2008)</f>
        <v>2968827</v>
      </c>
    </row>
    <row r="40" spans="3:9" hidden="1" outlineLevel="1">
      <c r="C40" s="51" t="s">
        <v>46</v>
      </c>
      <c r="D40" s="52">
        <f>GETPIVOTDATA("dato",'[1]tabla dinámica pernocta'!$P$5,"categoría","Hoteleros","mes",4,"año",2008)</f>
        <v>42222</v>
      </c>
      <c r="E40" s="52">
        <f>GETPIVOTDATA("dato",'[1]tabla dinámica pernocta'!$P$5,"categoría","EXTRAHOTELEROS","mes",4,"año",2008)</f>
        <v>0</v>
      </c>
      <c r="F40" s="52">
        <f>GETPIVOTDATA("dato",'[1]tabla dinámica pernocta'!$P$5,"categoría","TOTAL","mes",4,"año",2008)</f>
        <v>42222</v>
      </c>
      <c r="G40" s="52">
        <f>GETPIVOTDATA("Suma de TOTAL HOTELERO",'[1]tabla dinámica pernocta'!$H$5,"PAIS/INDICADOR","PERNOCTACIONES","MES","4","AÑO",2008)</f>
        <v>1923829</v>
      </c>
      <c r="H40" s="52">
        <f>GETPIVOTDATA("Suma de Extrahoteleros",'[1]tabla dinámica pernocta'!$H$5,"PAIS/INDICADOR","PERNOCTACIONES","MES","4","AÑO",2008)</f>
        <v>1453361</v>
      </c>
      <c r="I40" s="52">
        <f>GETPIVOTDATA("Suma de TOTAL GENERAL",'[1]tabla dinámica pernocta'!$H$5,"PAIS/INDICADOR","PERNOCTACIONES","MES","4","AÑO",2008)</f>
        <v>3377190</v>
      </c>
    </row>
    <row r="41" spans="3:9" hidden="1" outlineLevel="1">
      <c r="C41" s="51" t="s">
        <v>47</v>
      </c>
      <c r="D41" s="52">
        <f>GETPIVOTDATA("dato",'[1]tabla dinámica pernocta'!$P$5,"categoría","Hoteleros","mes",3,"año",2008)</f>
        <v>48080</v>
      </c>
      <c r="E41" s="52">
        <f>GETPIVOTDATA("dato",'[1]tabla dinámica pernocta'!$P$5,"categoría","EXTRAHOTELEROS","mes",3,"año",2008)</f>
        <v>0</v>
      </c>
      <c r="F41" s="52">
        <f>GETPIVOTDATA("dato",'[1]tabla dinámica pernocta'!$P$5,"categoría","TOTAL","mes",3,"año",2008)</f>
        <v>48080</v>
      </c>
      <c r="G41" s="52">
        <f>GETPIVOTDATA("Suma de TOTAL HOTELERO",'[1]tabla dinámica pernocta'!$H$5,"PAIS/INDICADOR","PERNOCTACIONES","MES","3","AÑO",2008)</f>
        <v>2105874</v>
      </c>
      <c r="H41" s="52">
        <f>GETPIVOTDATA("Suma de Extrahoteleros",'[1]tabla dinámica pernocta'!$H$5,"PAIS/INDICADOR","PERNOCTACIONES","MES","3","AÑO",2008)</f>
        <v>1877380</v>
      </c>
      <c r="I41" s="52">
        <f>GETPIVOTDATA("Suma de TOTAL GENERAL",'[1]tabla dinámica pernocta'!$H$5,"PAIS/INDICADOR","PERNOCTACIONES","MES","3","AÑO",2008)</f>
        <v>3983254</v>
      </c>
    </row>
    <row r="42" spans="3:9" hidden="1" outlineLevel="1">
      <c r="C42" s="51" t="s">
        <v>48</v>
      </c>
      <c r="D42" s="52">
        <f>GETPIVOTDATA("dato",'[1]tabla dinámica pernocta'!$P$5,"categoría","Hoteleros","mes",2,"año",2008)</f>
        <v>48549</v>
      </c>
      <c r="E42" s="52">
        <f>GETPIVOTDATA("dato",'[1]tabla dinámica pernocta'!$P$5,"categoría","EXTRAHOTELEROS","mes",2,"año",2008)</f>
        <v>0</v>
      </c>
      <c r="F42" s="52">
        <f>GETPIVOTDATA("dato",'[1]tabla dinámica pernocta'!$P$5,"categoría","TOTAL","mes",2,"año",2008)</f>
        <v>48549</v>
      </c>
      <c r="G42" s="52">
        <f>GETPIVOTDATA("Suma de TOTAL HOTELERO",'[1]tabla dinámica pernocta'!$H$5,"PAIS/INDICADOR","PERNOCTACIONES","MES","2","AÑO",2008)</f>
        <v>1947683</v>
      </c>
      <c r="H42" s="52">
        <f>GETPIVOTDATA("Suma de Extrahoteleros",'[1]tabla dinámica pernocta'!$H$5,"PAIS/INDICADOR","PERNOCTACIONES","MES","2","AÑO",2008)</f>
        <v>1800723</v>
      </c>
      <c r="I42" s="52">
        <f>GETPIVOTDATA("Suma de TOTAL GENERAL",'[1]tabla dinámica pernocta'!$H$5,"PAIS/INDICADOR","PERNOCTACIONES","MES","2","AÑO",2008)</f>
        <v>3748406</v>
      </c>
    </row>
    <row r="43" spans="3:9" hidden="1" outlineLevel="1">
      <c r="C43" s="51" t="s">
        <v>49</v>
      </c>
      <c r="D43" s="52">
        <f>GETPIVOTDATA("dato",'[1]tabla dinámica pernocta'!$P$5,"categoría","Hoteleros","mes",1,"año",2008)</f>
        <v>43024</v>
      </c>
      <c r="E43" s="52">
        <f>GETPIVOTDATA("dato",'[1]tabla dinámica pernocta'!$P$5,"categoría","EXTRAHOTELEROS","mes",1,"año",2008)</f>
        <v>0</v>
      </c>
      <c r="F43" s="52">
        <f>GETPIVOTDATA("dato",'[1]tabla dinámica pernocta'!$P$5,"categoría","TOTAL","mes",1,"año",2008)</f>
        <v>43024</v>
      </c>
      <c r="G43" s="52">
        <f>GETPIVOTDATA("Suma de TOTAL HOTELERO",'[1]tabla dinámica pernocta'!$H$5,"PAIS/INDICADOR","PERNOCTACIONES","MES","1","AÑO",2008)</f>
        <v>2002887</v>
      </c>
      <c r="H43" s="52">
        <f>GETPIVOTDATA("Suma de Extrahoteleros",'[1]tabla dinámica pernocta'!$H$5,"PAIS/INDICADOR","PERNOCTACIONES","MES","1","AÑO",2008)</f>
        <v>1796915</v>
      </c>
      <c r="I43" s="52">
        <f>GETPIVOTDATA("Suma de TOTAL GENERAL",'[1]tabla dinámica pernocta'!$H$5,"PAIS/INDICADOR","PERNOCTACIONES","MES","1","AÑO",2008)</f>
        <v>3799802</v>
      </c>
    </row>
    <row r="44" spans="3:9" collapsed="1">
      <c r="C44" s="133">
        <v>2008</v>
      </c>
      <c r="D44" s="59">
        <f>GETPIVOTDATA("dato",'[1]tabla dinámica pernocta'!$P$5,"categoría","Hoteleros","año",2008)</f>
        <v>500445</v>
      </c>
      <c r="E44" s="59">
        <f>GETPIVOTDATA("dato",'[1]tabla dinámica pernocta'!$P$5,"categoría","EXTRAHOTELEROS","año",2008)</f>
        <v>0</v>
      </c>
      <c r="F44" s="59">
        <f>GETPIVOTDATA("dato",'[1]tabla dinámica pernocta'!$P$5,"categoría","TOTAL","año",2008)</f>
        <v>500445</v>
      </c>
      <c r="G44" s="59">
        <f>GETPIVOTDATA("Suma de TOTAL HOTELERO",'[1]tabla dinámica pernocta'!$H$5,"PAIS/INDICADOR","PERNOCTACIONES","AÑO",2008)</f>
        <v>23009399</v>
      </c>
      <c r="H44" s="59">
        <f>GETPIVOTDATA("Suma de Extrahoteleros",'[1]tabla dinámica pernocta'!$H$5,"PAIS/INDICADOR","PERNOCTACIONES","AÑO",2008)</f>
        <v>19052678</v>
      </c>
      <c r="I44" s="59">
        <f>GETPIVOTDATA("Suma de TOTAL GENERAL",'[1]tabla dinámica pernocta'!$H$5,"PAIS/INDICADOR","PERNOCTACIONES","AÑO",2008)</f>
        <v>42062077</v>
      </c>
    </row>
    <row r="45" spans="3:9" hidden="1" outlineLevel="1">
      <c r="C45" s="51" t="s">
        <v>38</v>
      </c>
      <c r="D45" s="52">
        <f>GETPIVOTDATA("dato",'[1]tabla dinámica pernocta'!$P$5,"categoría","Hoteleros","mes",12,"año",2007)</f>
        <v>41680</v>
      </c>
      <c r="E45" s="52">
        <f>GETPIVOTDATA("dato",'[1]tabla dinámica pernocta'!$P$5,"categoría","EXTRAHOTELEROS","mes",12,"año",2007)</f>
        <v>0</v>
      </c>
      <c r="F45" s="52">
        <f>GETPIVOTDATA("dato",'[1]tabla dinámica pernocta'!$P$5,"categoría","TOTAL","mes",12,"año",2007)</f>
        <v>41680</v>
      </c>
      <c r="G45" s="52">
        <f>GETPIVOTDATA("Suma de TOTAL HOTELERO",'[1]tabla dinámica pernocta'!$H$5,"PAIS/INDICADOR","PERNOCTACIONES","MES","12","AÑO",2007)</f>
        <v>1869007</v>
      </c>
      <c r="H45" s="52">
        <f>GETPIVOTDATA("Suma de Extrahoteleros",'[1]tabla dinámica pernocta'!$H$5,"PAIS/INDICADOR","PERNOCTACIONES","MES","12","AÑO",2007)</f>
        <v>1753739</v>
      </c>
      <c r="I45" s="52">
        <f>GETPIVOTDATA("Suma de TOTAL GENERAL",'[1]tabla dinámica pernocta'!$H$5,"PAIS/INDICADOR","PERNOCTACIONES","MES","12","AÑO",2007)</f>
        <v>3622746</v>
      </c>
    </row>
    <row r="46" spans="3:9" hidden="1" outlineLevel="1">
      <c r="C46" s="51" t="s">
        <v>39</v>
      </c>
      <c r="D46" s="52">
        <f>GETPIVOTDATA("dato",'[1]tabla dinámica pernocta'!$P$5,"categoría","Hoteleros","mes",11,"año",2007)</f>
        <v>43269</v>
      </c>
      <c r="E46" s="52">
        <f>GETPIVOTDATA("dato",'[1]tabla dinámica pernocta'!$P$5,"categoría","EXTRAHOTELEROS","mes",11,"año",2007)</f>
        <v>0</v>
      </c>
      <c r="F46" s="52">
        <f>GETPIVOTDATA("dato",'[1]tabla dinámica pernocta'!$P$5,"categoría","TOTAL","mes",11,"año",2007)</f>
        <v>43269</v>
      </c>
      <c r="G46" s="52">
        <f>GETPIVOTDATA("Suma de TOTAL HOTELERO",'[1]tabla dinámica pernocta'!$H$5,"PAIS/INDICADOR","PERNOCTACIONES","MES","11","AÑO",2007)</f>
        <v>1937410</v>
      </c>
      <c r="H46" s="52">
        <f>GETPIVOTDATA("Suma de Extrahoteleros",'[1]tabla dinámica pernocta'!$H$5,"PAIS/INDICADOR","PERNOCTACIONES","MES","11","AÑO",2007)</f>
        <v>1711889</v>
      </c>
      <c r="I46" s="52">
        <f>GETPIVOTDATA("Suma de TOTAL GENERAL",'[1]tabla dinámica pernocta'!$H$5,"PAIS/INDICADOR","PERNOCTACIONES","MES","11","AÑO",2007)</f>
        <v>3649299</v>
      </c>
    </row>
    <row r="47" spans="3:9" hidden="1" outlineLevel="1">
      <c r="C47" s="51" t="s">
        <v>40</v>
      </c>
      <c r="D47" s="52">
        <f>GETPIVOTDATA("dato",'[1]tabla dinámica pernocta'!$P$5,"categoría","Hoteleros","mes",10,"año",2007)</f>
        <v>43633</v>
      </c>
      <c r="E47" s="52">
        <f>GETPIVOTDATA("dato",'[1]tabla dinámica pernocta'!$P$5,"categoría","EXTRAHOTELEROS","mes",10,"año",2007)</f>
        <v>0</v>
      </c>
      <c r="F47" s="52">
        <f>GETPIVOTDATA("dato",'[1]tabla dinámica pernocta'!$P$5,"categoría","TOTAL","mes",10,"año",2007)</f>
        <v>43633</v>
      </c>
      <c r="G47" s="52">
        <f>GETPIVOTDATA("Suma de TOTAL HOTELERO",'[1]tabla dinámica pernocta'!$H$5,"PAIS/INDICADOR","PERNOCTACIONES","MES","10","AÑO",2007)</f>
        <v>1877076</v>
      </c>
      <c r="H47" s="52">
        <f>GETPIVOTDATA("Suma de Extrahoteleros",'[1]tabla dinámica pernocta'!$H$5,"PAIS/INDICADOR","PERNOCTACIONES","MES","10","AÑO",2007)</f>
        <v>1568699</v>
      </c>
      <c r="I47" s="52">
        <f>GETPIVOTDATA("Suma de TOTAL GENERAL",'[1]tabla dinámica pernocta'!$H$5,"PAIS/INDICADOR","PERNOCTACIONES","MES","10","AÑO",2007)</f>
        <v>3445775</v>
      </c>
    </row>
    <row r="48" spans="3:9" hidden="1" outlineLevel="1">
      <c r="C48" s="51" t="s">
        <v>41</v>
      </c>
      <c r="D48" s="52">
        <f>GETPIVOTDATA("dato",'[1]tabla dinámica pernocta'!$P$5,"categoría","Hoteleros","mes",9,"año",2007)</f>
        <v>36895</v>
      </c>
      <c r="E48" s="52">
        <f>GETPIVOTDATA("dato",'[1]tabla dinámica pernocta'!$P$5,"categoría","EXTRAHOTELEROS","mes",9,"año",2007)</f>
        <v>0</v>
      </c>
      <c r="F48" s="52">
        <f>GETPIVOTDATA("dato",'[1]tabla dinámica pernocta'!$P$5,"categoría","TOTAL","mes",9,"año",2007)</f>
        <v>36895</v>
      </c>
      <c r="G48" s="52">
        <f>GETPIVOTDATA("Suma de TOTAL HOTELERO",'[1]tabla dinámica pernocta'!$H$5,"PAIS/INDICADOR","PERNOCTACIONES","MES","9","AÑO",2007)</f>
        <v>1838273</v>
      </c>
      <c r="H48" s="52">
        <f>GETPIVOTDATA("Suma de Extrahoteleros",'[1]tabla dinámica pernocta'!$H$5,"PAIS/INDICADOR","PERNOCTACIONES","MES","9","AÑO",2007)</f>
        <v>1381300</v>
      </c>
      <c r="I48" s="52">
        <f>GETPIVOTDATA("Suma de TOTAL GENERAL",'[1]tabla dinámica pernocta'!$H$5,"PAIS/INDICADOR","PERNOCTACIONES","MES","9","AÑO",2007)</f>
        <v>3219573</v>
      </c>
    </row>
    <row r="49" spans="3:9" hidden="1" outlineLevel="1">
      <c r="C49" s="51" t="s">
        <v>42</v>
      </c>
      <c r="D49" s="52">
        <f>GETPIVOTDATA("dato",'[1]tabla dinámica pernocta'!$P$5,"categoría","Hoteleros","mes",8,"año",2007)</f>
        <v>27092</v>
      </c>
      <c r="E49" s="52">
        <f>GETPIVOTDATA("dato",'[1]tabla dinámica pernocta'!$P$5,"categoría","EXTRAHOTELEROS","mes",8,"año",2007)</f>
        <v>0</v>
      </c>
      <c r="F49" s="52">
        <f>GETPIVOTDATA("dato",'[1]tabla dinámica pernocta'!$P$5,"categoría","TOTAL","mes",8,"año",2007)</f>
        <v>27092</v>
      </c>
      <c r="G49" s="52">
        <f>GETPIVOTDATA("Suma de TOTAL HOTELERO",'[1]tabla dinámica pernocta'!$H$5,"PAIS/INDICADOR","PERNOCTACIONES","MES","8","AÑO",2007)</f>
        <v>2280363</v>
      </c>
      <c r="H49" s="52">
        <f>GETPIVOTDATA("Suma de Extrahoteleros",'[1]tabla dinámica pernocta'!$H$5,"PAIS/INDICADOR","PERNOCTACIONES","MES","8","AÑO",2007)</f>
        <v>1950001</v>
      </c>
      <c r="I49" s="52">
        <f>GETPIVOTDATA("Suma de TOTAL GENERAL",'[1]tabla dinámica pernocta'!$H$5,"PAIS/INDICADOR","PERNOCTACIONES","MES","8","AÑO",2007)</f>
        <v>4230364</v>
      </c>
    </row>
    <row r="50" spans="3:9" hidden="1" outlineLevel="1">
      <c r="C50" s="51" t="s">
        <v>43</v>
      </c>
      <c r="D50" s="52">
        <f>GETPIVOTDATA("dato",'[1]tabla dinámica pernocta'!$P$5,"categoría","Hoteleros","mes",7,"año",2007)</f>
        <v>41948</v>
      </c>
      <c r="E50" s="52">
        <f>GETPIVOTDATA("dato",'[1]tabla dinámica pernocta'!$P$5,"categoría","EXTRAHOTELEROS","mes",7,"año",2007)</f>
        <v>0</v>
      </c>
      <c r="F50" s="52">
        <f>GETPIVOTDATA("dato",'[1]tabla dinámica pernocta'!$P$5,"categoría","TOTAL","mes",7,"año",2007)</f>
        <v>41948</v>
      </c>
      <c r="G50" s="52">
        <f>GETPIVOTDATA("Suma de TOTAL HOTELERO",'[1]tabla dinámica pernocta'!$H$5,"PAIS/INDICADOR","PERNOCTACIONES","MES","7","AÑO",2007)</f>
        <v>2018666</v>
      </c>
      <c r="H50" s="52">
        <f>GETPIVOTDATA("Suma de Extrahoteleros",'[1]tabla dinámica pernocta'!$H$5,"PAIS/INDICADOR","PERNOCTACIONES","MES","7","AÑO",2007)</f>
        <v>1664074</v>
      </c>
      <c r="I50" s="52">
        <f>GETPIVOTDATA("Suma de TOTAL GENERAL",'[1]tabla dinámica pernocta'!$H$5,"PAIS/INDICADOR","PERNOCTACIONES","MES","7","AÑO",2007)</f>
        <v>3682740</v>
      </c>
    </row>
    <row r="51" spans="3:9" hidden="1" outlineLevel="1">
      <c r="C51" s="51" t="s">
        <v>44</v>
      </c>
      <c r="D51" s="52">
        <f>GETPIVOTDATA("dato",'[1]tabla dinámica pernocta'!$P$5,"categoría","Hoteleros","mes",6,"año",2007)</f>
        <v>42274</v>
      </c>
      <c r="E51" s="52">
        <f>GETPIVOTDATA("dato",'[1]tabla dinámica pernocta'!$P$5,"categoría","EXTRAHOTELEROS","mes",6,"año",2007)</f>
        <v>0</v>
      </c>
      <c r="F51" s="52">
        <f>GETPIVOTDATA("dato",'[1]tabla dinámica pernocta'!$P$5,"categoría","TOTAL","mes",6,"año",2007)</f>
        <v>42274</v>
      </c>
      <c r="G51" s="52">
        <f>GETPIVOTDATA("Suma de TOTAL HOTELERO",'[1]tabla dinámica pernocta'!$H$5,"PAIS/INDICADOR","PERNOCTACIONES","MES","6","AÑO",2007)</f>
        <v>1659440</v>
      </c>
      <c r="H51" s="52">
        <f>GETPIVOTDATA("Suma de Extrahoteleros",'[1]tabla dinámica pernocta'!$H$5,"PAIS/INDICADOR","PERNOCTACIONES","MES","6","AÑO",2007)</f>
        <v>1271993</v>
      </c>
      <c r="I51" s="52">
        <f>GETPIVOTDATA("Suma de TOTAL GENERAL",'[1]tabla dinámica pernocta'!$H$5,"PAIS/INDICADOR","PERNOCTACIONES","MES","6","AÑO",2007)</f>
        <v>2931433</v>
      </c>
    </row>
    <row r="52" spans="3:9" hidden="1" outlineLevel="1">
      <c r="C52" s="51" t="s">
        <v>45</v>
      </c>
      <c r="D52" s="52">
        <f>GETPIVOTDATA("dato",'[1]tabla dinámica pernocta'!$P$5,"categoría","Hoteleros","mes",5,"año",2007)</f>
        <v>43900</v>
      </c>
      <c r="E52" s="52">
        <f>GETPIVOTDATA("dato",'[1]tabla dinámica pernocta'!$P$5,"categoría","EXTRAHOTELEROS","mes",5,"año",2007)</f>
        <v>0</v>
      </c>
      <c r="F52" s="52">
        <f>GETPIVOTDATA("dato",'[1]tabla dinámica pernocta'!$P$5,"categoría","TOTAL","mes",5,"año",2007)</f>
        <v>43900</v>
      </c>
      <c r="G52" s="52">
        <f>GETPIVOTDATA("Suma de TOTAL HOTELERO",'[1]tabla dinámica pernocta'!$H$5,"PAIS/INDICADOR","PERNOCTACIONES","MES","5","AÑO",2007)</f>
        <v>1519768</v>
      </c>
      <c r="H52" s="52">
        <f>GETPIVOTDATA("Suma de Extrahoteleros",'[1]tabla dinámica pernocta'!$H$5,"PAIS/INDICADOR","PERNOCTACIONES","MES","5","AÑO",2007)</f>
        <v>1189772</v>
      </c>
      <c r="I52" s="52">
        <f>GETPIVOTDATA("Suma de TOTAL GENERAL",'[1]tabla dinámica pernocta'!$H$5,"PAIS/INDICADOR","PERNOCTACIONES","MES","5","AÑO",2007)</f>
        <v>2709540</v>
      </c>
    </row>
    <row r="53" spans="3:9" hidden="1" outlineLevel="1">
      <c r="C53" s="51" t="s">
        <v>46</v>
      </c>
      <c r="D53" s="52">
        <f>GETPIVOTDATA("dato",'[1]tabla dinámica pernocta'!$P$5,"categoría","Hoteleros","mes",4,"año",2007)</f>
        <v>44433</v>
      </c>
      <c r="E53" s="52">
        <f>GETPIVOTDATA("dato",'[1]tabla dinámica pernocta'!$P$5,"categoría","EXTRAHOTELEROS","mes",4,"año",2007)</f>
        <v>0</v>
      </c>
      <c r="F53" s="52">
        <f>GETPIVOTDATA("dato",'[1]tabla dinámica pernocta'!$P$5,"categoría","TOTAL","mes",4,"año",2007)</f>
        <v>44433</v>
      </c>
      <c r="G53" s="52">
        <f>GETPIVOTDATA("Suma de TOTAL HOTELERO",'[1]tabla dinámica pernocta'!$H$5,"PAIS/INDICADOR","PERNOCTACIONES","MES","4","AÑO",2007)</f>
        <v>1823925</v>
      </c>
      <c r="H53" s="52">
        <f>GETPIVOTDATA("Suma de Extrahoteleros",'[1]tabla dinámica pernocta'!$H$5,"PAIS/INDICADOR","PERNOCTACIONES","MES","4","AÑO",2007)</f>
        <v>1477352</v>
      </c>
      <c r="I53" s="52">
        <f>GETPIVOTDATA("Suma de TOTAL GENERAL",'[1]tabla dinámica pernocta'!$H$5,"PAIS/INDICADOR","PERNOCTACIONES","MES","4","AÑO",2007)</f>
        <v>3301277</v>
      </c>
    </row>
    <row r="54" spans="3:9" hidden="1" outlineLevel="1">
      <c r="C54" s="51" t="s">
        <v>47</v>
      </c>
      <c r="D54" s="52">
        <f>GETPIVOTDATA("dato",'[1]tabla dinámica pernocta'!$P$5,"categoría","Hoteleros","mes",3,"año",2007)</f>
        <v>49531</v>
      </c>
      <c r="E54" s="52">
        <f>GETPIVOTDATA("dato",'[1]tabla dinámica pernocta'!$P$5,"categoría","EXTRAHOTELEROS","mes",3,"año",2007)</f>
        <v>0</v>
      </c>
      <c r="F54" s="52">
        <f>GETPIVOTDATA("dato",'[1]tabla dinámica pernocta'!$P$5,"categoría","TOTAL","mes",3,"año",2007)</f>
        <v>49531</v>
      </c>
      <c r="G54" s="52">
        <f>GETPIVOTDATA("Suma de TOTAL HOTELERO",'[1]tabla dinámica pernocta'!$H$5,"PAIS/INDICADOR","PERNOCTACIONES","MES","3","AÑO",2007)</f>
        <v>2027566</v>
      </c>
      <c r="H54" s="52">
        <f>GETPIVOTDATA("Suma de Extrahoteleros",'[1]tabla dinámica pernocta'!$H$5,"PAIS/INDICADOR","PERNOCTACIONES","MES","3","AÑO",2007)</f>
        <v>1836382</v>
      </c>
      <c r="I54" s="52">
        <f>GETPIVOTDATA("Suma de TOTAL GENERAL",'[1]tabla dinámica pernocta'!$H$5,"PAIS/INDICADOR","PERNOCTACIONES","MES","3","AÑO",2007)</f>
        <v>3863948</v>
      </c>
    </row>
    <row r="55" spans="3:9" hidden="1" outlineLevel="1">
      <c r="C55" s="51" t="s">
        <v>48</v>
      </c>
      <c r="D55" s="52">
        <f>GETPIVOTDATA("dato",'[1]tabla dinámica pernocta'!$P$5,"categoría","Hoteleros","mes",2,"año",2007)</f>
        <v>40231</v>
      </c>
      <c r="E55" s="52">
        <f>GETPIVOTDATA("dato",'[1]tabla dinámica pernocta'!$P$5,"categoría","EXTRAHOTELEROS","mes",2,"año",2007)</f>
        <v>0</v>
      </c>
      <c r="F55" s="52">
        <f>GETPIVOTDATA("dato",'[1]tabla dinámica pernocta'!$P$5,"categoría","TOTAL","mes",2,"año",2007)</f>
        <v>40231</v>
      </c>
      <c r="G55" s="52">
        <f>GETPIVOTDATA("Suma de TOTAL HOTELERO",'[1]tabla dinámica pernocta'!$H$5,"PAIS/INDICADOR","PERNOCTACIONES","MES","2","AÑO",2007)</f>
        <v>1827432</v>
      </c>
      <c r="H55" s="52">
        <f>GETPIVOTDATA("Suma de Extrahoteleros",'[1]tabla dinámica pernocta'!$H$5,"PAIS/INDICADOR","PERNOCTACIONES","MES","2","AÑO",2007)</f>
        <v>1711352</v>
      </c>
      <c r="I55" s="52">
        <f>GETPIVOTDATA("Suma de TOTAL GENERAL",'[1]tabla dinámica pernocta'!$H$5,"PAIS/INDICADOR","PERNOCTACIONES","MES","2","AÑO",2007)</f>
        <v>3538784</v>
      </c>
    </row>
    <row r="56" spans="3:9" hidden="1" outlineLevel="1">
      <c r="C56" s="51" t="s">
        <v>49</v>
      </c>
      <c r="D56" s="52">
        <f>GETPIVOTDATA("dato",'[1]tabla dinámica pernocta'!$P$5,"categoría","Hoteleros","mes",1,"año",2007)</f>
        <v>38851</v>
      </c>
      <c r="E56" s="52">
        <f>GETPIVOTDATA("dato",'[1]tabla dinámica pernocta'!$P$5,"categoría","EXTRAHOTELEROS","mes",1,"año",2007)</f>
        <v>0</v>
      </c>
      <c r="F56" s="52">
        <f>GETPIVOTDATA("dato",'[1]tabla dinámica pernocta'!$P$5,"categoría","TOTAL","mes",1,"año",2007)</f>
        <v>38851</v>
      </c>
      <c r="G56" s="52">
        <f>GETPIVOTDATA("Suma de TOTAL HOTELERO",'[1]tabla dinámica pernocta'!$H$5,"PAIS/INDICADOR","PERNOCTACIONES","MES","1","AÑO",2007)</f>
        <v>1973306</v>
      </c>
      <c r="H56" s="52">
        <f>GETPIVOTDATA("Suma de Extrahoteleros",'[1]tabla dinámica pernocta'!$H$5,"PAIS/INDICADOR","PERNOCTACIONES","MES","1","AÑO",2007)</f>
        <v>1770317</v>
      </c>
      <c r="I56" s="52">
        <f>GETPIVOTDATA("Suma de TOTAL GENERAL",'[1]tabla dinámica pernocta'!$H$5,"PAIS/INDICADOR","PERNOCTACIONES","MES","1","AÑO",2007)</f>
        <v>3743623</v>
      </c>
    </row>
    <row r="57" spans="3:9" collapsed="1">
      <c r="C57" s="133">
        <v>2007</v>
      </c>
      <c r="D57" s="59">
        <f>GETPIVOTDATA("dato",'[1]tabla dinámica pernocta'!$P$5,"categoría","Hoteleros","año",2007)</f>
        <v>493737</v>
      </c>
      <c r="E57" s="59">
        <f>GETPIVOTDATA("dato",'[1]tabla dinámica pernocta'!$P$5,"categoría","EXTRAHOTELEROS","año",2007)</f>
        <v>0</v>
      </c>
      <c r="F57" s="59">
        <f>GETPIVOTDATA("dato",'[1]tabla dinámica pernocta'!$P$5,"categoría","TOTAL","año",2007)</f>
        <v>493737</v>
      </c>
      <c r="G57" s="59">
        <f>GETPIVOTDATA("Suma de TOTAL HOTELERO",'[1]tabla dinámica pernocta'!$H$5,"PAIS/INDICADOR","PERNOCTACIONES","AÑO",2007)</f>
        <v>22652232</v>
      </c>
      <c r="H57" s="59">
        <f>GETPIVOTDATA("Suma de Extrahoteleros",'[1]tabla dinámica pernocta'!$H$5,"PAIS/INDICADOR","PERNOCTACIONES","AÑO",2007)</f>
        <v>19286870</v>
      </c>
      <c r="I57" s="59">
        <f>GETPIVOTDATA("Suma de TOTAL GENERAL",'[1]tabla dinámica pernocta'!$H$5,"PAIS/INDICADOR","PERNOCTACIONES","AÑO",2007)</f>
        <v>41939102</v>
      </c>
    </row>
    <row r="58" spans="3:9" hidden="1" outlineLevel="1">
      <c r="C58" s="51" t="s">
        <v>38</v>
      </c>
      <c r="D58" s="52">
        <f>GETPIVOTDATA("dato",'[1]tabla dinámica pernocta'!$P$5,"categoría","Hoteleros","mes",12,"año",2006)</f>
        <v>45766</v>
      </c>
      <c r="E58" s="52">
        <f>GETPIVOTDATA("dato",'[1]tabla dinámica pernocta'!$P$5,"categoría","EXTRAHOTELEROS","mes",12,"año",2006)</f>
        <v>0</v>
      </c>
      <c r="F58" s="52">
        <f>GETPIVOTDATA("dato",'[1]tabla dinámica pernocta'!$P$5,"categoría","TOTAL","mes",12,"año",2006)</f>
        <v>45766</v>
      </c>
      <c r="G58" s="52">
        <f>GETPIVOTDATA("Suma de TOTAL HOTELERO",'[1]tabla dinámica pernocta'!$H$5,"PAIS/INDICADOR","PERNOCTACIONES","MES","12","AÑO",2006)</f>
        <v>1865255</v>
      </c>
      <c r="H58" s="52">
        <f>GETPIVOTDATA("Suma de Extrahoteleros",'[1]tabla dinámica pernocta'!$H$5,"PAIS/INDICADOR","PERNOCTACIONES","MES","12","AÑO",2006)</f>
        <v>1719381</v>
      </c>
      <c r="I58" s="52">
        <f>GETPIVOTDATA("Suma de TOTAL GENERAL",'[1]tabla dinámica pernocta'!$H$5,"PAIS/INDICADOR","PERNOCTACIONES","MES","12","AÑO",2006)</f>
        <v>3584636</v>
      </c>
    </row>
    <row r="59" spans="3:9" hidden="1" outlineLevel="1">
      <c r="C59" s="51" t="s">
        <v>39</v>
      </c>
      <c r="D59" s="52">
        <f>GETPIVOTDATA("dato",'[1]tabla dinámica pernocta'!$P$5,"categoría","Hoteleros","mes",11,"año",2006)</f>
        <v>45792</v>
      </c>
      <c r="E59" s="52">
        <f>GETPIVOTDATA("dato",'[1]tabla dinámica pernocta'!$P$5,"categoría","EXTRAHOTELEROS","mes",11,"año",2006)</f>
        <v>0</v>
      </c>
      <c r="F59" s="52">
        <f>GETPIVOTDATA("dato",'[1]tabla dinámica pernocta'!$P$5,"categoría","TOTAL","mes",11,"año",2006)</f>
        <v>45792</v>
      </c>
      <c r="G59" s="52">
        <f>GETPIVOTDATA("Suma de TOTAL HOTELERO",'[1]tabla dinámica pernocta'!$H$5,"PAIS/INDICADOR","PERNOCTACIONES","MES","11","AÑO",2006)</f>
        <v>1880839</v>
      </c>
      <c r="H59" s="52">
        <f>GETPIVOTDATA("Suma de Extrahoteleros",'[1]tabla dinámica pernocta'!$H$5,"PAIS/INDICADOR","PERNOCTACIONES","MES","11","AÑO",2006)</f>
        <v>1705102</v>
      </c>
      <c r="I59" s="52">
        <f>GETPIVOTDATA("Suma de TOTAL GENERAL",'[1]tabla dinámica pernocta'!$H$5,"PAIS/INDICADOR","PERNOCTACIONES","MES","11","AÑO",2006)</f>
        <v>3585941</v>
      </c>
    </row>
    <row r="60" spans="3:9" hidden="1" outlineLevel="1">
      <c r="C60" s="51" t="s">
        <v>40</v>
      </c>
      <c r="D60" s="52">
        <f>GETPIVOTDATA("dato",'[1]tabla dinámica pernocta'!$P$5,"categoría","Hoteleros","mes",10,"año",2006)</f>
        <v>40563</v>
      </c>
      <c r="E60" s="52">
        <f>GETPIVOTDATA("dato",'[1]tabla dinámica pernocta'!$P$5,"categoría","EXTRAHOTELEROS","mes",10,"año",2006)</f>
        <v>0</v>
      </c>
      <c r="F60" s="52">
        <f>GETPIVOTDATA("dato",'[1]tabla dinámica pernocta'!$P$5,"categoría","TOTAL","mes",10,"año",2006)</f>
        <v>40563</v>
      </c>
      <c r="G60" s="52">
        <f>GETPIVOTDATA("Suma de TOTAL HOTELERO",'[1]tabla dinámica pernocta'!$H$5,"PAIS/INDICADOR","PERNOCTACIONES","MES","10","AÑO",2006)</f>
        <v>1978651</v>
      </c>
      <c r="H60" s="52">
        <f>GETPIVOTDATA("Suma de Extrahoteleros",'[1]tabla dinámica pernocta'!$H$5,"PAIS/INDICADOR","PERNOCTACIONES","MES","10","AÑO",2006)</f>
        <v>1709972</v>
      </c>
      <c r="I60" s="52">
        <f>GETPIVOTDATA("Suma de TOTAL GENERAL",'[1]tabla dinámica pernocta'!$H$5,"PAIS/INDICADOR","PERNOCTACIONES","MES","10","AÑO",2006)</f>
        <v>3688623</v>
      </c>
    </row>
    <row r="61" spans="3:9" hidden="1" outlineLevel="1">
      <c r="C61" s="51" t="s">
        <v>41</v>
      </c>
      <c r="D61" s="52">
        <f>GETPIVOTDATA("dato",'[1]tabla dinámica pernocta'!$P$5,"categoría","Hoteleros","mes",9,"año",2006)</f>
        <v>38098</v>
      </c>
      <c r="E61" s="52">
        <f>GETPIVOTDATA("dato",'[1]tabla dinámica pernocta'!$P$5,"categoría","EXTRAHOTELEROS","mes",9,"año",2006)</f>
        <v>0</v>
      </c>
      <c r="F61" s="52">
        <f>GETPIVOTDATA("dato",'[1]tabla dinámica pernocta'!$P$5,"categoría","TOTAL","mes",9,"año",2006)</f>
        <v>38098</v>
      </c>
      <c r="G61" s="52">
        <f>GETPIVOTDATA("Suma de TOTAL HOTELERO",'[1]tabla dinámica pernocta'!$H$5,"PAIS/INDICADOR","PERNOCTACIONES","MES","9","AÑO",2006)</f>
        <v>1930805</v>
      </c>
      <c r="H61" s="52">
        <f>GETPIVOTDATA("Suma de Extrahoteleros",'[1]tabla dinámica pernocta'!$H$5,"PAIS/INDICADOR","PERNOCTACIONES","MES","9","AÑO",2006)</f>
        <v>1556414</v>
      </c>
      <c r="I61" s="52">
        <f>GETPIVOTDATA("Suma de TOTAL GENERAL",'[1]tabla dinámica pernocta'!$H$5,"PAIS/INDICADOR","PERNOCTACIONES","MES","9","AÑO",2006)</f>
        <v>3487219</v>
      </c>
    </row>
    <row r="62" spans="3:9" hidden="1" outlineLevel="1">
      <c r="C62" s="51" t="s">
        <v>42</v>
      </c>
      <c r="D62" s="52">
        <f>GETPIVOTDATA("dato",'[1]tabla dinámica pernocta'!$P$5,"categoría","Hoteleros","mes",8,"año",2006)</f>
        <v>32936</v>
      </c>
      <c r="E62" s="52">
        <f>GETPIVOTDATA("dato",'[1]tabla dinámica pernocta'!$P$5,"categoría","EXTRAHOTELEROS","mes",8,"año",2006)</f>
        <v>0</v>
      </c>
      <c r="F62" s="52">
        <f>GETPIVOTDATA("dato",'[1]tabla dinámica pernocta'!$P$5,"categoría","TOTAL","mes",8,"año",2006)</f>
        <v>32936</v>
      </c>
      <c r="G62" s="52">
        <f>GETPIVOTDATA("Suma de TOTAL HOTELERO",'[1]tabla dinámica pernocta'!$H$5,"PAIS/INDICADOR","PERNOCTACIONES","MES","8","AÑO",2006)</f>
        <v>2362959</v>
      </c>
      <c r="H62" s="52">
        <f>GETPIVOTDATA("Suma de Extrahoteleros",'[1]tabla dinámica pernocta'!$H$5,"PAIS/INDICADOR","PERNOCTACIONES","MES","8","AÑO",2006)</f>
        <v>2184766</v>
      </c>
      <c r="I62" s="52">
        <f>GETPIVOTDATA("Suma de TOTAL GENERAL",'[1]tabla dinámica pernocta'!$H$5,"PAIS/INDICADOR","PERNOCTACIONES","MES","8","AÑO",2006)</f>
        <v>4547725</v>
      </c>
    </row>
    <row r="63" spans="3:9" hidden="1" outlineLevel="1">
      <c r="C63" s="51" t="s">
        <v>43</v>
      </c>
      <c r="D63" s="52">
        <f>GETPIVOTDATA("dato",'[1]tabla dinámica pernocta'!$P$5,"categoría","Hoteleros","mes",7,"año",2006)</f>
        <v>36392</v>
      </c>
      <c r="E63" s="52">
        <f>GETPIVOTDATA("dato",'[1]tabla dinámica pernocta'!$P$5,"categoría","EXTRAHOTELEROS","mes",7,"año",2006)</f>
        <v>0</v>
      </c>
      <c r="F63" s="52">
        <f>GETPIVOTDATA("dato",'[1]tabla dinámica pernocta'!$P$5,"categoría","TOTAL","mes",7,"año",2006)</f>
        <v>36392</v>
      </c>
      <c r="G63" s="52">
        <f>GETPIVOTDATA("Suma de TOTAL HOTELERO",'[1]tabla dinámica pernocta'!$H$5,"PAIS/INDICADOR","PERNOCTACIONES","MES","7","AÑO",2006)</f>
        <v>2156068</v>
      </c>
      <c r="H63" s="52">
        <f>GETPIVOTDATA("Suma de Extrahoteleros",'[1]tabla dinámica pernocta'!$H$5,"PAIS/INDICADOR","PERNOCTACIONES","MES","7","AÑO",2006)</f>
        <v>1872001</v>
      </c>
      <c r="I63" s="52">
        <f>GETPIVOTDATA("Suma de TOTAL GENERAL",'[1]tabla dinámica pernocta'!$H$5,"PAIS/INDICADOR","PERNOCTACIONES","MES","7","AÑO",2006)</f>
        <v>4028069</v>
      </c>
    </row>
    <row r="64" spans="3:9" hidden="1" outlineLevel="1">
      <c r="C64" s="51" t="s">
        <v>44</v>
      </c>
      <c r="D64" s="52">
        <f>GETPIVOTDATA("dato",'[1]tabla dinámica pernocta'!$P$5,"categoría","Hoteleros","mes",6,"año",2006)</f>
        <v>35179</v>
      </c>
      <c r="E64" s="52">
        <f>GETPIVOTDATA("dato",'[1]tabla dinámica pernocta'!$P$5,"categoría","EXTRAHOTELEROS","mes",6,"año",2006)</f>
        <v>0</v>
      </c>
      <c r="F64" s="52">
        <f>GETPIVOTDATA("dato",'[1]tabla dinámica pernocta'!$P$5,"categoría","TOTAL","mes",6,"año",2006)</f>
        <v>35179</v>
      </c>
      <c r="G64" s="52">
        <f>GETPIVOTDATA("Suma de TOTAL HOTELERO",'[1]tabla dinámica pernocta'!$H$5,"PAIS/INDICADOR","PERNOCTACIONES","MES","6","AÑO",2006)</f>
        <v>1791427</v>
      </c>
      <c r="H64" s="52">
        <f>GETPIVOTDATA("Suma de Extrahoteleros",'[1]tabla dinámica pernocta'!$H$5,"PAIS/INDICADOR","PERNOCTACIONES","MES","6","AÑO",2006)</f>
        <v>1394601</v>
      </c>
      <c r="I64" s="52">
        <f>GETPIVOTDATA("Suma de TOTAL GENERAL",'[1]tabla dinámica pernocta'!$H$5,"PAIS/INDICADOR","PERNOCTACIONES","MES","6","AÑO",2006)</f>
        <v>3186028</v>
      </c>
    </row>
    <row r="65" spans="3:9" hidden="1" outlineLevel="1">
      <c r="C65" s="51" t="s">
        <v>45</v>
      </c>
      <c r="D65" s="52">
        <f>GETPIVOTDATA("dato",'[1]tabla dinámica pernocta'!$P$5,"categoría","Hoteleros","mes",5,"año",2006)</f>
        <v>34564</v>
      </c>
      <c r="E65" s="52">
        <f>GETPIVOTDATA("dato",'[1]tabla dinámica pernocta'!$P$5,"categoría","EXTRAHOTELEROS","mes",5,"año",2006)</f>
        <v>0</v>
      </c>
      <c r="F65" s="52">
        <f>GETPIVOTDATA("dato",'[1]tabla dinámica pernocta'!$P$5,"categoría","TOTAL","mes",5,"año",2006)</f>
        <v>34564</v>
      </c>
      <c r="G65" s="52">
        <f>GETPIVOTDATA("Suma de TOTAL HOTELERO",'[1]tabla dinámica pernocta'!$H$5,"PAIS/INDICADOR","PERNOCTACIONES","MES","5","AÑO",2006)</f>
        <v>1706910</v>
      </c>
      <c r="H65" s="52">
        <f>GETPIVOTDATA("Suma de Extrahoteleros",'[1]tabla dinámica pernocta'!$H$5,"PAIS/INDICADOR","PERNOCTACIONES","MES","5","AÑO",2006)</f>
        <v>1282619</v>
      </c>
      <c r="I65" s="52">
        <f>GETPIVOTDATA("Suma de TOTAL GENERAL",'[1]tabla dinámica pernocta'!$H$5,"PAIS/INDICADOR","PERNOCTACIONES","MES","5","AÑO",2006)</f>
        <v>2989529</v>
      </c>
    </row>
    <row r="66" spans="3:9" hidden="1" outlineLevel="1">
      <c r="C66" s="51" t="s">
        <v>46</v>
      </c>
      <c r="D66" s="52">
        <f>GETPIVOTDATA("dato",'[1]tabla dinámica pernocta'!$P$5,"categoría","Hoteleros","mes",4,"año",2006)</f>
        <v>37211</v>
      </c>
      <c r="E66" s="52">
        <f>GETPIVOTDATA("dato",'[1]tabla dinámica pernocta'!$P$5,"categoría","EXTRAHOTELEROS","mes",4,"año",2006)</f>
        <v>0</v>
      </c>
      <c r="F66" s="52">
        <f>GETPIVOTDATA("dato",'[1]tabla dinámica pernocta'!$P$5,"categoría","TOTAL","mes",4,"año",2006)</f>
        <v>37211</v>
      </c>
      <c r="G66" s="52">
        <f>GETPIVOTDATA("Suma de TOTAL HOTELERO",'[1]tabla dinámica pernocta'!$H$5,"PAIS/INDICADOR","PERNOCTACIONES","MES","4","AÑO",2006)</f>
        <v>1939020</v>
      </c>
      <c r="H66" s="52">
        <f>GETPIVOTDATA("Suma de Extrahoteleros",'[1]tabla dinámica pernocta'!$H$5,"PAIS/INDICADOR","PERNOCTACIONES","MES","4","AÑO",2006)</f>
        <v>1644781</v>
      </c>
      <c r="I66" s="52">
        <f>GETPIVOTDATA("Suma de TOTAL GENERAL",'[1]tabla dinámica pernocta'!$H$5,"PAIS/INDICADOR","PERNOCTACIONES","MES","4","AÑO",2006)</f>
        <v>3583801</v>
      </c>
    </row>
    <row r="67" spans="3:9" hidden="1" outlineLevel="1">
      <c r="C67" s="51" t="s">
        <v>47</v>
      </c>
      <c r="D67" s="52">
        <f>GETPIVOTDATA("dato",'[1]tabla dinámica pernocta'!$P$5,"categoría","Hoteleros","mes",3,"año",2006)</f>
        <v>43839</v>
      </c>
      <c r="E67" s="52">
        <f>GETPIVOTDATA("dato",'[1]tabla dinámica pernocta'!$P$5,"categoría","EXTRAHOTELEROS","mes",3,"año",2006)</f>
        <v>0</v>
      </c>
      <c r="F67" s="52">
        <f>GETPIVOTDATA("dato",'[1]tabla dinámica pernocta'!$P$5,"categoría","TOTAL","mes",3,"año",2006)</f>
        <v>43839</v>
      </c>
      <c r="G67" s="52">
        <f>GETPIVOTDATA("Suma de TOTAL HOTELERO",'[1]tabla dinámica pernocta'!$H$5,"PAIS/INDICADOR","PERNOCTACIONES","MES","3","AÑO",2006)</f>
        <v>2022679</v>
      </c>
      <c r="H67" s="52">
        <f>GETPIVOTDATA("Suma de Extrahoteleros",'[1]tabla dinámica pernocta'!$H$5,"PAIS/INDICADOR","PERNOCTACIONES","MES","3","AÑO",2006)</f>
        <v>1847245</v>
      </c>
      <c r="I67" s="52">
        <f>GETPIVOTDATA("Suma de TOTAL GENERAL",'[1]tabla dinámica pernocta'!$H$5,"PAIS/INDICADOR","PERNOCTACIONES","MES","3","AÑO",2006)</f>
        <v>3869924</v>
      </c>
    </row>
    <row r="68" spans="3:9" hidden="1" outlineLevel="1">
      <c r="C68" s="51" t="s">
        <v>48</v>
      </c>
      <c r="D68" s="52">
        <f>GETPIVOTDATA("dato",'[1]tabla dinámica pernocta'!$P$5,"categoría","Hoteleros","mes",2,"año",2006)</f>
        <v>43193</v>
      </c>
      <c r="E68" s="52">
        <f>GETPIVOTDATA("dato",'[1]tabla dinámica pernocta'!$P$5,"categoría","EXTRAHOTELEROS","mes",2,"año",2006)</f>
        <v>0</v>
      </c>
      <c r="F68" s="52">
        <f>GETPIVOTDATA("dato",'[1]tabla dinámica pernocta'!$P$5,"categoría","TOTAL","mes",2,"año",2006)</f>
        <v>43193</v>
      </c>
      <c r="G68" s="52">
        <f>GETPIVOTDATA("Suma de TOTAL HOTELERO",'[1]tabla dinámica pernocta'!$H$5,"PAIS/INDICADOR","PERNOCTACIONES","MES","2","AÑO",2006)</f>
        <v>1814387</v>
      </c>
      <c r="H68" s="52">
        <f>GETPIVOTDATA("Suma de Extrahoteleros",'[1]tabla dinámica pernocta'!$H$5,"PAIS/INDICADOR","PERNOCTACIONES","MES","2","AÑO",2006)</f>
        <v>1760280</v>
      </c>
      <c r="I68" s="52">
        <f>GETPIVOTDATA("Suma de TOTAL GENERAL",'[1]tabla dinámica pernocta'!$H$5,"PAIS/INDICADOR","PERNOCTACIONES","MES","2","AÑO",2006)</f>
        <v>3574667</v>
      </c>
    </row>
    <row r="69" spans="3:9" hidden="1" outlineLevel="1">
      <c r="C69" s="51" t="s">
        <v>49</v>
      </c>
      <c r="D69" s="52">
        <f>GETPIVOTDATA("dato",'[1]tabla dinámica pernocta'!$P$5,"categoría","Hoteleros","mes",1,"año",2006)</f>
        <v>33816</v>
      </c>
      <c r="E69" s="52">
        <f>GETPIVOTDATA("dato",'[1]tabla dinámica pernocta'!$P$5,"categoría","EXTRAHOTELEROS","mes",1,"año",2006)</f>
        <v>0</v>
      </c>
      <c r="F69" s="52">
        <f>GETPIVOTDATA("dato",'[1]tabla dinámica pernocta'!$P$5,"categoría","TOTAL","mes",1,"año",2006)</f>
        <v>33816</v>
      </c>
      <c r="G69" s="52">
        <f>GETPIVOTDATA("Suma de TOTAL HOTELERO",'[1]tabla dinámica pernocta'!$H$5,"PAIS/INDICADOR","PERNOCTACIONES","MES","1","AÑO",2006)</f>
        <v>1945285</v>
      </c>
      <c r="H69" s="52">
        <f>GETPIVOTDATA("Suma de Extrahoteleros",'[1]tabla dinámica pernocta'!$H$5,"PAIS/INDICADOR","PERNOCTACIONES","MES","1","AÑO",2006)</f>
        <v>1817118</v>
      </c>
      <c r="I69" s="52">
        <f>GETPIVOTDATA("Suma de TOTAL GENERAL",'[1]tabla dinámica pernocta'!$H$5,"PAIS/INDICADOR","PERNOCTACIONES","MES","1","AÑO",2006)</f>
        <v>3762403</v>
      </c>
    </row>
    <row r="70" spans="3:9" collapsed="1">
      <c r="C70" s="133">
        <v>2006</v>
      </c>
      <c r="D70" s="59">
        <f>GETPIVOTDATA("dato",'[1]tabla dinámica pernocta'!$P$5,"categoría","Hoteleros","año",2006)</f>
        <v>467349</v>
      </c>
      <c r="E70" s="59">
        <f>GETPIVOTDATA("dato",'[1]tabla dinámica pernocta'!$P$5,"categoría","EXTRAHOTELEROS","año",2006)</f>
        <v>0</v>
      </c>
      <c r="F70" s="59">
        <f>GETPIVOTDATA("dato",'[1]tabla dinámica pernocta'!$P$5,"categoría","TOTAL","año",2006)</f>
        <v>467349</v>
      </c>
      <c r="G70" s="59">
        <f>GETPIVOTDATA("Suma de TOTAL HOTELERO",'[1]tabla dinámica pernocta'!$H$5,"PAIS/INDICADOR","PERNOCTACIONES","AÑO",2006)</f>
        <v>23394285</v>
      </c>
      <c r="H70" s="59">
        <f>GETPIVOTDATA("Suma de Extrahoteleros",'[1]tabla dinámica pernocta'!$H$5,"PAIS/INDICADOR","PERNOCTACIONES","AÑO",2006)</f>
        <v>20494280</v>
      </c>
      <c r="I70" s="59">
        <f>GETPIVOTDATA("Suma de TOTAL GENERAL",'[1]tabla dinámica pernocta'!$H$5,"PAIS/INDICADOR","PERNOCTACIONES","AÑO",2006)</f>
        <v>43888565</v>
      </c>
    </row>
    <row r="71" spans="3:9">
      <c r="C71" s="135" t="s">
        <v>78</v>
      </c>
      <c r="D71" s="136"/>
      <c r="E71" s="136"/>
      <c r="F71" s="136"/>
      <c r="G71" s="136"/>
      <c r="H71" s="136"/>
      <c r="I71" s="137"/>
    </row>
  </sheetData>
  <mergeCells count="5">
    <mergeCell ref="C3:I3"/>
    <mergeCell ref="C4:C5"/>
    <mergeCell ref="D4:F4"/>
    <mergeCell ref="G4:I4"/>
    <mergeCell ref="C71:I7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C2:I58"/>
  <sheetViews>
    <sheetView showGridLines="0" showRowColHeaders="0" zoomScaleNormal="100" workbookViewId="0">
      <selection activeCell="I13" sqref="I13"/>
    </sheetView>
  </sheetViews>
  <sheetFormatPr baseColWidth="10" defaultRowHeight="15" outlineLevelRow="1"/>
  <cols>
    <col min="1" max="1" width="14.7109375" style="120" customWidth="1"/>
    <col min="2" max="4" width="11.42578125" style="120"/>
    <col min="5" max="5" width="13.85546875" style="120" customWidth="1"/>
    <col min="6" max="7" width="11.42578125" style="120"/>
    <col min="8" max="8" width="14.28515625" style="120" customWidth="1"/>
    <col min="9" max="16384" width="11.42578125" style="120"/>
  </cols>
  <sheetData>
    <row r="2" spans="3:9" ht="44.25" customHeight="1"/>
    <row r="3" spans="3:9" ht="27" customHeight="1">
      <c r="C3" s="121" t="s">
        <v>224</v>
      </c>
      <c r="D3" s="121"/>
      <c r="E3" s="121"/>
      <c r="F3" s="121"/>
      <c r="G3" s="121"/>
      <c r="H3" s="121"/>
      <c r="I3" s="121"/>
    </row>
    <row r="4" spans="3:9" ht="15" customHeight="1">
      <c r="C4" s="122"/>
      <c r="D4" s="123" t="s">
        <v>89</v>
      </c>
      <c r="E4" s="124"/>
      <c r="F4" s="124"/>
      <c r="G4" s="123" t="s">
        <v>92</v>
      </c>
      <c r="H4" s="124"/>
      <c r="I4" s="124"/>
    </row>
    <row r="5" spans="3:9" ht="30">
      <c r="C5" s="126"/>
      <c r="D5" s="127" t="s">
        <v>93</v>
      </c>
      <c r="E5" s="127" t="s">
        <v>94</v>
      </c>
      <c r="F5" s="127" t="s">
        <v>70</v>
      </c>
      <c r="G5" s="127" t="s">
        <v>95</v>
      </c>
      <c r="H5" s="127" t="s">
        <v>94</v>
      </c>
      <c r="I5" s="127" t="s">
        <v>37</v>
      </c>
    </row>
    <row r="6" spans="3:9" hidden="1">
      <c r="C6" s="51" t="s">
        <v>38</v>
      </c>
      <c r="D6" s="186" t="str">
        <f>IFERROR('Tablas PERNOCTA zona'!D6/'Tablas PERNOCTA zona'!D19-1,"-")</f>
        <v>-</v>
      </c>
      <c r="E6" s="186" t="str">
        <f>IFERROR('Tablas PERNOCTA zona'!E6/'Tablas PERNOCTA zona'!E19-1,"-")</f>
        <v>-</v>
      </c>
      <c r="F6" s="186" t="str">
        <f>IFERROR('Tablas PERNOCTA zona'!F6/'Tablas PERNOCTA zona'!F19-1,"-")</f>
        <v>-</v>
      </c>
      <c r="G6" s="186" t="str">
        <f>IFERROR('Tablas PERNOCTA zona'!G6/'Tablas PERNOCTA zona'!G19-1,"-")</f>
        <v>-</v>
      </c>
      <c r="H6" s="186" t="str">
        <f>IFERROR('Tablas PERNOCTA zona'!H6/'Tablas PERNOCTA zona'!H19-1,"-")</f>
        <v>-</v>
      </c>
      <c r="I6" s="186" t="str">
        <f>IFERROR('Tablas PERNOCTA zona'!I6/'Tablas PERNOCTA zona'!I19-1,"-")</f>
        <v>-</v>
      </c>
    </row>
    <row r="7" spans="3:9" hidden="1">
      <c r="C7" s="51" t="s">
        <v>39</v>
      </c>
      <c r="D7" s="186" t="str">
        <f>IFERROR('Tablas PERNOCTA zona'!D7/'Tablas PERNOCTA zona'!D20-1,"-")</f>
        <v>-</v>
      </c>
      <c r="E7" s="186" t="str">
        <f>IFERROR('Tablas PERNOCTA zona'!E7/'Tablas PERNOCTA zona'!E20-1,"-")</f>
        <v>-</v>
      </c>
      <c r="F7" s="186" t="str">
        <f>IFERROR('Tablas PERNOCTA zona'!F7/'Tablas PERNOCTA zona'!F20-1,"-")</f>
        <v>-</v>
      </c>
      <c r="G7" s="186" t="str">
        <f>IFERROR('Tablas PERNOCTA zona'!G7/'Tablas PERNOCTA zona'!G20-1,"-")</f>
        <v>-</v>
      </c>
      <c r="H7" s="186" t="str">
        <f>IFERROR('Tablas PERNOCTA zona'!H7/'Tablas PERNOCTA zona'!H20-1,"-")</f>
        <v>-</v>
      </c>
      <c r="I7" s="186" t="str">
        <f>IFERROR('Tablas PERNOCTA zona'!I7/'Tablas PERNOCTA zona'!I20-1,"-")</f>
        <v>-</v>
      </c>
    </row>
    <row r="8" spans="3:9" hidden="1">
      <c r="C8" s="51" t="s">
        <v>40</v>
      </c>
      <c r="D8" s="186" t="str">
        <f>IFERROR('Tablas PERNOCTA zona'!D8/'Tablas PERNOCTA zona'!D21-1,"-")</f>
        <v>-</v>
      </c>
      <c r="E8" s="186" t="str">
        <f>IFERROR('Tablas PERNOCTA zona'!E8/'Tablas PERNOCTA zona'!E21-1,"-")</f>
        <v>-</v>
      </c>
      <c r="F8" s="186" t="str">
        <f>IFERROR('Tablas PERNOCTA zona'!F8/'Tablas PERNOCTA zona'!F21-1,"-")</f>
        <v>-</v>
      </c>
      <c r="G8" s="186" t="str">
        <f>IFERROR('Tablas PERNOCTA zona'!G8/'Tablas PERNOCTA zona'!G21-1,"-")</f>
        <v>-</v>
      </c>
      <c r="H8" s="186" t="str">
        <f>IFERROR('Tablas PERNOCTA zona'!H8/'Tablas PERNOCTA zona'!H21-1,"-")</f>
        <v>-</v>
      </c>
      <c r="I8" s="186" t="str">
        <f>IFERROR('Tablas PERNOCTA zona'!I8/'Tablas PERNOCTA zona'!I21-1,"-")</f>
        <v>-</v>
      </c>
    </row>
    <row r="9" spans="3:9" hidden="1">
      <c r="C9" s="51" t="s">
        <v>41</v>
      </c>
      <c r="D9" s="186" t="str">
        <f>IFERROR('Tablas PERNOCTA zona'!D9/'Tablas PERNOCTA zona'!D22-1,"-")</f>
        <v>-</v>
      </c>
      <c r="E9" s="186" t="str">
        <f>IFERROR('Tablas PERNOCTA zona'!E9/'Tablas PERNOCTA zona'!E22-1,"-")</f>
        <v>-</v>
      </c>
      <c r="F9" s="186" t="str">
        <f>IFERROR('Tablas PERNOCTA zona'!F9/'Tablas PERNOCTA zona'!F22-1,"-")</f>
        <v>-</v>
      </c>
      <c r="G9" s="186" t="str">
        <f>IFERROR('Tablas PERNOCTA zona'!G9/'Tablas PERNOCTA zona'!G22-1,"-")</f>
        <v>-</v>
      </c>
      <c r="H9" s="186" t="str">
        <f>IFERROR('Tablas PERNOCTA zona'!H9/'Tablas PERNOCTA zona'!H22-1,"-")</f>
        <v>-</v>
      </c>
      <c r="I9" s="186" t="str">
        <f>IFERROR('Tablas PERNOCTA zona'!I9/'Tablas PERNOCTA zona'!I22-1,"-")</f>
        <v>-</v>
      </c>
    </row>
    <row r="10" spans="3:9" hidden="1">
      <c r="C10" s="51" t="s">
        <v>42</v>
      </c>
      <c r="D10" s="186" t="str">
        <f>IFERROR('Tablas PERNOCTA zona'!D10/'Tablas PERNOCTA zona'!D23-1,"-")</f>
        <v>-</v>
      </c>
      <c r="E10" s="186" t="str">
        <f>IFERROR('Tablas PERNOCTA zona'!E10/'Tablas PERNOCTA zona'!E23-1,"-")</f>
        <v>-</v>
      </c>
      <c r="F10" s="186" t="str">
        <f>IFERROR('Tablas PERNOCTA zona'!F10/'Tablas PERNOCTA zona'!F23-1,"-")</f>
        <v>-</v>
      </c>
      <c r="G10" s="186" t="str">
        <f>IFERROR('Tablas PERNOCTA zona'!G10/'Tablas PERNOCTA zona'!G23-1,"-")</f>
        <v>-</v>
      </c>
      <c r="H10" s="186" t="str">
        <f>IFERROR('Tablas PERNOCTA zona'!H10/'Tablas PERNOCTA zona'!H23-1,"-")</f>
        <v>-</v>
      </c>
      <c r="I10" s="186" t="str">
        <f>IFERROR('Tablas PERNOCTA zona'!I10/'Tablas PERNOCTA zona'!I23-1,"-")</f>
        <v>-</v>
      </c>
    </row>
    <row r="11" spans="3:9">
      <c r="C11" s="51" t="s">
        <v>43</v>
      </c>
      <c r="D11" s="186">
        <f>IFERROR('Tablas PERNOCTA zona'!D11/'Tablas PERNOCTA zona'!D24-1,"-")</f>
        <v>-0.15869405722670582</v>
      </c>
      <c r="E11" s="186" t="str">
        <f>IFERROR('Tablas PERNOCTA zona'!E11/'Tablas PERNOCTA zona'!E24-1,"-")</f>
        <v>-</v>
      </c>
      <c r="F11" s="186">
        <f>IFERROR('Tablas PERNOCTA zona'!F11/'Tablas PERNOCTA zona'!F24-1,"-")</f>
        <v>-0.15869405722670582</v>
      </c>
      <c r="G11" s="186">
        <f>IFERROR('Tablas PERNOCTA zona'!G11/'Tablas PERNOCTA zona'!G24-1,"-")</f>
        <v>3.2678718360957593E-2</v>
      </c>
      <c r="H11" s="186">
        <f>IFERROR('Tablas PERNOCTA zona'!H11/'Tablas PERNOCTA zona'!H24-1,"-")</f>
        <v>1.1332522440906434E-2</v>
      </c>
      <c r="I11" s="186">
        <f>IFERROR('Tablas PERNOCTA zona'!I11/'Tablas PERNOCTA zona'!I24-1,"-")</f>
        <v>2.3377128292525029E-2</v>
      </c>
    </row>
    <row r="12" spans="3:9">
      <c r="C12" s="51" t="s">
        <v>44</v>
      </c>
      <c r="D12" s="186">
        <f>IFERROR('Tablas PERNOCTA zona'!D12/'Tablas PERNOCTA zona'!D25-1,"-")</f>
        <v>-7.0279695395345509E-2</v>
      </c>
      <c r="E12" s="186" t="str">
        <f>IFERROR('Tablas PERNOCTA zona'!E12/'Tablas PERNOCTA zona'!E25-1,"-")</f>
        <v>-</v>
      </c>
      <c r="F12" s="186">
        <f>IFERROR('Tablas PERNOCTA zona'!F12/'Tablas PERNOCTA zona'!F25-1,"-")</f>
        <v>-7.0279695395345509E-2</v>
      </c>
      <c r="G12" s="186">
        <f>IFERROR('Tablas PERNOCTA zona'!G12/'Tablas PERNOCTA zona'!G25-1,"-")</f>
        <v>5.1398941719275948E-2</v>
      </c>
      <c r="H12" s="186">
        <f>IFERROR('Tablas PERNOCTA zona'!H12/'Tablas PERNOCTA zona'!H25-1,"-")</f>
        <v>1.498549373121949E-2</v>
      </c>
      <c r="I12" s="186">
        <f>IFERROR('Tablas PERNOCTA zona'!I12/'Tablas PERNOCTA zona'!I25-1,"-")</f>
        <v>3.607557089287261E-2</v>
      </c>
    </row>
    <row r="13" spans="3:9">
      <c r="C13" s="51" t="s">
        <v>45</v>
      </c>
      <c r="D13" s="186">
        <f>IFERROR('Tablas PERNOCTA zona'!D13/'Tablas PERNOCTA zona'!D26-1,"-")</f>
        <v>-0.16008095285491519</v>
      </c>
      <c r="E13" s="186" t="str">
        <f>IFERROR('Tablas PERNOCTA zona'!E13/'Tablas PERNOCTA zona'!E26-1,"-")</f>
        <v>-</v>
      </c>
      <c r="F13" s="186">
        <f>IFERROR('Tablas PERNOCTA zona'!F13/'Tablas PERNOCTA zona'!F26-1,"-")</f>
        <v>-0.16008095285491519</v>
      </c>
      <c r="G13" s="186">
        <f>IFERROR('Tablas PERNOCTA zona'!G13/'Tablas PERNOCTA zona'!G26-1,"-")</f>
        <v>5.0602859356292607E-2</v>
      </c>
      <c r="H13" s="186">
        <f>IFERROR('Tablas PERNOCTA zona'!H13/'Tablas PERNOCTA zona'!H26-1,"-")</f>
        <v>-3.6240739707019909E-2</v>
      </c>
      <c r="I13" s="186">
        <f>IFERROR('Tablas PERNOCTA zona'!I13/'Tablas PERNOCTA zona'!I26-1,"-")</f>
        <v>1.4648129592242709E-2</v>
      </c>
    </row>
    <row r="14" spans="3:9">
      <c r="C14" s="51" t="s">
        <v>46</v>
      </c>
      <c r="D14" s="186">
        <f>IFERROR('Tablas PERNOCTA zona'!D14/'Tablas PERNOCTA zona'!D27-1,"-")</f>
        <v>-7.6649797231625127E-2</v>
      </c>
      <c r="E14" s="186" t="str">
        <f>IFERROR('Tablas PERNOCTA zona'!E14/'Tablas PERNOCTA zona'!E27-1,"-")</f>
        <v>-</v>
      </c>
      <c r="F14" s="186">
        <f>IFERROR('Tablas PERNOCTA zona'!F14/'Tablas PERNOCTA zona'!F27-1,"-")</f>
        <v>-7.6649797231625127E-2</v>
      </c>
      <c r="G14" s="186">
        <f>IFERROR('Tablas PERNOCTA zona'!G14/'Tablas PERNOCTA zona'!G27-1,"-")</f>
        <v>-4.3537178933474419E-2</v>
      </c>
      <c r="H14" s="186">
        <f>IFERROR('Tablas PERNOCTA zona'!H14/'Tablas PERNOCTA zona'!H27-1,"-")</f>
        <v>-0.11184014174623491</v>
      </c>
      <c r="I14" s="186">
        <f>IFERROR('Tablas PERNOCTA zona'!I14/'Tablas PERNOCTA zona'!I27-1,"-")</f>
        <v>-7.3257212835748375E-2</v>
      </c>
    </row>
    <row r="15" spans="3:9">
      <c r="C15" s="51" t="s">
        <v>47</v>
      </c>
      <c r="D15" s="186">
        <f>IFERROR('Tablas PERNOCTA zona'!D15/'Tablas PERNOCTA zona'!D28-1,"-")</f>
        <v>-0.22362535457124155</v>
      </c>
      <c r="E15" s="186" t="str">
        <f>IFERROR('Tablas PERNOCTA zona'!E15/'Tablas PERNOCTA zona'!E28-1,"-")</f>
        <v>-</v>
      </c>
      <c r="F15" s="186">
        <f>IFERROR('Tablas PERNOCTA zona'!F15/'Tablas PERNOCTA zona'!F28-1,"-")</f>
        <v>-0.22362535457124155</v>
      </c>
      <c r="G15" s="186">
        <f>IFERROR('Tablas PERNOCTA zona'!G15/'Tablas PERNOCTA zona'!G28-1,"-")</f>
        <v>9.9710227460159118E-3</v>
      </c>
      <c r="H15" s="186">
        <f>IFERROR('Tablas PERNOCTA zona'!H15/'Tablas PERNOCTA zona'!H28-1,"-")</f>
        <v>-7.9926731742644308E-2</v>
      </c>
      <c r="I15" s="186">
        <f>IFERROR('Tablas PERNOCTA zona'!I15/'Tablas PERNOCTA zona'!I28-1,"-")</f>
        <v>-3.2647373846854788E-2</v>
      </c>
    </row>
    <row r="16" spans="3:9">
      <c r="C16" s="51" t="s">
        <v>48</v>
      </c>
      <c r="D16" s="186">
        <f>IFERROR('Tablas PERNOCTA zona'!D16/'Tablas PERNOCTA zona'!D29-1,"-")</f>
        <v>-0.11819825325287092</v>
      </c>
      <c r="E16" s="186" t="str">
        <f>IFERROR('Tablas PERNOCTA zona'!E16/'Tablas PERNOCTA zona'!E29-1,"-")</f>
        <v>-</v>
      </c>
      <c r="F16" s="186">
        <f>IFERROR('Tablas PERNOCTA zona'!F16/'Tablas PERNOCTA zona'!F29-1,"-")</f>
        <v>-0.11819825325287092</v>
      </c>
      <c r="G16" s="186">
        <f>IFERROR('Tablas PERNOCTA zona'!G16/'Tablas PERNOCTA zona'!G29-1,"-")</f>
        <v>1.4431404593052255E-2</v>
      </c>
      <c r="H16" s="186">
        <f>IFERROR('Tablas PERNOCTA zona'!H16/'Tablas PERNOCTA zona'!H29-1,"-")</f>
        <v>-8.1158777374745084E-2</v>
      </c>
      <c r="I16" s="186">
        <f>IFERROR('Tablas PERNOCTA zona'!I16/'Tablas PERNOCTA zona'!I29-1,"-")</f>
        <v>-3.0898829095330149E-2</v>
      </c>
    </row>
    <row r="17" spans="3:9">
      <c r="C17" s="51" t="s">
        <v>49</v>
      </c>
      <c r="D17" s="186">
        <f>IFERROR('Tablas PERNOCTA zona'!D17/'Tablas PERNOCTA zona'!D30-1,"-")</f>
        <v>-0.13141696230934841</v>
      </c>
      <c r="E17" s="186" t="str">
        <f>IFERROR('Tablas PERNOCTA zona'!E17/'Tablas PERNOCTA zona'!E30-1,"-")</f>
        <v>-</v>
      </c>
      <c r="F17" s="186">
        <f>IFERROR('Tablas PERNOCTA zona'!F17/'Tablas PERNOCTA zona'!F30-1,"-")</f>
        <v>-0.13141696230934841</v>
      </c>
      <c r="G17" s="186">
        <f>IFERROR('Tablas PERNOCTA zona'!G17/'Tablas PERNOCTA zona'!G30-1,"-")</f>
        <v>-2.4103216399638305E-2</v>
      </c>
      <c r="H17" s="186">
        <f>IFERROR('Tablas PERNOCTA zona'!H17/'Tablas PERNOCTA zona'!H30-1,"-")</f>
        <v>-9.366156117085922E-2</v>
      </c>
      <c r="I17" s="186">
        <f>IFERROR('Tablas PERNOCTA zona'!I17/'Tablas PERNOCTA zona'!I30-1,"-")</f>
        <v>-5.6395205550938021E-2</v>
      </c>
    </row>
    <row r="18" spans="3:9" ht="30">
      <c r="C18" s="69" t="s">
        <v>55</v>
      </c>
      <c r="D18" s="317">
        <f>IFERROR(('Tablas PERNOCTA zona'!D17+'Tablas PERNOCTA zona'!D16+'Tablas PERNOCTA zona'!D15+'Tablas PERNOCTA zona'!D14+'Tablas PERNOCTA zona'!D13+'Tablas PERNOCTA zona'!D12+'Tablas PERNOCTA zona'!D11)/('Tablas PERNOCTA zona'!D28+'Tablas PERNOCTA zona'!D29+'Tablas PERNOCTA zona'!D30+'Tablas PERNOCTA zona'!D27+'Tablas PERNOCTA zona'!D26+'Tablas PERNOCTA zona'!D25+'Tablas PERNOCTA zona'!D24)-1,"-")</f>
        <v>-0.13639768835616439</v>
      </c>
      <c r="E18" s="317" t="str">
        <f>IFERROR(('Tablas PERNOCTA zona'!E17+'Tablas PERNOCTA zona'!E16+'Tablas PERNOCTA zona'!E15+'Tablas PERNOCTA zona'!E14+'Tablas PERNOCTA zona'!E13+'Tablas PERNOCTA zona'!E12+'Tablas PERNOCTA zona'!E11)/('Tablas PERNOCTA zona'!E28+'Tablas PERNOCTA zona'!E29+'Tablas PERNOCTA zona'!E30+'Tablas PERNOCTA zona'!E27+'Tablas PERNOCTA zona'!E26+'Tablas PERNOCTA zona'!E25+'Tablas PERNOCTA zona'!E24)-1,"-")</f>
        <v>-</v>
      </c>
      <c r="F18" s="317">
        <f>IFERROR(('Tablas PERNOCTA zona'!F17+'Tablas PERNOCTA zona'!F16+'Tablas PERNOCTA zona'!F15+'Tablas PERNOCTA zona'!F14+'Tablas PERNOCTA zona'!F13+'Tablas PERNOCTA zona'!F12+'Tablas PERNOCTA zona'!F11)/('Tablas PERNOCTA zona'!F28+'Tablas PERNOCTA zona'!F29+'Tablas PERNOCTA zona'!F30+'Tablas PERNOCTA zona'!F27+'Tablas PERNOCTA zona'!F26+'Tablas PERNOCTA zona'!F25+'Tablas PERNOCTA zona'!F24)-1,"-")</f>
        <v>-0.13639768835616439</v>
      </c>
      <c r="G18" s="317">
        <f>IFERROR(('Tablas PERNOCTA zona'!G15+'Tablas PERNOCTA zona'!G16+'Tablas PERNOCTA zona'!G17+'Tablas PERNOCTA zona'!G16+'Tablas PERNOCTA zona'!G15+'Tablas PERNOCTA zona'!G14)/('Tablas PERNOCTA zona'!G28+'Tablas PERNOCTA zona'!G29+'Tablas PERNOCTA zona'!G30+'Tablas PERNOCTA zona'!G27+'Tablas PERNOCTA zona'!G26+'Tablas PERNOCTA zona'!G25)-1,"-")</f>
        <v>4.5149466280308026E-2</v>
      </c>
      <c r="H18" s="317">
        <f>IFERROR(('Tablas PERNOCTA zona'!H15+'Tablas PERNOCTA zona'!H16+'Tablas PERNOCTA zona'!H17+'Tablas PERNOCTA zona'!H16+'Tablas PERNOCTA zona'!H15+'Tablas PERNOCTA zona'!H14)/('Tablas PERNOCTA zona'!H28+'Tablas PERNOCTA zona'!H29+'Tablas PERNOCTA zona'!H30+'Tablas PERNOCTA zona'!H27+'Tablas PERNOCTA zona'!H26+'Tablas PERNOCTA zona'!H25)-1,"-")</f>
        <v>2.2995894050640286E-2</v>
      </c>
      <c r="I18" s="317">
        <f>IFERROR(('Tablas PERNOCTA zona'!I15+'Tablas PERNOCTA zona'!I16+'Tablas PERNOCTA zona'!I17+'Tablas PERNOCTA zona'!I16+'Tablas PERNOCTA zona'!I15+'Tablas PERNOCTA zona'!I14)/('Tablas PERNOCTA zona'!I28+'Tablas PERNOCTA zona'!I29+'Tablas PERNOCTA zona'!I30+'Tablas PERNOCTA zona'!I27+'Tablas PERNOCTA zona'!I26+'Tablas PERNOCTA zona'!I25)-1,"-")</f>
        <v>3.5182298627510544E-2</v>
      </c>
    </row>
    <row r="19" spans="3:9" hidden="1" outlineLevel="1">
      <c r="C19" s="51" t="s">
        <v>38</v>
      </c>
      <c r="D19" s="186">
        <f>IFERROR('Tablas PERNOCTA zona'!D19/'Tablas PERNOCTA zona'!D32-1,"-")</f>
        <v>-5.4810312303500308E-2</v>
      </c>
      <c r="E19" s="186" t="str">
        <f>IFERROR('Tablas PERNOCTA zona'!E19/'Tablas PERNOCTA zona'!E32-1,"-")</f>
        <v>-</v>
      </c>
      <c r="F19" s="186">
        <f>IFERROR('Tablas PERNOCTA zona'!F19/'Tablas PERNOCTA zona'!F32-1,"-")</f>
        <v>-5.4810312303500308E-2</v>
      </c>
      <c r="G19" s="186">
        <f>IFERROR('Tablas PERNOCTA zona'!G19/'Tablas PERNOCTA zona'!G32-1,"-")</f>
        <v>-7.711478263106708E-2</v>
      </c>
      <c r="H19" s="186">
        <f>IFERROR('Tablas PERNOCTA zona'!H19/'Tablas PERNOCTA zona'!H32-1,"-")</f>
        <v>-0.12739845041822406</v>
      </c>
      <c r="I19" s="186">
        <f>IFERROR('Tablas PERNOCTA zona'!I19/'Tablas PERNOCTA zona'!I32-1,"-")</f>
        <v>-0.10062421660235699</v>
      </c>
    </row>
    <row r="20" spans="3:9" hidden="1" outlineLevel="1">
      <c r="C20" s="51" t="s">
        <v>39</v>
      </c>
      <c r="D20" s="186">
        <f>IFERROR('Tablas PERNOCTA zona'!D20/'Tablas PERNOCTA zona'!D33-1,"-")</f>
        <v>-0.34725036520427877</v>
      </c>
      <c r="E20" s="186" t="str">
        <f>IFERROR('Tablas PERNOCTA zona'!E20/'Tablas PERNOCTA zona'!E33-1,"-")</f>
        <v>-</v>
      </c>
      <c r="F20" s="186">
        <f>IFERROR('Tablas PERNOCTA zona'!F20/'Tablas PERNOCTA zona'!F33-1,"-")</f>
        <v>-0.34725036520427877</v>
      </c>
      <c r="G20" s="186">
        <f>IFERROR('Tablas PERNOCTA zona'!G20/'Tablas PERNOCTA zona'!G33-1,"-")</f>
        <v>-7.8815085942363639E-2</v>
      </c>
      <c r="H20" s="186">
        <f>IFERROR('Tablas PERNOCTA zona'!H20/'Tablas PERNOCTA zona'!H33-1,"-")</f>
        <v>-0.16447644802213701</v>
      </c>
      <c r="I20" s="186">
        <f>IFERROR('Tablas PERNOCTA zona'!I20/'Tablas PERNOCTA zona'!I33-1,"-")</f>
        <v>-0.11885319628502189</v>
      </c>
    </row>
    <row r="21" spans="3:9" hidden="1" outlineLevel="1">
      <c r="C21" s="51" t="s">
        <v>40</v>
      </c>
      <c r="D21" s="186">
        <f>IFERROR('Tablas PERNOCTA zona'!D21/'Tablas PERNOCTA zona'!D34-1,"-")</f>
        <v>-0.32806049079185418</v>
      </c>
      <c r="E21" s="186" t="str">
        <f>IFERROR('Tablas PERNOCTA zona'!E21/'Tablas PERNOCTA zona'!E34-1,"-")</f>
        <v>-</v>
      </c>
      <c r="F21" s="186">
        <f>IFERROR('Tablas PERNOCTA zona'!F21/'Tablas PERNOCTA zona'!F34-1,"-")</f>
        <v>-0.32806049079185418</v>
      </c>
      <c r="G21" s="186">
        <f>IFERROR('Tablas PERNOCTA zona'!G21/'Tablas PERNOCTA zona'!G34-1,"-")</f>
        <v>-0.1127749878644686</v>
      </c>
      <c r="H21" s="186">
        <f>IFERROR('Tablas PERNOCTA zona'!H21/'Tablas PERNOCTA zona'!H34-1,"-")</f>
        <v>-0.14195644966393306</v>
      </c>
      <c r="I21" s="186">
        <f>IFERROR('Tablas PERNOCTA zona'!I21/'Tablas PERNOCTA zona'!I34-1,"-")</f>
        <v>-0.12571846305344481</v>
      </c>
    </row>
    <row r="22" spans="3:9" hidden="1" outlineLevel="1">
      <c r="C22" s="51" t="s">
        <v>41</v>
      </c>
      <c r="D22" s="186">
        <f>IFERROR('Tablas PERNOCTA zona'!D22/'Tablas PERNOCTA zona'!D35-1,"-")</f>
        <v>-0.24259020618556704</v>
      </c>
      <c r="E22" s="186" t="str">
        <f>IFERROR('Tablas PERNOCTA zona'!E22/'Tablas PERNOCTA zona'!E35-1,"-")</f>
        <v>-</v>
      </c>
      <c r="F22" s="186">
        <f>IFERROR('Tablas PERNOCTA zona'!F22/'Tablas PERNOCTA zona'!F35-1,"-")</f>
        <v>-0.24259020618556704</v>
      </c>
      <c r="G22" s="186">
        <f>IFERROR('Tablas PERNOCTA zona'!G22/'Tablas PERNOCTA zona'!G35-1,"-")</f>
        <v>-0.12100826071878423</v>
      </c>
      <c r="H22" s="186">
        <f>IFERROR('Tablas PERNOCTA zona'!H22/'Tablas PERNOCTA zona'!H35-1,"-")</f>
        <v>-0.11818502873444603</v>
      </c>
      <c r="I22" s="186">
        <f>IFERROR('Tablas PERNOCTA zona'!I22/'Tablas PERNOCTA zona'!I35-1,"-")</f>
        <v>-0.11981197986997827</v>
      </c>
    </row>
    <row r="23" spans="3:9" hidden="1" outlineLevel="1">
      <c r="C23" s="51" t="s">
        <v>42</v>
      </c>
      <c r="D23" s="186">
        <f>IFERROR('Tablas PERNOCTA zona'!D23/'Tablas PERNOCTA zona'!D36-1,"-")</f>
        <v>-0.32942393928941016</v>
      </c>
      <c r="E23" s="186" t="str">
        <f>IFERROR('Tablas PERNOCTA zona'!E23/'Tablas PERNOCTA zona'!E36-1,"-")</f>
        <v>-</v>
      </c>
      <c r="F23" s="186">
        <f>IFERROR('Tablas PERNOCTA zona'!F23/'Tablas PERNOCTA zona'!F36-1,"-")</f>
        <v>-0.32942393928941016</v>
      </c>
      <c r="G23" s="186">
        <f>IFERROR('Tablas PERNOCTA zona'!G23/'Tablas PERNOCTA zona'!G36-1,"-")</f>
        <v>-0.1277363413458984</v>
      </c>
      <c r="H23" s="186">
        <f>IFERROR('Tablas PERNOCTA zona'!H23/'Tablas PERNOCTA zona'!H36-1,"-")</f>
        <v>-0.15681948228278786</v>
      </c>
      <c r="I23" s="186">
        <f>IFERROR('Tablas PERNOCTA zona'!I23/'Tablas PERNOCTA zona'!I36-1,"-")</f>
        <v>-0.14115038584531348</v>
      </c>
    </row>
    <row r="24" spans="3:9" hidden="1" outlineLevel="1">
      <c r="C24" s="51" t="s">
        <v>43</v>
      </c>
      <c r="D24" s="186">
        <f>IFERROR('Tablas PERNOCTA zona'!D24/'Tablas PERNOCTA zona'!D37-1,"-")</f>
        <v>-0.35486924624304816</v>
      </c>
      <c r="E24" s="186" t="str">
        <f>IFERROR('Tablas PERNOCTA zona'!E24/'Tablas PERNOCTA zona'!E37-1,"-")</f>
        <v>-</v>
      </c>
      <c r="F24" s="186">
        <f>IFERROR('Tablas PERNOCTA zona'!F24/'Tablas PERNOCTA zona'!F37-1,"-")</f>
        <v>-0.35486924624304816</v>
      </c>
      <c r="G24" s="186">
        <f>IFERROR('Tablas PERNOCTA zona'!G24/'Tablas PERNOCTA zona'!G37-1,"-")</f>
        <v>-0.15020017689279797</v>
      </c>
      <c r="H24" s="186">
        <f>IFERROR('Tablas PERNOCTA zona'!H24/'Tablas PERNOCTA zona'!H37-1,"-")</f>
        <v>-0.18088954140504754</v>
      </c>
      <c r="I24" s="186">
        <f>IFERROR('Tablas PERNOCTA zona'!I24/'Tablas PERNOCTA zona'!I37-1,"-")</f>
        <v>-0.16385121540279957</v>
      </c>
    </row>
    <row r="25" spans="3:9" hidden="1" outlineLevel="1">
      <c r="C25" s="51" t="s">
        <v>44</v>
      </c>
      <c r="D25" s="186">
        <f>IFERROR('Tablas PERNOCTA zona'!D25/'Tablas PERNOCTA zona'!D38-1,"-")</f>
        <v>-0.28193990188062146</v>
      </c>
      <c r="E25" s="186" t="str">
        <f>IFERROR('Tablas PERNOCTA zona'!E25/'Tablas PERNOCTA zona'!E38-1,"-")</f>
        <v>-</v>
      </c>
      <c r="F25" s="186">
        <f>IFERROR('Tablas PERNOCTA zona'!F25/'Tablas PERNOCTA zona'!F38-1,"-")</f>
        <v>-0.28193990188062146</v>
      </c>
      <c r="G25" s="186">
        <f>IFERROR('Tablas PERNOCTA zona'!G25/'Tablas PERNOCTA zona'!G38-1,"-")</f>
        <v>-0.14723468162368059</v>
      </c>
      <c r="H25" s="186">
        <f>IFERROR('Tablas PERNOCTA zona'!H25/'Tablas PERNOCTA zona'!H38-1,"-")</f>
        <v>-0.19503367580078701</v>
      </c>
      <c r="I25" s="186">
        <f>IFERROR('Tablas PERNOCTA zona'!I25/'Tablas PERNOCTA zona'!I38-1,"-")</f>
        <v>-0.16802419155012427</v>
      </c>
    </row>
    <row r="26" spans="3:9" hidden="1" outlineLevel="1">
      <c r="C26" s="51" t="s">
        <v>45</v>
      </c>
      <c r="D26" s="186">
        <f>IFERROR('Tablas PERNOCTA zona'!D26/'Tablas PERNOCTA zona'!D39-1,"-")</f>
        <v>-0.36440892412804182</v>
      </c>
      <c r="E26" s="186" t="str">
        <f>IFERROR('Tablas PERNOCTA zona'!E26/'Tablas PERNOCTA zona'!E39-1,"-")</f>
        <v>-</v>
      </c>
      <c r="F26" s="186">
        <f>IFERROR('Tablas PERNOCTA zona'!F26/'Tablas PERNOCTA zona'!F39-1,"-")</f>
        <v>-0.36440892412804182</v>
      </c>
      <c r="G26" s="186">
        <f>IFERROR('Tablas PERNOCTA zona'!G26/'Tablas PERNOCTA zona'!G39-1,"-")</f>
        <v>-0.17629464275355089</v>
      </c>
      <c r="H26" s="186">
        <f>IFERROR('Tablas PERNOCTA zona'!H26/'Tablas PERNOCTA zona'!H39-1,"-")</f>
        <v>-0.19423050510388895</v>
      </c>
      <c r="I26" s="186">
        <f>IFERROR('Tablas PERNOCTA zona'!I26/'Tablas PERNOCTA zona'!I39-1,"-")</f>
        <v>-0.18381636922596034</v>
      </c>
    </row>
    <row r="27" spans="3:9" hidden="1" outlineLevel="1">
      <c r="C27" s="51" t="s">
        <v>46</v>
      </c>
      <c r="D27" s="186">
        <f>IFERROR('Tablas PERNOCTA zona'!D27/'Tablas PERNOCTA zona'!D40-1,"-")</f>
        <v>-0.29333049121311161</v>
      </c>
      <c r="E27" s="186" t="str">
        <f>IFERROR('Tablas PERNOCTA zona'!E27/'Tablas PERNOCTA zona'!E40-1,"-")</f>
        <v>-</v>
      </c>
      <c r="F27" s="186">
        <f>IFERROR('Tablas PERNOCTA zona'!F27/'Tablas PERNOCTA zona'!F40-1,"-")</f>
        <v>-0.29333049121311161</v>
      </c>
      <c r="G27" s="186">
        <f>IFERROR('Tablas PERNOCTA zona'!G27/'Tablas PERNOCTA zona'!G40-1,"-")</f>
        <v>-0.14307976436575187</v>
      </c>
      <c r="H27" s="186">
        <f>IFERROR('Tablas PERNOCTA zona'!H27/'Tablas PERNOCTA zona'!H40-1,"-")</f>
        <v>-0.12624943149018031</v>
      </c>
      <c r="I27" s="186">
        <f>IFERROR('Tablas PERNOCTA zona'!I27/'Tablas PERNOCTA zona'!I40-1,"-")</f>
        <v>-0.13583689398582843</v>
      </c>
    </row>
    <row r="28" spans="3:9" hidden="1" outlineLevel="1">
      <c r="C28" s="51" t="s">
        <v>47</v>
      </c>
      <c r="D28" s="186">
        <f>IFERROR('Tablas PERNOCTA zona'!D28/'Tablas PERNOCTA zona'!D41-1,"-")</f>
        <v>-0.23743760399334446</v>
      </c>
      <c r="E28" s="186" t="str">
        <f>IFERROR('Tablas PERNOCTA zona'!E28/'Tablas PERNOCTA zona'!E41-1,"-")</f>
        <v>-</v>
      </c>
      <c r="F28" s="186">
        <f>IFERROR('Tablas PERNOCTA zona'!F28/'Tablas PERNOCTA zona'!F41-1,"-")</f>
        <v>-0.23743760399334446</v>
      </c>
      <c r="G28" s="186">
        <f>IFERROR('Tablas PERNOCTA zona'!G28/'Tablas PERNOCTA zona'!G41-1,"-")</f>
        <v>-0.17948224822567727</v>
      </c>
      <c r="H28" s="186">
        <f>IFERROR('Tablas PERNOCTA zona'!H28/'Tablas PERNOCTA zona'!H41-1,"-")</f>
        <v>-0.1703522994811919</v>
      </c>
      <c r="I28" s="186">
        <f>IFERROR('Tablas PERNOCTA zona'!I28/'Tablas PERNOCTA zona'!I41-1,"-")</f>
        <v>-0.17517913745897196</v>
      </c>
    </row>
    <row r="29" spans="3:9" hidden="1" outlineLevel="1">
      <c r="C29" s="51" t="s">
        <v>48</v>
      </c>
      <c r="D29" s="186">
        <f>IFERROR('Tablas PERNOCTA zona'!D29/'Tablas PERNOCTA zona'!D42-1,"-")</f>
        <v>-0.1910646975220911</v>
      </c>
      <c r="E29" s="186" t="str">
        <f>IFERROR('Tablas PERNOCTA zona'!E29/'Tablas PERNOCTA zona'!E42-1,"-")</f>
        <v>-</v>
      </c>
      <c r="F29" s="186">
        <f>IFERROR('Tablas PERNOCTA zona'!F29/'Tablas PERNOCTA zona'!F42-1,"-")</f>
        <v>-0.1910646975220911</v>
      </c>
      <c r="G29" s="186">
        <f>IFERROR('Tablas PERNOCTA zona'!G29/'Tablas PERNOCTA zona'!G42-1,"-")</f>
        <v>-0.15048496084835161</v>
      </c>
      <c r="H29" s="186">
        <f>IFERROR('Tablas PERNOCTA zona'!H29/'Tablas PERNOCTA zona'!H42-1,"-")</f>
        <v>-0.17127898072052172</v>
      </c>
      <c r="I29" s="186">
        <f>IFERROR('Tablas PERNOCTA zona'!I29/'Tablas PERNOCTA zona'!I42-1,"-")</f>
        <v>-0.16047434562851515</v>
      </c>
    </row>
    <row r="30" spans="3:9" hidden="1" outlineLevel="1">
      <c r="C30" s="51" t="s">
        <v>49</v>
      </c>
      <c r="D30" s="186">
        <f>IFERROR('Tablas PERNOCTA zona'!D30/'Tablas PERNOCTA zona'!D43-1,"-")</f>
        <v>-0.23347433990330979</v>
      </c>
      <c r="E30" s="186" t="str">
        <f>IFERROR('Tablas PERNOCTA zona'!E30/'Tablas PERNOCTA zona'!E43-1,"-")</f>
        <v>-</v>
      </c>
      <c r="F30" s="186">
        <f>IFERROR('Tablas PERNOCTA zona'!F30/'Tablas PERNOCTA zona'!F43-1,"-")</f>
        <v>-0.23347433990330979</v>
      </c>
      <c r="G30" s="186">
        <f>IFERROR('Tablas PERNOCTA zona'!G30/'Tablas PERNOCTA zona'!G43-1,"-")</f>
        <v>-8.5032255938552681E-2</v>
      </c>
      <c r="H30" s="186">
        <f>IFERROR('Tablas PERNOCTA zona'!H30/'Tablas PERNOCTA zona'!H43-1,"-")</f>
        <v>-0.11628429836692333</v>
      </c>
      <c r="I30" s="186">
        <f>IFERROR('Tablas PERNOCTA zona'!I30/'Tablas PERNOCTA zona'!I43-1,"-")</f>
        <v>-9.9811253323199511E-2</v>
      </c>
    </row>
    <row r="31" spans="3:9" collapsed="1">
      <c r="C31" s="131">
        <v>2009</v>
      </c>
      <c r="D31" s="318">
        <f>IFERROR('Tablas PERNOCTA zona'!D31/'Tablas PERNOCTA zona'!D44-1,"-")</f>
        <v>-0.27214579024668051</v>
      </c>
      <c r="E31" s="318" t="str">
        <f>IFERROR('Tablas PERNOCTA zona'!E31/'Tablas PERNOCTA zona'!E44-1,"-")</f>
        <v>-</v>
      </c>
      <c r="F31" s="318">
        <f>IFERROR('Tablas PERNOCTA zona'!F31/'Tablas PERNOCTA zona'!F44-1,"-")</f>
        <v>-0.27214579024668051</v>
      </c>
      <c r="G31" s="318">
        <f>IFERROR('Tablas PERNOCTA zona'!G31/'Tablas PERNOCTA zona'!G44-1,"-")</f>
        <v>-0.12964341224210163</v>
      </c>
      <c r="H31" s="318">
        <f>IFERROR('Tablas PERNOCTA zona'!H31/'Tablas PERNOCTA zona'!H44-1,"-")</f>
        <v>-0.1550624012015529</v>
      </c>
      <c r="I31" s="318">
        <f>IFERROR('Tablas PERNOCTA zona'!I31/'Tablas PERNOCTA zona'!I44-1,"-")</f>
        <v>-0.1411573422777006</v>
      </c>
    </row>
    <row r="32" spans="3:9" hidden="1" outlineLevel="1">
      <c r="C32" s="51" t="s">
        <v>38</v>
      </c>
      <c r="D32" s="186">
        <f>IFERROR('Tablas PERNOCTA zona'!D32/'Tablas PERNOCTA zona'!D45-1,"-")</f>
        <v>-8.4261036468330164E-2</v>
      </c>
      <c r="E32" s="186" t="str">
        <f>IFERROR('Tablas PERNOCTA zona'!E32/'Tablas PERNOCTA zona'!E45-1,"-")</f>
        <v>-</v>
      </c>
      <c r="F32" s="186">
        <f>IFERROR('Tablas PERNOCTA zona'!F32/'Tablas PERNOCTA zona'!F45-1,"-")</f>
        <v>-8.4261036468330164E-2</v>
      </c>
      <c r="G32" s="186">
        <f>IFERROR('Tablas PERNOCTA zona'!G32/'Tablas PERNOCTA zona'!G45-1,"-")</f>
        <v>-4.3343871906311726E-2</v>
      </c>
      <c r="H32" s="186">
        <f>IFERROR('Tablas PERNOCTA zona'!H32/'Tablas PERNOCTA zona'!H45-1,"-")</f>
        <v>-0.10478583187121915</v>
      </c>
      <c r="I32" s="186">
        <f>IFERROR('Tablas PERNOCTA zona'!I32/'Tablas PERNOCTA zona'!I45-1,"-")</f>
        <v>-7.3087376260990933E-2</v>
      </c>
    </row>
    <row r="33" spans="3:9" hidden="1" outlineLevel="1">
      <c r="C33" s="51" t="s">
        <v>39</v>
      </c>
      <c r="D33" s="186">
        <f>IFERROR('Tablas PERNOCTA zona'!D33/'Tablas PERNOCTA zona'!D46-1,"-")</f>
        <v>-1.911299082483997E-2</v>
      </c>
      <c r="E33" s="186" t="str">
        <f>IFERROR('Tablas PERNOCTA zona'!E33/'Tablas PERNOCTA zona'!E46-1,"-")</f>
        <v>-</v>
      </c>
      <c r="F33" s="186">
        <f>IFERROR('Tablas PERNOCTA zona'!F33/'Tablas PERNOCTA zona'!F46-1,"-")</f>
        <v>-1.911299082483997E-2</v>
      </c>
      <c r="G33" s="186">
        <f>IFERROR('Tablas PERNOCTA zona'!G33/'Tablas PERNOCTA zona'!G46-1,"-")</f>
        <v>-6.4776170247908271E-2</v>
      </c>
      <c r="H33" s="186">
        <f>IFERROR('Tablas PERNOCTA zona'!H33/'Tablas PERNOCTA zona'!H46-1,"-")</f>
        <v>-7.1143047241964852E-2</v>
      </c>
      <c r="I33" s="186">
        <f>IFERROR('Tablas PERNOCTA zona'!I33/'Tablas PERNOCTA zona'!I46-1,"-")</f>
        <v>-6.7762877199155191E-2</v>
      </c>
    </row>
    <row r="34" spans="3:9" hidden="1" outlineLevel="1">
      <c r="C34" s="51" t="s">
        <v>40</v>
      </c>
      <c r="D34" s="186">
        <f>IFERROR('Tablas PERNOCTA zona'!D34/'Tablas PERNOCTA zona'!D47-1,"-")</f>
        <v>-1.1894666880572058E-2</v>
      </c>
      <c r="E34" s="186" t="str">
        <f>IFERROR('Tablas PERNOCTA zona'!E34/'Tablas PERNOCTA zona'!E47-1,"-")</f>
        <v>-</v>
      </c>
      <c r="F34" s="186">
        <f>IFERROR('Tablas PERNOCTA zona'!F34/'Tablas PERNOCTA zona'!F47-1,"-")</f>
        <v>-1.1894666880572058E-2</v>
      </c>
      <c r="G34" s="186">
        <f>IFERROR('Tablas PERNOCTA zona'!G34/'Tablas PERNOCTA zona'!G47-1,"-")</f>
        <v>-2.433412392465728E-2</v>
      </c>
      <c r="H34" s="186">
        <f>IFERROR('Tablas PERNOCTA zona'!H34/'Tablas PERNOCTA zona'!H47-1,"-")</f>
        <v>-6.9402096896855281E-2</v>
      </c>
      <c r="I34" s="186">
        <f>IFERROR('Tablas PERNOCTA zona'!I34/'Tablas PERNOCTA zona'!I47-1,"-")</f>
        <v>-4.4851448513034131E-2</v>
      </c>
    </row>
    <row r="35" spans="3:9" hidden="1" outlineLevel="1">
      <c r="C35" s="51" t="s">
        <v>41</v>
      </c>
      <c r="D35" s="186">
        <f>IFERROR('Tablas PERNOCTA zona'!D35/'Tablas PERNOCTA zona'!D48-1,"-")</f>
        <v>-7.4562948909066229E-2</v>
      </c>
      <c r="E35" s="186" t="str">
        <f>IFERROR('Tablas PERNOCTA zona'!E35/'Tablas PERNOCTA zona'!E48-1,"-")</f>
        <v>-</v>
      </c>
      <c r="F35" s="186">
        <f>IFERROR('Tablas PERNOCTA zona'!F35/'Tablas PERNOCTA zona'!F48-1,"-")</f>
        <v>-7.4562948909066229E-2</v>
      </c>
      <c r="G35" s="186">
        <f>IFERROR('Tablas PERNOCTA zona'!G35/'Tablas PERNOCTA zona'!G48-1,"-")</f>
        <v>-3.2166060209772973E-2</v>
      </c>
      <c r="H35" s="186">
        <f>IFERROR('Tablas PERNOCTA zona'!H35/'Tablas PERNOCTA zona'!H48-1,"-")</f>
        <v>-5.2931296604647793E-2</v>
      </c>
      <c r="I35" s="186">
        <f>IFERROR('Tablas PERNOCTA zona'!I35/'Tablas PERNOCTA zona'!I48-1,"-")</f>
        <v>-4.1075012121172594E-2</v>
      </c>
    </row>
    <row r="36" spans="3:9" ht="15" hidden="1" customHeight="1" outlineLevel="1">
      <c r="C36" s="51" t="s">
        <v>42</v>
      </c>
      <c r="D36" s="186">
        <f>IFERROR('Tablas PERNOCTA zona'!D36/'Tablas PERNOCTA zona'!D49-1,"-")</f>
        <v>0.17706333973128596</v>
      </c>
      <c r="E36" s="186" t="str">
        <f>IFERROR('Tablas PERNOCTA zona'!E36/'Tablas PERNOCTA zona'!E49-1,"-")</f>
        <v>-</v>
      </c>
      <c r="F36" s="186">
        <f>IFERROR('Tablas PERNOCTA zona'!F36/'Tablas PERNOCTA zona'!F49-1,"-")</f>
        <v>0.17706333973128596</v>
      </c>
      <c r="G36" s="186">
        <f>IFERROR('Tablas PERNOCTA zona'!G36/'Tablas PERNOCTA zona'!G49-1,"-")</f>
        <v>-1.7945388519283956E-2</v>
      </c>
      <c r="H36" s="186">
        <f>IFERROR('Tablas PERNOCTA zona'!H36/'Tablas PERNOCTA zona'!H49-1,"-")</f>
        <v>-1.6848196488104317E-2</v>
      </c>
      <c r="I36" s="186">
        <f>IFERROR('Tablas PERNOCTA zona'!I36/'Tablas PERNOCTA zona'!I49-1,"-")</f>
        <v>-1.7439634036220064E-2</v>
      </c>
    </row>
    <row r="37" spans="3:9" ht="15" hidden="1" customHeight="1" outlineLevel="1">
      <c r="C37" s="51" t="s">
        <v>43</v>
      </c>
      <c r="D37" s="186">
        <f>IFERROR('Tablas PERNOCTA zona'!D37/'Tablas PERNOCTA zona'!D50-1,"-")</f>
        <v>7.318584914656201E-3</v>
      </c>
      <c r="E37" s="186" t="str">
        <f>IFERROR('Tablas PERNOCTA zona'!E37/'Tablas PERNOCTA zona'!E50-1,"-")</f>
        <v>-</v>
      </c>
      <c r="F37" s="186">
        <f>IFERROR('Tablas PERNOCTA zona'!F37/'Tablas PERNOCTA zona'!F50-1,"-")</f>
        <v>7.318584914656201E-3</v>
      </c>
      <c r="G37" s="186">
        <f>IFERROR('Tablas PERNOCTA zona'!G37/'Tablas PERNOCTA zona'!G50-1,"-")</f>
        <v>4.5682148507975029E-2</v>
      </c>
      <c r="H37" s="186">
        <f>IFERROR('Tablas PERNOCTA zona'!H37/'Tablas PERNOCTA zona'!H50-1,"-")</f>
        <v>1.6319586749147019E-2</v>
      </c>
      <c r="I37" s="186">
        <f>IFERROR('Tablas PERNOCTA zona'!I37/'Tablas PERNOCTA zona'!I50-1,"-")</f>
        <v>3.2414452282811146E-2</v>
      </c>
    </row>
    <row r="38" spans="3:9" ht="15" hidden="1" customHeight="1" outlineLevel="1">
      <c r="C38" s="51" t="s">
        <v>44</v>
      </c>
      <c r="D38" s="186">
        <f>IFERROR('Tablas PERNOCTA zona'!D38/'Tablas PERNOCTA zona'!D51-1,"-")</f>
        <v>-7.4230023182097704E-2</v>
      </c>
      <c r="E38" s="186" t="str">
        <f>IFERROR('Tablas PERNOCTA zona'!E38/'Tablas PERNOCTA zona'!E51-1,"-")</f>
        <v>-</v>
      </c>
      <c r="F38" s="186">
        <f>IFERROR('Tablas PERNOCTA zona'!F38/'Tablas PERNOCTA zona'!F51-1,"-")</f>
        <v>-7.4230023182097704E-2</v>
      </c>
      <c r="G38" s="186">
        <f>IFERROR('Tablas PERNOCTA zona'!G38/'Tablas PERNOCTA zona'!G51-1,"-")</f>
        <v>5.1291399508267776E-2</v>
      </c>
      <c r="H38" s="186">
        <f>IFERROR('Tablas PERNOCTA zona'!H38/'Tablas PERNOCTA zona'!H51-1,"-")</f>
        <v>5.5669331513616749E-2</v>
      </c>
      <c r="I38" s="186">
        <f>IFERROR('Tablas PERNOCTA zona'!I38/'Tablas PERNOCTA zona'!I51-1,"-")</f>
        <v>5.3191050247438643E-2</v>
      </c>
    </row>
    <row r="39" spans="3:9" hidden="1" outlineLevel="1">
      <c r="C39" s="51" t="s">
        <v>45</v>
      </c>
      <c r="D39" s="186">
        <f>IFERROR('Tablas PERNOCTA zona'!D39/'Tablas PERNOCTA zona'!D52-1,"-")</f>
        <v>8.0227790432801926E-2</v>
      </c>
      <c r="E39" s="186" t="str">
        <f>IFERROR('Tablas PERNOCTA zona'!E39/'Tablas PERNOCTA zona'!E52-1,"-")</f>
        <v>-</v>
      </c>
      <c r="F39" s="186">
        <f>IFERROR('Tablas PERNOCTA zona'!F39/'Tablas PERNOCTA zona'!F52-1,"-")</f>
        <v>8.0227790432801926E-2</v>
      </c>
      <c r="G39" s="186">
        <f>IFERROR('Tablas PERNOCTA zona'!G39/'Tablas PERNOCTA zona'!G52-1,"-")</f>
        <v>0.13424943807212686</v>
      </c>
      <c r="H39" s="186">
        <f>IFERROR('Tablas PERNOCTA zona'!H39/'Tablas PERNOCTA zona'!H52-1,"-")</f>
        <v>4.6445033166018446E-2</v>
      </c>
      <c r="I39" s="186">
        <f>IFERROR('Tablas PERNOCTA zona'!I39/'Tablas PERNOCTA zona'!I52-1,"-")</f>
        <v>9.5694103058083568E-2</v>
      </c>
    </row>
    <row r="40" spans="3:9" hidden="1" outlineLevel="1">
      <c r="C40" s="51" t="s">
        <v>46</v>
      </c>
      <c r="D40" s="186">
        <f>IFERROR('Tablas PERNOCTA zona'!D40/'Tablas PERNOCTA zona'!D53-1,"-")</f>
        <v>-4.9760313280669766E-2</v>
      </c>
      <c r="E40" s="186" t="str">
        <f>IFERROR('Tablas PERNOCTA zona'!E40/'Tablas PERNOCTA zona'!E53-1,"-")</f>
        <v>-</v>
      </c>
      <c r="F40" s="186">
        <f>IFERROR('Tablas PERNOCTA zona'!F40/'Tablas PERNOCTA zona'!F53-1,"-")</f>
        <v>-4.9760313280669766E-2</v>
      </c>
      <c r="G40" s="186">
        <f>IFERROR('Tablas PERNOCTA zona'!G40/'Tablas PERNOCTA zona'!G53-1,"-")</f>
        <v>5.4774182052441889E-2</v>
      </c>
      <c r="H40" s="186">
        <f>IFERROR('Tablas PERNOCTA zona'!H40/'Tablas PERNOCTA zona'!H53-1,"-")</f>
        <v>-1.6239190118536362E-2</v>
      </c>
      <c r="I40" s="186">
        <f>IFERROR('Tablas PERNOCTA zona'!I40/'Tablas PERNOCTA zona'!I53-1,"-")</f>
        <v>2.2995041009888029E-2</v>
      </c>
    </row>
    <row r="41" spans="3:9" hidden="1" outlineLevel="1">
      <c r="C41" s="51" t="s">
        <v>47</v>
      </c>
      <c r="D41" s="186">
        <f>IFERROR('Tablas PERNOCTA zona'!D41/'Tablas PERNOCTA zona'!D54-1,"-")</f>
        <v>-2.9294785084088781E-2</v>
      </c>
      <c r="E41" s="186" t="str">
        <f>IFERROR('Tablas PERNOCTA zona'!E41/'Tablas PERNOCTA zona'!E54-1,"-")</f>
        <v>-</v>
      </c>
      <c r="F41" s="186">
        <f>IFERROR('Tablas PERNOCTA zona'!F41/'Tablas PERNOCTA zona'!F54-1,"-")</f>
        <v>-2.9294785084088781E-2</v>
      </c>
      <c r="G41" s="186">
        <f>IFERROR('Tablas PERNOCTA zona'!G41/'Tablas PERNOCTA zona'!G54-1,"-")</f>
        <v>3.8621677420118461E-2</v>
      </c>
      <c r="H41" s="186">
        <f>IFERROR('Tablas PERNOCTA zona'!H41/'Tablas PERNOCTA zona'!H54-1,"-")</f>
        <v>2.2325420310153277E-2</v>
      </c>
      <c r="I41" s="186">
        <f>IFERROR('Tablas PERNOCTA zona'!I41/'Tablas PERNOCTA zona'!I54-1,"-")</f>
        <v>3.0876709520935686E-2</v>
      </c>
    </row>
    <row r="42" spans="3:9" hidden="1" outlineLevel="1">
      <c r="C42" s="51" t="s">
        <v>48</v>
      </c>
      <c r="D42" s="186">
        <f>IFERROR('Tablas PERNOCTA zona'!D42/'Tablas PERNOCTA zona'!D55-1,"-")</f>
        <v>0.20675598419129537</v>
      </c>
      <c r="E42" s="186" t="str">
        <f>IFERROR('Tablas PERNOCTA zona'!E42/'Tablas PERNOCTA zona'!E55-1,"-")</f>
        <v>-</v>
      </c>
      <c r="F42" s="186">
        <f>IFERROR('Tablas PERNOCTA zona'!F42/'Tablas PERNOCTA zona'!F55-1,"-")</f>
        <v>0.20675598419129537</v>
      </c>
      <c r="G42" s="186">
        <f>IFERROR('Tablas PERNOCTA zona'!G42/'Tablas PERNOCTA zona'!G55-1,"-")</f>
        <v>6.5803269287174615E-2</v>
      </c>
      <c r="H42" s="186">
        <f>IFERROR('Tablas PERNOCTA zona'!H42/'Tablas PERNOCTA zona'!H55-1,"-")</f>
        <v>5.2222453358514276E-2</v>
      </c>
      <c r="I42" s="186">
        <f>IFERROR('Tablas PERNOCTA zona'!I42/'Tablas PERNOCTA zona'!I55-1,"-")</f>
        <v>5.9235601833850238E-2</v>
      </c>
    </row>
    <row r="43" spans="3:9" hidden="1" outlineLevel="1">
      <c r="C43" s="51" t="s">
        <v>49</v>
      </c>
      <c r="D43" s="186">
        <f>IFERROR('Tablas PERNOCTA zona'!D43/'Tablas PERNOCTA zona'!D56-1,"-")</f>
        <v>0.10741036266762771</v>
      </c>
      <c r="E43" s="186" t="str">
        <f>IFERROR('Tablas PERNOCTA zona'!E43/'Tablas PERNOCTA zona'!E56-1,"-")</f>
        <v>-</v>
      </c>
      <c r="F43" s="186">
        <f>IFERROR('Tablas PERNOCTA zona'!F43/'Tablas PERNOCTA zona'!F56-1,"-")</f>
        <v>0.10741036266762771</v>
      </c>
      <c r="G43" s="186">
        <f>IFERROR('Tablas PERNOCTA zona'!G43/'Tablas PERNOCTA zona'!G56-1,"-")</f>
        <v>1.4990579261402015E-2</v>
      </c>
      <c r="H43" s="186">
        <f>IFERROR('Tablas PERNOCTA zona'!H43/'Tablas PERNOCTA zona'!H56-1,"-")</f>
        <v>1.5024427828462361E-2</v>
      </c>
      <c r="I43" s="186">
        <f>IFERROR('Tablas PERNOCTA zona'!I43/'Tablas PERNOCTA zona'!I56-1,"-")</f>
        <v>1.5006585866151667E-2</v>
      </c>
    </row>
    <row r="44" spans="3:9" collapsed="1">
      <c r="C44" s="133">
        <v>2008</v>
      </c>
      <c r="D44" s="319">
        <f>IFERROR('Tablas PERNOCTA zona'!D44/'Tablas PERNOCTA zona'!D57-1,"-")</f>
        <v>1.3586180496904188E-2</v>
      </c>
      <c r="E44" s="319" t="str">
        <f>IFERROR('Tablas PERNOCTA zona'!E44/'Tablas PERNOCTA zona'!E57-1,"-")</f>
        <v>-</v>
      </c>
      <c r="F44" s="319">
        <f>IFERROR('Tablas PERNOCTA zona'!F44/'Tablas PERNOCTA zona'!F57-1,"-")</f>
        <v>1.3586180496904188E-2</v>
      </c>
      <c r="G44" s="319">
        <f>IFERROR('Tablas PERNOCTA zona'!G44/'Tablas PERNOCTA zona'!G57-1,"-")</f>
        <v>1.5767408703919239E-2</v>
      </c>
      <c r="H44" s="319">
        <f>IFERROR('Tablas PERNOCTA zona'!H44/'Tablas PERNOCTA zona'!H57-1,"-")</f>
        <v>-1.214256123466384E-2</v>
      </c>
      <c r="I44" s="319">
        <f>IFERROR('Tablas PERNOCTA zona'!I44/'Tablas PERNOCTA zona'!I57-1,"-")</f>
        <v>2.9322277811290043E-3</v>
      </c>
    </row>
    <row r="45" spans="3:9" hidden="1" outlineLevel="1">
      <c r="C45" s="51" t="s">
        <v>38</v>
      </c>
      <c r="D45" s="186">
        <f>IFERROR('Tablas PERNOCTA zona'!D45/'Tablas PERNOCTA zona'!D58-1,"-")</f>
        <v>-8.9280251715247116E-2</v>
      </c>
      <c r="E45" s="186" t="str">
        <f>IFERROR('Tablas PERNOCTA zona'!E45/'Tablas PERNOCTA zona'!E58-1,"-")</f>
        <v>-</v>
      </c>
      <c r="F45" s="186">
        <f>IFERROR('Tablas PERNOCTA zona'!F45/'Tablas PERNOCTA zona'!F58-1,"-")</f>
        <v>-8.9280251715247116E-2</v>
      </c>
      <c r="G45" s="186">
        <f>IFERROR('Tablas PERNOCTA zona'!G45/'Tablas PERNOCTA zona'!G58-1,"-")</f>
        <v>2.0115212129172555E-3</v>
      </c>
      <c r="H45" s="186">
        <f>IFERROR('Tablas PERNOCTA zona'!H45/'Tablas PERNOCTA zona'!H58-1,"-")</f>
        <v>1.9982772870003718E-2</v>
      </c>
      <c r="I45" s="186">
        <f>IFERROR('Tablas PERNOCTA zona'!I45/'Tablas PERNOCTA zona'!I58-1,"-")</f>
        <v>1.0631483921937912E-2</v>
      </c>
    </row>
    <row r="46" spans="3:9" hidden="1" outlineLevel="1">
      <c r="C46" s="51" t="s">
        <v>39</v>
      </c>
      <c r="D46" s="186">
        <f>IFERROR('Tablas PERNOCTA zona'!D46/'Tablas PERNOCTA zona'!D59-1,"-")</f>
        <v>-5.5096960167714926E-2</v>
      </c>
      <c r="E46" s="186" t="str">
        <f>IFERROR('Tablas PERNOCTA zona'!E46/'Tablas PERNOCTA zona'!E59-1,"-")</f>
        <v>-</v>
      </c>
      <c r="F46" s="186">
        <f>IFERROR('Tablas PERNOCTA zona'!F46/'Tablas PERNOCTA zona'!F59-1,"-")</f>
        <v>-5.5096960167714926E-2</v>
      </c>
      <c r="G46" s="186">
        <f>IFERROR('Tablas PERNOCTA zona'!G46/'Tablas PERNOCTA zona'!G59-1,"-")</f>
        <v>3.0077534547082507E-2</v>
      </c>
      <c r="H46" s="186">
        <f>IFERROR('Tablas PERNOCTA zona'!H46/'Tablas PERNOCTA zona'!H59-1,"-")</f>
        <v>3.9804070372329026E-3</v>
      </c>
      <c r="I46" s="186">
        <f>IFERROR('Tablas PERNOCTA zona'!I46/'Tablas PERNOCTA zona'!I59-1,"-")</f>
        <v>1.7668444628620383E-2</v>
      </c>
    </row>
    <row r="47" spans="3:9" hidden="1" outlineLevel="1">
      <c r="C47" s="51" t="s">
        <v>40</v>
      </c>
      <c r="D47" s="186">
        <f>IFERROR('Tablas PERNOCTA zona'!D47/'Tablas PERNOCTA zona'!D60-1,"-")</f>
        <v>7.5684737322190276E-2</v>
      </c>
      <c r="E47" s="186" t="str">
        <f>IFERROR('Tablas PERNOCTA zona'!E47/'Tablas PERNOCTA zona'!E60-1,"-")</f>
        <v>-</v>
      </c>
      <c r="F47" s="186">
        <f>IFERROR('Tablas PERNOCTA zona'!F47/'Tablas PERNOCTA zona'!F60-1,"-")</f>
        <v>7.5684737322190276E-2</v>
      </c>
      <c r="G47" s="186">
        <f>IFERROR('Tablas PERNOCTA zona'!G47/'Tablas PERNOCTA zona'!G60-1,"-")</f>
        <v>-5.1335480587531568E-2</v>
      </c>
      <c r="H47" s="186">
        <f>IFERROR('Tablas PERNOCTA zona'!H47/'Tablas PERNOCTA zona'!H60-1,"-")</f>
        <v>-8.2617142268996191E-2</v>
      </c>
      <c r="I47" s="186">
        <f>IFERROR('Tablas PERNOCTA zona'!I47/'Tablas PERNOCTA zona'!I60-1,"-")</f>
        <v>-6.5837034579028564E-2</v>
      </c>
    </row>
    <row r="48" spans="3:9" hidden="1" outlineLevel="1">
      <c r="C48" s="51" t="s">
        <v>41</v>
      </c>
      <c r="D48" s="186">
        <f>IFERROR('Tablas PERNOCTA zona'!D48/'Tablas PERNOCTA zona'!D61-1,"-")</f>
        <v>-3.1576460706598808E-2</v>
      </c>
      <c r="E48" s="186" t="str">
        <f>IFERROR('Tablas PERNOCTA zona'!E48/'Tablas PERNOCTA zona'!E61-1,"-")</f>
        <v>-</v>
      </c>
      <c r="F48" s="186">
        <f>IFERROR('Tablas PERNOCTA zona'!F48/'Tablas PERNOCTA zona'!F61-1,"-")</f>
        <v>-3.1576460706598808E-2</v>
      </c>
      <c r="G48" s="186">
        <f>IFERROR('Tablas PERNOCTA zona'!G48/'Tablas PERNOCTA zona'!G61-1,"-")</f>
        <v>-4.7924052403013229E-2</v>
      </c>
      <c r="H48" s="186">
        <f>IFERROR('Tablas PERNOCTA zona'!H48/'Tablas PERNOCTA zona'!H61-1,"-")</f>
        <v>-0.11251119560733835</v>
      </c>
      <c r="I48" s="186">
        <f>IFERROR('Tablas PERNOCTA zona'!I48/'Tablas PERNOCTA zona'!I61-1,"-")</f>
        <v>-7.6750556819058402E-2</v>
      </c>
    </row>
    <row r="49" spans="3:9" hidden="1" outlineLevel="1">
      <c r="C49" s="51" t="s">
        <v>42</v>
      </c>
      <c r="D49" s="186">
        <f>IFERROR('Tablas PERNOCTA zona'!D49/'Tablas PERNOCTA zona'!D62-1,"-")</f>
        <v>-0.1774350255040078</v>
      </c>
      <c r="E49" s="186" t="str">
        <f>IFERROR('Tablas PERNOCTA zona'!E49/'Tablas PERNOCTA zona'!E62-1,"-")</f>
        <v>-</v>
      </c>
      <c r="F49" s="186">
        <f>IFERROR('Tablas PERNOCTA zona'!F49/'Tablas PERNOCTA zona'!F62-1,"-")</f>
        <v>-0.1774350255040078</v>
      </c>
      <c r="G49" s="186">
        <f>IFERROR('Tablas PERNOCTA zona'!G49/'Tablas PERNOCTA zona'!G62-1,"-")</f>
        <v>-3.4954478685411017E-2</v>
      </c>
      <c r="H49" s="186">
        <f>IFERROR('Tablas PERNOCTA zona'!H49/'Tablas PERNOCTA zona'!H62-1,"-")</f>
        <v>-0.10745544374088578</v>
      </c>
      <c r="I49" s="186">
        <f>IFERROR('Tablas PERNOCTA zona'!I49/'Tablas PERNOCTA zona'!I62-1,"-")</f>
        <v>-6.9784562610975764E-2</v>
      </c>
    </row>
    <row r="50" spans="3:9" hidden="1" outlineLevel="1">
      <c r="C50" s="51" t="s">
        <v>43</v>
      </c>
      <c r="D50" s="186">
        <f>IFERROR('Tablas PERNOCTA zona'!D50/'Tablas PERNOCTA zona'!D63-1,"-")</f>
        <v>0.15267091668498578</v>
      </c>
      <c r="E50" s="186" t="str">
        <f>IFERROR('Tablas PERNOCTA zona'!E50/'Tablas PERNOCTA zona'!E63-1,"-")</f>
        <v>-</v>
      </c>
      <c r="F50" s="186">
        <f>IFERROR('Tablas PERNOCTA zona'!F50/'Tablas PERNOCTA zona'!F63-1,"-")</f>
        <v>0.15267091668498578</v>
      </c>
      <c r="G50" s="186">
        <f>IFERROR('Tablas PERNOCTA zona'!G50/'Tablas PERNOCTA zona'!G63-1,"-")</f>
        <v>-6.3728045683160262E-2</v>
      </c>
      <c r="H50" s="186">
        <f>IFERROR('Tablas PERNOCTA zona'!H50/'Tablas PERNOCTA zona'!H63-1,"-")</f>
        <v>-0.11107205605125214</v>
      </c>
      <c r="I50" s="186">
        <f>IFERROR('Tablas PERNOCTA zona'!I50/'Tablas PERNOCTA zona'!I63-1,"-")</f>
        <v>-8.5730656550322304E-2</v>
      </c>
    </row>
    <row r="51" spans="3:9" hidden="1" outlineLevel="1">
      <c r="C51" s="51" t="s">
        <v>44</v>
      </c>
      <c r="D51" s="186">
        <f>IFERROR('Tablas PERNOCTA zona'!D51/'Tablas PERNOCTA zona'!D64-1,"-")</f>
        <v>0.20168282213820743</v>
      </c>
      <c r="E51" s="186" t="str">
        <f>IFERROR('Tablas PERNOCTA zona'!E51/'Tablas PERNOCTA zona'!E64-1,"-")</f>
        <v>-</v>
      </c>
      <c r="F51" s="186">
        <f>IFERROR('Tablas PERNOCTA zona'!F51/'Tablas PERNOCTA zona'!F64-1,"-")</f>
        <v>0.20168282213820743</v>
      </c>
      <c r="G51" s="186">
        <f>IFERROR('Tablas PERNOCTA zona'!G51/'Tablas PERNOCTA zona'!G64-1,"-")</f>
        <v>-7.3677018376969827E-2</v>
      </c>
      <c r="H51" s="186">
        <f>IFERROR('Tablas PERNOCTA zona'!H51/'Tablas PERNOCTA zona'!H64-1,"-")</f>
        <v>-8.7916185346202935E-2</v>
      </c>
      <c r="I51" s="186">
        <f>IFERROR('Tablas PERNOCTA zona'!I51/'Tablas PERNOCTA zona'!I64-1,"-")</f>
        <v>-7.9909843855735074E-2</v>
      </c>
    </row>
    <row r="52" spans="3:9" hidden="1" outlineLevel="1">
      <c r="C52" s="51" t="s">
        <v>45</v>
      </c>
      <c r="D52" s="186">
        <f>IFERROR('Tablas PERNOCTA zona'!D52/'Tablas PERNOCTA zona'!D65-1,"-")</f>
        <v>0.27010762643212582</v>
      </c>
      <c r="E52" s="186" t="str">
        <f>IFERROR('Tablas PERNOCTA zona'!E52/'Tablas PERNOCTA zona'!E65-1,"-")</f>
        <v>-</v>
      </c>
      <c r="F52" s="186">
        <f>IFERROR('Tablas PERNOCTA zona'!F52/'Tablas PERNOCTA zona'!F65-1,"-")</f>
        <v>0.27010762643212582</v>
      </c>
      <c r="G52" s="186">
        <f>IFERROR('Tablas PERNOCTA zona'!G52/'Tablas PERNOCTA zona'!G65-1,"-")</f>
        <v>-0.1096378836611186</v>
      </c>
      <c r="H52" s="186">
        <f>IFERROR('Tablas PERNOCTA zona'!H52/'Tablas PERNOCTA zona'!H65-1,"-")</f>
        <v>-7.2388604877987928E-2</v>
      </c>
      <c r="I52" s="186">
        <f>IFERROR('Tablas PERNOCTA zona'!I52/'Tablas PERNOCTA zona'!I65-1,"-")</f>
        <v>-9.3656559277397911E-2</v>
      </c>
    </row>
    <row r="53" spans="3:9" hidden="1" outlineLevel="1">
      <c r="C53" s="51" t="s">
        <v>46</v>
      </c>
      <c r="D53" s="186">
        <f>IFERROR('Tablas PERNOCTA zona'!D53/'Tablas PERNOCTA zona'!D66-1,"-")</f>
        <v>0.19408239499072866</v>
      </c>
      <c r="E53" s="186" t="str">
        <f>IFERROR('Tablas PERNOCTA zona'!E53/'Tablas PERNOCTA zona'!E66-1,"-")</f>
        <v>-</v>
      </c>
      <c r="F53" s="186">
        <f>IFERROR('Tablas PERNOCTA zona'!F53/'Tablas PERNOCTA zona'!F66-1,"-")</f>
        <v>0.19408239499072866</v>
      </c>
      <c r="G53" s="186">
        <f>IFERROR('Tablas PERNOCTA zona'!G53/'Tablas PERNOCTA zona'!G66-1,"-")</f>
        <v>-5.9357304205217121E-2</v>
      </c>
      <c r="H53" s="186">
        <f>IFERROR('Tablas PERNOCTA zona'!H53/'Tablas PERNOCTA zona'!H66-1,"-")</f>
        <v>-0.10179409903202918</v>
      </c>
      <c r="I53" s="186">
        <f>IFERROR('Tablas PERNOCTA zona'!I53/'Tablas PERNOCTA zona'!I66-1,"-")</f>
        <v>-7.8833618272889594E-2</v>
      </c>
    </row>
    <row r="54" spans="3:9" hidden="1" outlineLevel="1">
      <c r="C54" s="51" t="s">
        <v>47</v>
      </c>
      <c r="D54" s="186">
        <f>IFERROR('Tablas PERNOCTA zona'!D54/'Tablas PERNOCTA zona'!D67-1,"-")</f>
        <v>0.12983872807317676</v>
      </c>
      <c r="E54" s="186" t="str">
        <f>IFERROR('Tablas PERNOCTA zona'!E54/'Tablas PERNOCTA zona'!E67-1,"-")</f>
        <v>-</v>
      </c>
      <c r="F54" s="186">
        <f>IFERROR('Tablas PERNOCTA zona'!F54/'Tablas PERNOCTA zona'!F67-1,"-")</f>
        <v>0.12983872807317676</v>
      </c>
      <c r="G54" s="186">
        <f>IFERROR('Tablas PERNOCTA zona'!G54/'Tablas PERNOCTA zona'!G67-1,"-")</f>
        <v>2.4161026045161904E-3</v>
      </c>
      <c r="H54" s="186">
        <f>IFERROR('Tablas PERNOCTA zona'!H54/'Tablas PERNOCTA zona'!H67-1,"-")</f>
        <v>-5.8806492912417685E-3</v>
      </c>
      <c r="I54" s="186">
        <f>IFERROR('Tablas PERNOCTA zona'!I54/'Tablas PERNOCTA zona'!I67-1,"-")</f>
        <v>-1.5442163722078073E-3</v>
      </c>
    </row>
    <row r="55" spans="3:9" hidden="1" outlineLevel="1">
      <c r="C55" s="51" t="s">
        <v>48</v>
      </c>
      <c r="D55" s="186">
        <f>IFERROR('Tablas PERNOCTA zona'!D55/'Tablas PERNOCTA zona'!D68-1,"-")</f>
        <v>-6.8575926654782071E-2</v>
      </c>
      <c r="E55" s="186" t="str">
        <f>IFERROR('Tablas PERNOCTA zona'!E55/'Tablas PERNOCTA zona'!E68-1,"-")</f>
        <v>-</v>
      </c>
      <c r="F55" s="186">
        <f>IFERROR('Tablas PERNOCTA zona'!F55/'Tablas PERNOCTA zona'!F68-1,"-")</f>
        <v>-6.8575926654782071E-2</v>
      </c>
      <c r="G55" s="186">
        <f>IFERROR('Tablas PERNOCTA zona'!G55/'Tablas PERNOCTA zona'!G68-1,"-")</f>
        <v>7.1897560994429455E-3</v>
      </c>
      <c r="H55" s="186">
        <f>IFERROR('Tablas PERNOCTA zona'!H55/'Tablas PERNOCTA zona'!H68-1,"-")</f>
        <v>-2.7795577976231001E-2</v>
      </c>
      <c r="I55" s="186">
        <f>IFERROR('Tablas PERNOCTA zona'!I55/'Tablas PERNOCTA zona'!I68-1,"-")</f>
        <v>-1.0038137818151993E-2</v>
      </c>
    </row>
    <row r="56" spans="3:9" hidden="1" outlineLevel="1">
      <c r="C56" s="51" t="s">
        <v>49</v>
      </c>
      <c r="D56" s="186">
        <f>IFERROR('Tablas PERNOCTA zona'!D56/'Tablas PERNOCTA zona'!D69-1,"-")</f>
        <v>0.14889401466761298</v>
      </c>
      <c r="E56" s="186" t="str">
        <f>IFERROR('Tablas PERNOCTA zona'!E56/'Tablas PERNOCTA zona'!E69-1,"-")</f>
        <v>-</v>
      </c>
      <c r="F56" s="186">
        <f>IFERROR('Tablas PERNOCTA zona'!F56/'Tablas PERNOCTA zona'!F69-1,"-")</f>
        <v>0.14889401466761298</v>
      </c>
      <c r="G56" s="186">
        <f>IFERROR('Tablas PERNOCTA zona'!G56/'Tablas PERNOCTA zona'!G69-1,"-")</f>
        <v>1.4404573108824703E-2</v>
      </c>
      <c r="H56" s="186">
        <f>IFERROR('Tablas PERNOCTA zona'!H56/'Tablas PERNOCTA zona'!H69-1,"-")</f>
        <v>-2.575561961303563E-2</v>
      </c>
      <c r="I56" s="186">
        <f>IFERROR('Tablas PERNOCTA zona'!I56/'Tablas PERNOCTA zona'!I69-1,"-")</f>
        <v>-4.9914908105271882E-3</v>
      </c>
    </row>
    <row r="57" spans="3:9" collapsed="1">
      <c r="C57" s="133">
        <v>2007</v>
      </c>
      <c r="D57" s="319">
        <f>IFERROR('Tablas PERNOCTA zona'!D57/'Tablas PERNOCTA zona'!D70-1,"-")</f>
        <v>5.6463157083892268E-2</v>
      </c>
      <c r="E57" s="319" t="str">
        <f>IFERROR('Tablas PERNOCTA zona'!E57/'Tablas PERNOCTA zona'!E70-1,"-")</f>
        <v>-</v>
      </c>
      <c r="F57" s="319">
        <f>IFERROR('Tablas PERNOCTA zona'!F57/'Tablas PERNOCTA zona'!F70-1,"-")</f>
        <v>5.6463157083892268E-2</v>
      </c>
      <c r="G57" s="319">
        <f>IFERROR('Tablas PERNOCTA zona'!G57/'Tablas PERNOCTA zona'!G70-1,"-")</f>
        <v>-3.1719413523430995E-2</v>
      </c>
      <c r="H57" s="319">
        <f>IFERROR('Tablas PERNOCTA zona'!H57/'Tablas PERNOCTA zona'!H70-1,"-")</f>
        <v>-5.8914487359399748E-2</v>
      </c>
      <c r="I57" s="319">
        <f>IFERROR('Tablas PERNOCTA zona'!I57/'Tablas PERNOCTA zona'!I70-1,"-")</f>
        <v>-4.4418472100876349E-2</v>
      </c>
    </row>
    <row r="58" spans="3:9">
      <c r="C58" s="135" t="s">
        <v>78</v>
      </c>
      <c r="D58" s="136"/>
      <c r="E58" s="136"/>
      <c r="F58" s="136"/>
      <c r="G58" s="136"/>
      <c r="H58" s="136"/>
      <c r="I58" s="137"/>
    </row>
  </sheetData>
  <mergeCells count="5">
    <mergeCell ref="C3:I3"/>
    <mergeCell ref="C4:C5"/>
    <mergeCell ref="D4:F4"/>
    <mergeCell ref="G4:I4"/>
    <mergeCell ref="C58:I5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C2:J70"/>
  <sheetViews>
    <sheetView showGridLines="0" showRowColHeaders="0" zoomScaleNormal="100" workbookViewId="0">
      <selection activeCell="I13" sqref="I13"/>
    </sheetView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0" ht="42.75" customHeight="1"/>
    <row r="3" spans="3:10" ht="30" customHeight="1">
      <c r="C3" s="159" t="s">
        <v>225</v>
      </c>
      <c r="D3" s="159"/>
      <c r="E3" s="159"/>
      <c r="F3" s="159"/>
      <c r="G3" s="159"/>
      <c r="H3" s="159"/>
      <c r="I3" s="159"/>
      <c r="J3" s="159"/>
    </row>
    <row r="4" spans="3:10" ht="45" customHeight="1">
      <c r="C4" s="160"/>
      <c r="D4" s="127" t="s">
        <v>226</v>
      </c>
      <c r="E4" s="127" t="s">
        <v>227</v>
      </c>
      <c r="F4" s="127" t="s">
        <v>228</v>
      </c>
      <c r="G4" s="127" t="s">
        <v>229</v>
      </c>
      <c r="H4" s="161" t="s">
        <v>35</v>
      </c>
      <c r="I4" s="161" t="s">
        <v>116</v>
      </c>
      <c r="J4" s="162" t="s">
        <v>37</v>
      </c>
    </row>
    <row r="5" spans="3:10" hidden="1">
      <c r="C5" s="51" t="s">
        <v>38</v>
      </c>
      <c r="D5" s="52" t="e">
        <f>GETPIVOTDATA("dato",'[1]tabla dinámica pernocta'!$P$5,"categoría","1*","mes",12,"año",2010)</f>
        <v>#REF!</v>
      </c>
      <c r="E5" s="52" t="e">
        <f>GETPIVOTDATA("dato",'[1]tabla dinámica pernocta'!$P$5,"categoría","2*","mes",12,"año",2010)</f>
        <v>#REF!</v>
      </c>
      <c r="F5" s="52" t="e">
        <f>GETPIVOTDATA("dato",'[1]tabla dinámica pernocta'!$P$5,"categoría","3 *","mes",12,"año",2010)</f>
        <v>#REF!</v>
      </c>
      <c r="G5" s="52" t="e">
        <f>GETPIVOTDATA("dato",'[1]tabla dinámica pernocta'!$P$5,"categoría","4* y 5*","mes",12,"año",2010)</f>
        <v>#REF!</v>
      </c>
      <c r="H5" s="52" t="e">
        <f>GETPIVOTDATA("dato",'[1]tabla dinámica pernocta'!$P$5,"categoría","HOTELEROS","mes",12,"año",2010)</f>
        <v>#REF!</v>
      </c>
      <c r="I5" s="52" t="e">
        <f>GETPIVOTDATA("dato",'[1]tabla dinámica pernocta'!$P$5,"categoría","EXTRAHOTELEROS","mes",12,"año",2010)</f>
        <v>#REF!</v>
      </c>
      <c r="J5" s="52" t="e">
        <f>GETPIVOTDATA("dato",'[1]tabla dinámica pernocta'!$P$5,"categoría","TOTAL","mes",12,"año",2010)</f>
        <v>#REF!</v>
      </c>
    </row>
    <row r="6" spans="3:10" hidden="1">
      <c r="C6" s="51" t="s">
        <v>39</v>
      </c>
      <c r="D6" s="52" t="e">
        <f>GETPIVOTDATA("dato",'[1]tabla dinámica pernocta'!$P$5,"categoría","1*","mes",11,"año",2010)</f>
        <v>#REF!</v>
      </c>
      <c r="E6" s="52" t="e">
        <f>GETPIVOTDATA("dato",'[1]tabla dinámica pernocta'!$P$5,"categoría","2*","mes",11,"año",2010)</f>
        <v>#REF!</v>
      </c>
      <c r="F6" s="52" t="e">
        <f>GETPIVOTDATA("dato",'[1]tabla dinámica pernocta'!$P$5,"categoría","3 *","mes",11,"año",2010)</f>
        <v>#REF!</v>
      </c>
      <c r="G6" s="52" t="e">
        <f>GETPIVOTDATA("dato",'[1]tabla dinámica pernocta'!$P$5,"categoría","4* y 5*","mes",11,"año",2010)</f>
        <v>#REF!</v>
      </c>
      <c r="H6" s="52" t="e">
        <f>GETPIVOTDATA("dato",'[1]tabla dinámica pernocta'!$P$5,"categoría","HOTELEROS","mes",11,"año",2010)</f>
        <v>#REF!</v>
      </c>
      <c r="I6" s="52" t="e">
        <f>GETPIVOTDATA("dato",'[1]tabla dinámica pernocta'!$P$5,"categoría","EXTRAHOTELEROS","mes",11,"año",2010)</f>
        <v>#REF!</v>
      </c>
      <c r="J6" s="52" t="e">
        <f>GETPIVOTDATA("dato",'[1]tabla dinámica pernocta'!$P$5,"categoría","TOTAL","mes",11,"año",2010)</f>
        <v>#REF!</v>
      </c>
    </row>
    <row r="7" spans="3:10" hidden="1">
      <c r="C7" s="51" t="s">
        <v>40</v>
      </c>
      <c r="D7" s="52" t="e">
        <f>GETPIVOTDATA("dato",'[1]tabla dinámica pernocta'!$P$5,"categoría","1*","mes",10,"año",2010)</f>
        <v>#REF!</v>
      </c>
      <c r="E7" s="52" t="e">
        <f>GETPIVOTDATA("dato",'[1]tabla dinámica pernocta'!$P$5,"categoría","2*","mes",10,"año",2010)</f>
        <v>#REF!</v>
      </c>
      <c r="F7" s="52" t="e">
        <f>GETPIVOTDATA("dato",'[1]tabla dinámica pernocta'!$P$5,"categoría","3 *","mes",10,"año",2010)</f>
        <v>#REF!</v>
      </c>
      <c r="G7" s="52" t="e">
        <f>GETPIVOTDATA("dato",'[1]tabla dinámica pernocta'!$P$5,"categoría","4* y 5*","mes",10,"año",2010)</f>
        <v>#REF!</v>
      </c>
      <c r="H7" s="52" t="e">
        <f>GETPIVOTDATA("dato",'[1]tabla dinámica pernocta'!$P$5,"categoría","HOTELEROS","mes",10,"año",2010)</f>
        <v>#REF!</v>
      </c>
      <c r="I7" s="52" t="e">
        <f>GETPIVOTDATA("dato",'[1]tabla dinámica pernocta'!$P$5,"categoría","EXTRAHOTELEROS","mes",10,"año",2010)</f>
        <v>#REF!</v>
      </c>
      <c r="J7" s="52" t="e">
        <f>GETPIVOTDATA("dato",'[1]tabla dinámica pernocta'!$P$5,"categoría","TOTAL","mes",10,"año",2010)</f>
        <v>#REF!</v>
      </c>
    </row>
    <row r="8" spans="3:10" hidden="1">
      <c r="C8" s="51" t="s">
        <v>41</v>
      </c>
      <c r="D8" s="52" t="e">
        <f>GETPIVOTDATA("dato",'[1]tabla dinámica pernocta'!$P$5,"categoría","1*","mes",9,"año",2010)</f>
        <v>#REF!</v>
      </c>
      <c r="E8" s="52" t="e">
        <f>GETPIVOTDATA("dato",'[1]tabla dinámica pernocta'!$P$5,"categoría","2*","mes",9,"año",2010)</f>
        <v>#REF!</v>
      </c>
      <c r="F8" s="52" t="e">
        <f>GETPIVOTDATA("dato",'[1]tabla dinámica pernocta'!$P$5,"categoría","3 *","mes",9,"año",2010)</f>
        <v>#REF!</v>
      </c>
      <c r="G8" s="52" t="e">
        <f>GETPIVOTDATA("dato",'[1]tabla dinámica pernocta'!$P$5,"categoría","4* y 5*","mes",9,"año",2010)</f>
        <v>#REF!</v>
      </c>
      <c r="H8" s="52" t="e">
        <f>GETPIVOTDATA("dato",'[1]tabla dinámica pernocta'!$P$5,"categoría","HOTELEROS","mes",9,"año",2010)</f>
        <v>#REF!</v>
      </c>
      <c r="I8" s="52" t="e">
        <f>GETPIVOTDATA("dato",'[1]tabla dinámica pernocta'!$P$5,"categoría","EXTRAHOTELEROS","mes",9,"año",2010)</f>
        <v>#REF!</v>
      </c>
      <c r="J8" s="52" t="e">
        <f>GETPIVOTDATA("dato",'[1]tabla dinámica pernocta'!$P$5,"categoría","TOTAL","mes",9,"año",2010)</f>
        <v>#REF!</v>
      </c>
    </row>
    <row r="9" spans="3:10" hidden="1">
      <c r="C9" s="51" t="s">
        <v>42</v>
      </c>
      <c r="D9" s="52" t="e">
        <f>GETPIVOTDATA("dato",'[1]tabla dinámica pernocta'!$P$5,"categoría","1*","mes",8,"año",2010)</f>
        <v>#REF!</v>
      </c>
      <c r="E9" s="52" t="e">
        <f>GETPIVOTDATA("dato",'[1]tabla dinámica pernocta'!$P$5,"categoría","2*","mes",8,"año",2010)</f>
        <v>#REF!</v>
      </c>
      <c r="F9" s="52" t="e">
        <f>GETPIVOTDATA("dato",'[1]tabla dinámica pernocta'!$P$5,"categoría","3 *","mes",8,"año",2010)</f>
        <v>#REF!</v>
      </c>
      <c r="G9" s="52" t="e">
        <f>GETPIVOTDATA("dato",'[1]tabla dinámica pernocta'!$P$5,"categoría","4* y 5*","mes",8,"año",2010)</f>
        <v>#REF!</v>
      </c>
      <c r="H9" s="52" t="e">
        <f>GETPIVOTDATA("dato",'[1]tabla dinámica pernocta'!$P$5,"categoría","HOTELEROS","mes",8,"año",2010)</f>
        <v>#REF!</v>
      </c>
      <c r="I9" s="52" t="e">
        <f>GETPIVOTDATA("dato",'[1]tabla dinámica pernocta'!$P$5,"categoría","EXTRAHOTELEROS","mes",8,"año",2010)</f>
        <v>#REF!</v>
      </c>
      <c r="J9" s="52" t="e">
        <f>GETPIVOTDATA("dato",'[1]tabla dinámica pernocta'!$P$5,"categoría","TOTAL","mes",8,"año",2010)</f>
        <v>#REF!</v>
      </c>
    </row>
    <row r="10" spans="3:10">
      <c r="C10" s="51" t="s">
        <v>43</v>
      </c>
      <c r="D10" s="52">
        <f>GETPIVOTDATA("dato",'[1]tabla dinámica pernocta'!$P$5,"categoría","1*","mes",7,"año",2010)</f>
        <v>2232</v>
      </c>
      <c r="E10" s="52">
        <f>GETPIVOTDATA("dato",'[1]tabla dinámica pernocta'!$P$5,"categoría","2*","mes",7,"año",2010)</f>
        <v>7252</v>
      </c>
      <c r="F10" s="52">
        <f>GETPIVOTDATA("dato",'[1]tabla dinámica pernocta'!$P$5,"categoría","3 *","mes",7,"año",2010)</f>
        <v>6707</v>
      </c>
      <c r="G10" s="52">
        <f>GETPIVOTDATA("dato",'[1]tabla dinámica pernocta'!$P$5,"categoría","4* y 5*","mes",7,"año",2010)</f>
        <v>6743</v>
      </c>
      <c r="H10" s="52">
        <f>GETPIVOTDATA("dato",'[1]tabla dinámica pernocta'!$P$5,"categoría","HOTELEROS","mes",7,"año",2010)</f>
        <v>22934</v>
      </c>
      <c r="I10" s="52">
        <f>GETPIVOTDATA("dato",'[1]tabla dinámica pernocta'!$P$5,"categoría","EXTRAHOTELEROS","mes",7,"año",2010)</f>
        <v>0</v>
      </c>
      <c r="J10" s="52">
        <f>GETPIVOTDATA("dato",'[1]tabla dinámica pernocta'!$P$5,"categoría","TOTAL","mes",7,"año",2010)</f>
        <v>22934</v>
      </c>
    </row>
    <row r="11" spans="3:10">
      <c r="C11" s="51" t="s">
        <v>44</v>
      </c>
      <c r="D11" s="52">
        <f>GETPIVOTDATA("dato",'[1]tabla dinámica pernocta'!$P$5,"categoría","1*","mes",6,"año",2010)</f>
        <v>2321</v>
      </c>
      <c r="E11" s="52">
        <f>GETPIVOTDATA("dato",'[1]tabla dinámica pernocta'!$P$5,"categoría","2*","mes",6,"año",2010)</f>
        <v>8972</v>
      </c>
      <c r="F11" s="52">
        <f>GETPIVOTDATA("dato",'[1]tabla dinámica pernocta'!$P$5,"categoría","3 *","mes",6,"año",2010)</f>
        <v>8548</v>
      </c>
      <c r="G11" s="52">
        <f>GETPIVOTDATA("dato",'[1]tabla dinámica pernocta'!$P$5,"categoría","4* y 5*","mes",6,"año",2010)</f>
        <v>6286</v>
      </c>
      <c r="H11" s="52">
        <f>GETPIVOTDATA("dato",'[1]tabla dinámica pernocta'!$P$5,"categoría","HOTELEROS","mes",6,"año",2010)</f>
        <v>26127</v>
      </c>
      <c r="I11" s="52">
        <f>GETPIVOTDATA("dato",'[1]tabla dinámica pernocta'!$P$5,"categoría","EXTRAHOTELEROS","mes",6,"año",2010)</f>
        <v>0</v>
      </c>
      <c r="J11" s="52">
        <f>GETPIVOTDATA("dato",'[1]tabla dinámica pernocta'!$P$5,"categoría","TOTAL","mes",6,"año",2010)</f>
        <v>26127</v>
      </c>
    </row>
    <row r="12" spans="3:10">
      <c r="C12" s="51" t="s">
        <v>45</v>
      </c>
      <c r="D12" s="52">
        <f>GETPIVOTDATA("dato",'[1]tabla dinámica pernocta'!$P$5,"categoría","1*","mes",5,"año",2010)</f>
        <v>2187</v>
      </c>
      <c r="E12" s="52">
        <f>GETPIVOTDATA("dato",'[1]tabla dinámica pernocta'!$P$5,"categoría","2*","mes",5,"año",2010)</f>
        <v>8297</v>
      </c>
      <c r="F12" s="52">
        <f>GETPIVOTDATA("dato",'[1]tabla dinámica pernocta'!$P$5,"categoría","3 *","mes",5,"año",2010)</f>
        <v>7832</v>
      </c>
      <c r="G12" s="52">
        <f>GETPIVOTDATA("dato",'[1]tabla dinámica pernocta'!$P$5,"categoría","4* y 5*","mes",5,"año",2010)</f>
        <v>7000</v>
      </c>
      <c r="H12" s="52">
        <f>GETPIVOTDATA("dato",'[1]tabla dinámica pernocta'!$P$5,"categoría","HOTELEROS","mes",5,"año",2010)</f>
        <v>25316</v>
      </c>
      <c r="I12" s="52">
        <f>GETPIVOTDATA("dato",'[1]tabla dinámica pernocta'!$P$5,"categoría","EXTRAHOTELEROS","mes",5,"año",2010)</f>
        <v>0</v>
      </c>
      <c r="J12" s="52">
        <f>GETPIVOTDATA("dato",'[1]tabla dinámica pernocta'!$P$5,"categoría","TOTAL","mes",5,"año",2010)</f>
        <v>25316</v>
      </c>
    </row>
    <row r="13" spans="3:10">
      <c r="C13" s="51" t="s">
        <v>46</v>
      </c>
      <c r="D13" s="52">
        <f>GETPIVOTDATA("dato",'[1]tabla dinámica pernocta'!$P$5,"categoría","1*","mes",4,"año",2010)</f>
        <v>2180</v>
      </c>
      <c r="E13" s="52">
        <f>GETPIVOTDATA("dato",'[1]tabla dinámica pernocta'!$P$5,"categoría","2*","mes",4,"año",2010)</f>
        <v>8445</v>
      </c>
      <c r="F13" s="52">
        <f>GETPIVOTDATA("dato",'[1]tabla dinámica pernocta'!$P$5,"categoría","3 *","mes",4,"año",2010)</f>
        <v>9073</v>
      </c>
      <c r="G13" s="52">
        <f>GETPIVOTDATA("dato",'[1]tabla dinámica pernocta'!$P$5,"categoría","4* y 5*","mes",4,"año",2010)</f>
        <v>7852</v>
      </c>
      <c r="H13" s="52">
        <f>GETPIVOTDATA("dato",'[1]tabla dinámica pernocta'!$P$5,"categoría","HOTELEROS","mes",4,"año",2010)</f>
        <v>27550</v>
      </c>
      <c r="I13" s="52">
        <f>GETPIVOTDATA("dato",'[1]tabla dinámica pernocta'!$P$5,"categoría","EXTRAHOTELEROS","mes",4,"año",2010)</f>
        <v>0</v>
      </c>
      <c r="J13" s="52">
        <f>GETPIVOTDATA("dato",'[1]tabla dinámica pernocta'!$P$5,"categoría","TOTAL","mes",4,"año",2010)</f>
        <v>27550</v>
      </c>
    </row>
    <row r="14" spans="3:10">
      <c r="C14" s="51" t="s">
        <v>47</v>
      </c>
      <c r="D14" s="52">
        <f>GETPIVOTDATA("dato",'[1]tabla dinámica pernocta'!$P$5,"categoría","1*","mes",3,"año",2010)</f>
        <v>2621</v>
      </c>
      <c r="E14" s="52">
        <f>GETPIVOTDATA("dato",'[1]tabla dinámica pernocta'!$P$5,"categoría","2*","mes",3,"año",2010)</f>
        <v>8611</v>
      </c>
      <c r="F14" s="52">
        <f>GETPIVOTDATA("dato",'[1]tabla dinámica pernocta'!$P$5,"categoría","3 *","mes",3,"año",2010)</f>
        <v>8481</v>
      </c>
      <c r="G14" s="52">
        <f>GETPIVOTDATA("dato",'[1]tabla dinámica pernocta'!$P$5,"categoría","4* y 5*","mes",3,"año",2010)</f>
        <v>8752</v>
      </c>
      <c r="H14" s="52">
        <f>GETPIVOTDATA("dato",'[1]tabla dinámica pernocta'!$P$5,"categoría","HOTELEROS","mes",3,"año",2010)</f>
        <v>28465</v>
      </c>
      <c r="I14" s="52">
        <f>GETPIVOTDATA("dato",'[1]tabla dinámica pernocta'!$P$5,"categoría","EXTRAHOTELEROS","mes",3,"año",2010)</f>
        <v>0</v>
      </c>
      <c r="J14" s="52">
        <f>GETPIVOTDATA("dato",'[1]tabla dinámica pernocta'!$P$5,"categoría","TOTAL","mes",3,"año",2010)</f>
        <v>28465</v>
      </c>
    </row>
    <row r="15" spans="3:10">
      <c r="C15" s="51" t="s">
        <v>48</v>
      </c>
      <c r="D15" s="52">
        <f>GETPIVOTDATA("dato",'[1]tabla dinámica pernocta'!$P$5,"categoría","1*","mes",2,"año",2010)</f>
        <v>4100</v>
      </c>
      <c r="E15" s="52">
        <f>GETPIVOTDATA("dato",'[1]tabla dinámica pernocta'!$P$5,"categoría","2*","mes",2,"año",2010)</f>
        <v>11673</v>
      </c>
      <c r="F15" s="52">
        <f>GETPIVOTDATA("dato",'[1]tabla dinámica pernocta'!$P$5,"categoría","3 *","mes",2,"año",2010)</f>
        <v>9572</v>
      </c>
      <c r="G15" s="52">
        <f>GETPIVOTDATA("dato",'[1]tabla dinámica pernocta'!$P$5,"categoría","4* y 5*","mes",2,"año",2010)</f>
        <v>9286</v>
      </c>
      <c r="H15" s="52">
        <f>GETPIVOTDATA("dato",'[1]tabla dinámica pernocta'!$P$5,"categoría","HOTELEROS","mes",2,"año",2010)</f>
        <v>34631</v>
      </c>
      <c r="I15" s="52">
        <f>GETPIVOTDATA("dato",'[1]tabla dinámica pernocta'!$P$5,"categoría","EXTRAHOTELEROS","mes",2,"año",2010)</f>
        <v>0</v>
      </c>
      <c r="J15" s="52">
        <f>GETPIVOTDATA("dato",'[1]tabla dinámica pernocta'!$P$5,"categoría","TOTAL","mes",2,"año",2010)</f>
        <v>34631</v>
      </c>
    </row>
    <row r="16" spans="3:10">
      <c r="C16" s="51" t="s">
        <v>49</v>
      </c>
      <c r="D16" s="52">
        <f>GETPIVOTDATA("dato",'[1]tabla dinámica pernocta'!$P$5,"categoría","1*","mes",1,"año",2010)</f>
        <v>2552</v>
      </c>
      <c r="E16" s="52">
        <f>GETPIVOTDATA("dato",'[1]tabla dinámica pernocta'!$P$5,"categoría","2*","mes",1,"año",2010)</f>
        <v>8525</v>
      </c>
      <c r="F16" s="52">
        <f>GETPIVOTDATA("dato",'[1]tabla dinámica pernocta'!$P$5,"categoría","3 *","mes",1,"año",2010)</f>
        <v>8453</v>
      </c>
      <c r="G16" s="52">
        <f>GETPIVOTDATA("dato",'[1]tabla dinámica pernocta'!$P$5,"categoría","4* y 5*","mes",1,"año",2010)</f>
        <v>9115</v>
      </c>
      <c r="H16" s="52">
        <f>GETPIVOTDATA("dato",'[1]tabla dinámica pernocta'!$P$5,"categoría","HOTELEROS","mes",1,"año",2010)</f>
        <v>28645</v>
      </c>
      <c r="I16" s="52">
        <f>GETPIVOTDATA("dato",'[1]tabla dinámica pernocta'!$P$5,"categoría","EXTRAHOTELEROS","mes",1,"año",2010)</f>
        <v>0</v>
      </c>
      <c r="J16" s="52">
        <f>GETPIVOTDATA("dato",'[1]tabla dinámica pernocta'!$P$5,"categoría","TOTAL","mes",1,"año",2010)</f>
        <v>28645</v>
      </c>
    </row>
    <row r="17" spans="3:10" ht="30">
      <c r="C17" s="54" t="str">
        <f>actualizaciones!A2</f>
        <v xml:space="preserve">acumulado julio 2010 </v>
      </c>
      <c r="D17" s="55">
        <f>GETPIVOTDATA("dato",'[1]tabla dinámica pernocta'!$P$5,"categoría","1*","año",2010)</f>
        <v>18193</v>
      </c>
      <c r="E17" s="55">
        <f>GETPIVOTDATA("dato",'[1]tabla dinámica pernocta'!$P$5,"categoría","2*","año",2010)</f>
        <v>61775</v>
      </c>
      <c r="F17" s="55">
        <f>GETPIVOTDATA("dato",'[1]tabla dinámica pernocta'!$P$5,"categoría","3 *","año",2010)</f>
        <v>58666</v>
      </c>
      <c r="G17" s="55">
        <f>GETPIVOTDATA("dato",'[1]tabla dinámica pernocta'!$P$5,"categoría","4* y 5*","año",2010)</f>
        <v>55034</v>
      </c>
      <c r="H17" s="55">
        <f>GETPIVOTDATA("dato",'[1]tabla dinámica pernocta'!$P$5,"categoría","HOTELEROS","año",2010)</f>
        <v>193668</v>
      </c>
      <c r="I17" s="55">
        <f>GETPIVOTDATA("dato",'[1]tabla dinámica pernocta'!$P$5,"categoría","EXTRAHOTELEROS","año",2010)</f>
        <v>0</v>
      </c>
      <c r="J17" s="55">
        <f>GETPIVOTDATA("dato",'[1]tabla dinámica pernocta'!$P$5,"categoría","TOTAL","año",2010)</f>
        <v>193668</v>
      </c>
    </row>
    <row r="18" spans="3:10" hidden="1" outlineLevel="1">
      <c r="C18" s="51" t="s">
        <v>38</v>
      </c>
      <c r="D18" s="52">
        <f>GETPIVOTDATA("dato",'[1]tabla dinámica pernocta'!$P$5,"categoría","1*","mes",12,"año",2009)</f>
        <v>2757</v>
      </c>
      <c r="E18" s="52">
        <f>GETPIVOTDATA("dato",'[1]tabla dinámica pernocta'!$P$5,"categoría","2*","mes",12,"año",2009)</f>
        <v>10021</v>
      </c>
      <c r="F18" s="52">
        <f>GETPIVOTDATA("dato",'[1]tabla dinámica pernocta'!$P$5,"categoría","3 *","mes",12,"año",2009)</f>
        <v>8834</v>
      </c>
      <c r="G18" s="52">
        <f>GETPIVOTDATA("dato",'[1]tabla dinámica pernocta'!$P$5,"categoría","4* y 5*","mes",12,"año",2009)</f>
        <v>14464</v>
      </c>
      <c r="H18" s="52">
        <f>GETPIVOTDATA("dato",'[1]tabla dinámica pernocta'!$P$5,"categoría","HOTELEROS","mes",12,"año",2009)</f>
        <v>36076</v>
      </c>
      <c r="I18" s="52">
        <f>GETPIVOTDATA("dato",'[1]tabla dinámica pernocta'!$P$5,"categoría","EXTRAHOTELEROS","mes",12,"año",2009)</f>
        <v>0</v>
      </c>
      <c r="J18" s="52">
        <f>GETPIVOTDATA("dato",'[1]tabla dinámica pernocta'!$P$5,"categoría","TOTAL","mes",12,"año",2009)</f>
        <v>36076</v>
      </c>
    </row>
    <row r="19" spans="3:10" hidden="1" outlineLevel="1">
      <c r="C19" s="51" t="s">
        <v>39</v>
      </c>
      <c r="D19" s="52">
        <f>GETPIVOTDATA("dato",'[1]tabla dinámica pernocta'!$P$5,"categoría","1*","mes",11,"año",2009)</f>
        <v>2641</v>
      </c>
      <c r="E19" s="52">
        <f>GETPIVOTDATA("dato",'[1]tabla dinámica pernocta'!$P$5,"categoría","2*","mes",11,"año",2009)</f>
        <v>8998</v>
      </c>
      <c r="F19" s="52">
        <f>GETPIVOTDATA("dato",'[1]tabla dinámica pernocta'!$P$5,"categoría","3 *","mes",11,"año",2009)</f>
        <v>8192</v>
      </c>
      <c r="G19" s="52">
        <f>GETPIVOTDATA("dato",'[1]tabla dinámica pernocta'!$P$5,"categoría","4* y 5*","mes",11,"año",2009)</f>
        <v>7873</v>
      </c>
      <c r="H19" s="52">
        <f>GETPIVOTDATA("dato",'[1]tabla dinámica pernocta'!$P$5,"categoría","HOTELEROS","mes",11,"año",2009)</f>
        <v>27704</v>
      </c>
      <c r="I19" s="52">
        <f>GETPIVOTDATA("dato",'[1]tabla dinámica pernocta'!$P$5,"categoría","EXTRAHOTELEROS","mes",11,"año",2009)</f>
        <v>0</v>
      </c>
      <c r="J19" s="52">
        <f>GETPIVOTDATA("dato",'[1]tabla dinámica pernocta'!$P$5,"categoría","TOTAL","mes",11,"año",2009)</f>
        <v>27704</v>
      </c>
    </row>
    <row r="20" spans="3:10" hidden="1" outlineLevel="1">
      <c r="C20" s="51" t="s">
        <v>40</v>
      </c>
      <c r="D20" s="52">
        <f>GETPIVOTDATA("dato",'[1]tabla dinámica pernocta'!$P$5,"categoría","1*","mes",10,"año",2009)</f>
        <v>2657</v>
      </c>
      <c r="E20" s="52">
        <f>GETPIVOTDATA("dato",'[1]tabla dinámica pernocta'!$P$5,"categoría","2*","mes",10,"año",2009)</f>
        <v>8588</v>
      </c>
      <c r="F20" s="52">
        <f>GETPIVOTDATA("dato",'[1]tabla dinámica pernocta'!$P$5,"categoría","3 *","mes",10,"año",2009)</f>
        <v>8603</v>
      </c>
      <c r="G20" s="52">
        <f>GETPIVOTDATA("dato",'[1]tabla dinámica pernocta'!$P$5,"categoría","4* y 5*","mes",10,"año",2009)</f>
        <v>9122</v>
      </c>
      <c r="H20" s="52">
        <f>GETPIVOTDATA("dato",'[1]tabla dinámica pernocta'!$P$5,"categoría","HOTELEROS","mes",10,"año",2009)</f>
        <v>28970</v>
      </c>
      <c r="I20" s="52">
        <f>GETPIVOTDATA("dato",'[1]tabla dinámica pernocta'!$P$5,"categoría","EXTRAHOTELEROS","mes",10,"año",2009)</f>
        <v>0</v>
      </c>
      <c r="J20" s="52">
        <f>GETPIVOTDATA("dato",'[1]tabla dinámica pernocta'!$P$5,"categoría","TOTAL","mes",10,"año",2009)</f>
        <v>28970</v>
      </c>
    </row>
    <row r="21" spans="3:10" hidden="1" outlineLevel="1">
      <c r="C21" s="51" t="s">
        <v>41</v>
      </c>
      <c r="D21" s="52">
        <f>GETPIVOTDATA("dato",'[1]tabla dinámica pernocta'!$P$5,"categoría","1*","mes",9,"año",2009)</f>
        <v>2612</v>
      </c>
      <c r="E21" s="52">
        <f>GETPIVOTDATA("dato",'[1]tabla dinámica pernocta'!$P$5,"categoría","2*","mes",9,"año",2009)</f>
        <v>6869</v>
      </c>
      <c r="F21" s="52">
        <f>GETPIVOTDATA("dato",'[1]tabla dinámica pernocta'!$P$5,"categoría","3 *","mes",9,"año",2009)</f>
        <v>8146</v>
      </c>
      <c r="G21" s="52">
        <f>GETPIVOTDATA("dato",'[1]tabla dinámica pernocta'!$P$5,"categoría","4* y 5*","mes",9,"año",2009)</f>
        <v>8234</v>
      </c>
      <c r="H21" s="52">
        <f>GETPIVOTDATA("dato",'[1]tabla dinámica pernocta'!$P$5,"categoría","HOTELEROS","mes",9,"año",2009)</f>
        <v>25861</v>
      </c>
      <c r="I21" s="52">
        <f>GETPIVOTDATA("dato",'[1]tabla dinámica pernocta'!$P$5,"categoría","EXTRAHOTELEROS","mes",9,"año",2009)</f>
        <v>0</v>
      </c>
      <c r="J21" s="52">
        <f>GETPIVOTDATA("dato",'[1]tabla dinámica pernocta'!$P$5,"categoría","TOTAL","mes",9,"año",2009)</f>
        <v>25861</v>
      </c>
    </row>
    <row r="22" spans="3:10" hidden="1" outlineLevel="1">
      <c r="C22" s="51" t="s">
        <v>42</v>
      </c>
      <c r="D22" s="52">
        <f>GETPIVOTDATA("dato",'[1]tabla dinámica pernocta'!$P$5,"categoría","1*","mes",8,"año",2009)</f>
        <v>2510</v>
      </c>
      <c r="E22" s="52">
        <f>GETPIVOTDATA("dato",'[1]tabla dinámica pernocta'!$P$5,"categoría","2*","mes",8,"año",2009)</f>
        <v>5995</v>
      </c>
      <c r="F22" s="52">
        <f>GETPIVOTDATA("dato",'[1]tabla dinámica pernocta'!$P$5,"categoría","3 *","mes",8,"año",2009)</f>
        <v>5828</v>
      </c>
      <c r="G22" s="52">
        <f>GETPIVOTDATA("dato",'[1]tabla dinámica pernocta'!$P$5,"categoría","4* y 5*","mes",8,"año",2009)</f>
        <v>7051</v>
      </c>
      <c r="H22" s="52">
        <f>GETPIVOTDATA("dato",'[1]tabla dinámica pernocta'!$P$5,"categoría","HOTELEROS","mes",8,"año",2009)</f>
        <v>21384</v>
      </c>
      <c r="I22" s="52">
        <f>GETPIVOTDATA("dato",'[1]tabla dinámica pernocta'!$P$5,"categoría","EXTRAHOTELEROS","mes",8,"año",2009)</f>
        <v>0</v>
      </c>
      <c r="J22" s="52">
        <f>GETPIVOTDATA("dato",'[1]tabla dinámica pernocta'!$P$5,"categoría","TOTAL","mes",8,"año",2009)</f>
        <v>21384</v>
      </c>
    </row>
    <row r="23" spans="3:10" hidden="1" outlineLevel="1">
      <c r="C23" s="51" t="s">
        <v>43</v>
      </c>
      <c r="D23" s="52">
        <f>GETPIVOTDATA("dato",'[1]tabla dinámica pernocta'!$P$5,"categoría","1*","mes",7,"año",2009)</f>
        <v>2479</v>
      </c>
      <c r="E23" s="52">
        <f>GETPIVOTDATA("dato",'[1]tabla dinámica pernocta'!$P$5,"categoría","2*","mes",7,"año",2009)</f>
        <v>8912</v>
      </c>
      <c r="F23" s="52">
        <f>GETPIVOTDATA("dato",'[1]tabla dinámica pernocta'!$P$5,"categoría","3 *","mes",7,"año",2009)</f>
        <v>7896</v>
      </c>
      <c r="G23" s="52">
        <f>GETPIVOTDATA("dato",'[1]tabla dinámica pernocta'!$P$5,"categoría","4* y 5*","mes",7,"año",2009)</f>
        <v>7973</v>
      </c>
      <c r="H23" s="52">
        <f>GETPIVOTDATA("dato",'[1]tabla dinámica pernocta'!$P$5,"categoría","HOTELEROS","mes",7,"año",2009)</f>
        <v>27260</v>
      </c>
      <c r="I23" s="52">
        <f>GETPIVOTDATA("dato",'[1]tabla dinámica pernocta'!$P$5,"categoría","EXTRAHOTELEROS","mes",7,"año",2009)</f>
        <v>0</v>
      </c>
      <c r="J23" s="52">
        <f>GETPIVOTDATA("dato",'[1]tabla dinámica pernocta'!$P$5,"categoría","TOTAL","mes",7,"año",2009)</f>
        <v>27260</v>
      </c>
    </row>
    <row r="24" spans="3:10" hidden="1" outlineLevel="1">
      <c r="C24" s="51" t="s">
        <v>44</v>
      </c>
      <c r="D24" s="52">
        <f>GETPIVOTDATA("dato",'[1]tabla dinámica pernocta'!$P$5,"categoría","1*","mes",6,"año",2009)</f>
        <v>2710</v>
      </c>
      <c r="E24" s="52">
        <f>GETPIVOTDATA("dato",'[1]tabla dinámica pernocta'!$P$5,"categoría","2*","mes",6,"año",2009)</f>
        <v>8506</v>
      </c>
      <c r="F24" s="52">
        <f>GETPIVOTDATA("dato",'[1]tabla dinámica pernocta'!$P$5,"categoría","3 *","mes",6,"año",2009)</f>
        <v>7331</v>
      </c>
      <c r="G24" s="52">
        <f>GETPIVOTDATA("dato",'[1]tabla dinámica pernocta'!$P$5,"categoría","4* y 5*","mes",6,"año",2009)</f>
        <v>9555</v>
      </c>
      <c r="H24" s="52">
        <f>GETPIVOTDATA("dato",'[1]tabla dinámica pernocta'!$P$5,"categoría","HOTELEROS","mes",6,"año",2009)</f>
        <v>28102</v>
      </c>
      <c r="I24" s="52">
        <f>GETPIVOTDATA("dato",'[1]tabla dinámica pernocta'!$P$5,"categoría","EXTRAHOTELEROS","mes",6,"año",2009)</f>
        <v>0</v>
      </c>
      <c r="J24" s="52">
        <f>GETPIVOTDATA("dato",'[1]tabla dinámica pernocta'!$P$5,"categoría","TOTAL","mes",6,"año",2009)</f>
        <v>28102</v>
      </c>
    </row>
    <row r="25" spans="3:10" hidden="1" outlineLevel="1">
      <c r="C25" s="51" t="s">
        <v>45</v>
      </c>
      <c r="D25" s="52">
        <f>GETPIVOTDATA("dato",'[1]tabla dinámica pernocta'!$P$5,"categoría","1*","mes",5,"año",2009)</f>
        <v>2592</v>
      </c>
      <c r="E25" s="52">
        <f>GETPIVOTDATA("dato",'[1]tabla dinámica pernocta'!$P$5,"categoría","2*","mes",5,"año",2009)</f>
        <v>10077</v>
      </c>
      <c r="F25" s="52">
        <f>GETPIVOTDATA("dato",'[1]tabla dinámica pernocta'!$P$5,"categoría","3 *","mes",5,"año",2009)</f>
        <v>8471</v>
      </c>
      <c r="G25" s="52">
        <f>GETPIVOTDATA("dato",'[1]tabla dinámica pernocta'!$P$5,"categoría","4* y 5*","mes",5,"año",2009)</f>
        <v>9001</v>
      </c>
      <c r="H25" s="52">
        <f>GETPIVOTDATA("dato",'[1]tabla dinámica pernocta'!$P$5,"categoría","HOTELEROS","mes",5,"año",2009)</f>
        <v>30141</v>
      </c>
      <c r="I25" s="52">
        <f>GETPIVOTDATA("dato",'[1]tabla dinámica pernocta'!$P$5,"categoría","EXTRAHOTELEROS","mes",5,"año",2009)</f>
        <v>0</v>
      </c>
      <c r="J25" s="52">
        <f>GETPIVOTDATA("dato",'[1]tabla dinámica pernocta'!$P$5,"categoría","TOTAL","mes",5,"año",2009)</f>
        <v>30141</v>
      </c>
    </row>
    <row r="26" spans="3:10" hidden="1" outlineLevel="1">
      <c r="C26" s="51" t="s">
        <v>46</v>
      </c>
      <c r="D26" s="52">
        <f>GETPIVOTDATA("dato",'[1]tabla dinámica pernocta'!$P$5,"categoría","1*","mes",4,"año",2009)</f>
        <v>2793</v>
      </c>
      <c r="E26" s="52">
        <f>GETPIVOTDATA("dato",'[1]tabla dinámica pernocta'!$P$5,"categoría","2*","mes",4,"año",2009)</f>
        <v>10076</v>
      </c>
      <c r="F26" s="52">
        <f>GETPIVOTDATA("dato",'[1]tabla dinámica pernocta'!$P$5,"categoría","3 *","mes",4,"año",2009)</f>
        <v>7906</v>
      </c>
      <c r="G26" s="52">
        <f>GETPIVOTDATA("dato",'[1]tabla dinámica pernocta'!$P$5,"categoría","4* y 5*","mes",4,"año",2009)</f>
        <v>9062</v>
      </c>
      <c r="H26" s="52">
        <f>GETPIVOTDATA("dato",'[1]tabla dinámica pernocta'!$P$5,"categoría","HOTELEROS","mes",4,"año",2009)</f>
        <v>29837</v>
      </c>
      <c r="I26" s="52">
        <f>GETPIVOTDATA("dato",'[1]tabla dinámica pernocta'!$P$5,"categoría","EXTRAHOTELEROS","mes",4,"año",2009)</f>
        <v>0</v>
      </c>
      <c r="J26" s="52">
        <f>GETPIVOTDATA("dato",'[1]tabla dinámica pernocta'!$P$5,"categoría","TOTAL","mes",4,"año",2009)</f>
        <v>29837</v>
      </c>
    </row>
    <row r="27" spans="3:10" hidden="1" outlineLevel="1">
      <c r="C27" s="51" t="s">
        <v>47</v>
      </c>
      <c r="D27" s="52">
        <f>GETPIVOTDATA("dato",'[1]tabla dinámica pernocta'!$P$5,"categoría","1*","mes",3,"año",2009)</f>
        <v>3115</v>
      </c>
      <c r="E27" s="52">
        <f>GETPIVOTDATA("dato",'[1]tabla dinámica pernocta'!$P$5,"categoría","2*","mes",3,"año",2009)</f>
        <v>14322</v>
      </c>
      <c r="F27" s="52">
        <f>GETPIVOTDATA("dato",'[1]tabla dinámica pernocta'!$P$5,"categoría","3 *","mes",3,"año",2009)</f>
        <v>9338</v>
      </c>
      <c r="G27" s="52">
        <f>GETPIVOTDATA("dato",'[1]tabla dinámica pernocta'!$P$5,"categoría","4* y 5*","mes",3,"año",2009)</f>
        <v>9889</v>
      </c>
      <c r="H27" s="52">
        <f>GETPIVOTDATA("dato",'[1]tabla dinámica pernocta'!$P$5,"categoría","HOTELEROS","mes",3,"año",2009)</f>
        <v>36664</v>
      </c>
      <c r="I27" s="52">
        <f>GETPIVOTDATA("dato",'[1]tabla dinámica pernocta'!$P$5,"categoría","EXTRAHOTELEROS","mes",3,"año",2009)</f>
        <v>0</v>
      </c>
      <c r="J27" s="52">
        <f>GETPIVOTDATA("dato",'[1]tabla dinámica pernocta'!$P$5,"categoría","TOTAL","mes",3,"año",2009)</f>
        <v>36664</v>
      </c>
    </row>
    <row r="28" spans="3:10" hidden="1" outlineLevel="1">
      <c r="C28" s="51" t="s">
        <v>48</v>
      </c>
      <c r="D28" s="52">
        <f>GETPIVOTDATA("dato",'[1]tabla dinámica pernocta'!$P$5,"categoría","1*","mes",2,"año",2009)</f>
        <v>3401</v>
      </c>
      <c r="E28" s="52">
        <f>GETPIVOTDATA("dato",'[1]tabla dinámica pernocta'!$P$5,"categoría","2*","mes",2,"año",2009)</f>
        <v>12068</v>
      </c>
      <c r="F28" s="52">
        <f>GETPIVOTDATA("dato",'[1]tabla dinámica pernocta'!$P$5,"categoría","3 *","mes",2,"año",2009)</f>
        <v>9283</v>
      </c>
      <c r="G28" s="52">
        <f>GETPIVOTDATA("dato",'[1]tabla dinámica pernocta'!$P$5,"categoría","4* y 5*","mes",2,"año",2009)</f>
        <v>14521</v>
      </c>
      <c r="H28" s="52">
        <f>GETPIVOTDATA("dato",'[1]tabla dinámica pernocta'!$P$5,"categoría","HOTELEROS","mes",2,"año",2009)</f>
        <v>39273</v>
      </c>
      <c r="I28" s="52">
        <f>GETPIVOTDATA("dato",'[1]tabla dinámica pernocta'!$P$5,"categoría","EXTRAHOTELEROS","mes",2,"año",2009)</f>
        <v>0</v>
      </c>
      <c r="J28" s="52">
        <f>GETPIVOTDATA("dato",'[1]tabla dinámica pernocta'!$P$5,"categoría","TOTAL","mes",2,"año",2009)</f>
        <v>39273</v>
      </c>
    </row>
    <row r="29" spans="3:10" hidden="1" outlineLevel="1">
      <c r="C29" s="51" t="s">
        <v>49</v>
      </c>
      <c r="D29" s="52">
        <f>GETPIVOTDATA("dato",'[1]tabla dinámica pernocta'!$P$5,"categoría","1*","mes",1,"año",2009)</f>
        <v>2765</v>
      </c>
      <c r="E29" s="52">
        <f>GETPIVOTDATA("dato",'[1]tabla dinámica pernocta'!$P$5,"categoría","2*","mes",1,"año",2009)</f>
        <v>11450</v>
      </c>
      <c r="F29" s="52">
        <f>GETPIVOTDATA("dato",'[1]tabla dinámica pernocta'!$P$5,"categoría","3 *","mes",1,"año",2009)</f>
        <v>7147</v>
      </c>
      <c r="G29" s="52">
        <f>GETPIVOTDATA("dato",'[1]tabla dinámica pernocta'!$P$5,"categoría","4* y 5*","mes",1,"año",2009)</f>
        <v>11617</v>
      </c>
      <c r="H29" s="52">
        <f>GETPIVOTDATA("dato",'[1]tabla dinámica pernocta'!$P$5,"categoría","HOTELEROS","mes",1,"año",2009)</f>
        <v>32979</v>
      </c>
      <c r="I29" s="52">
        <f>GETPIVOTDATA("dato",'[1]tabla dinámica pernocta'!$P$5,"categoría","EXTRAHOTELEROS","mes",1,"año",2009)</f>
        <v>0</v>
      </c>
      <c r="J29" s="52">
        <f>GETPIVOTDATA("dato",'[1]tabla dinámica pernocta'!$P$5,"categoría","TOTAL","mes",1,"año",2009)</f>
        <v>32979</v>
      </c>
    </row>
    <row r="30" spans="3:10" collapsed="1">
      <c r="C30" s="163">
        <v>2009</v>
      </c>
      <c r="D30" s="57">
        <f>GETPIVOTDATA("dato",'[1]tabla dinámica pernocta'!$P$5,"categoría","1*","año",2009)</f>
        <v>33032</v>
      </c>
      <c r="E30" s="57">
        <f>GETPIVOTDATA("dato",'[1]tabla dinámica pernocta'!$P$5,"categoría","2*","año",2009)</f>
        <v>115882</v>
      </c>
      <c r="F30" s="57">
        <f>GETPIVOTDATA("dato",'[1]tabla dinámica pernocta'!$P$5,"categoría","3 *","año",2009)</f>
        <v>96975</v>
      </c>
      <c r="G30" s="57">
        <f>GETPIVOTDATA("dato",'[1]tabla dinámica pernocta'!$P$5,"categoría","4* y 5*","año",2009)</f>
        <v>118362</v>
      </c>
      <c r="H30" s="57">
        <f>GETPIVOTDATA("dato",'[1]tabla dinámica pernocta'!$P$5,"categoría","HOTELEROS","año",2009)</f>
        <v>364251</v>
      </c>
      <c r="I30" s="57">
        <f>GETPIVOTDATA("dato",'[1]tabla dinámica pernocta'!$P$5,"categoría","EXTRAHOTELEROS","año",2009)</f>
        <v>0</v>
      </c>
      <c r="J30" s="57">
        <f>GETPIVOTDATA("dato",'[1]tabla dinámica pernocta'!$P$5,"categoría","TOTAL","año",2009)</f>
        <v>364251</v>
      </c>
    </row>
    <row r="31" spans="3:10" hidden="1" outlineLevel="1">
      <c r="C31" s="51" t="s">
        <v>38</v>
      </c>
      <c r="D31" s="52">
        <f>GETPIVOTDATA("dato",'[1]tabla dinámica pernocta'!$P$5,"categoría","1*","mes",12,"año",2008)</f>
        <v>4536</v>
      </c>
      <c r="E31" s="52">
        <f>GETPIVOTDATA("dato",'[1]tabla dinámica pernocta'!$P$5,"categoría","2*","mes",12,"año",2008)</f>
        <v>15755</v>
      </c>
      <c r="F31" s="52">
        <f>GETPIVOTDATA("dato",'[1]tabla dinámica pernocta'!$P$5,"categoría","3 *","mes",12,"año",2008)</f>
        <v>7320</v>
      </c>
      <c r="G31" s="52">
        <f>GETPIVOTDATA("dato",'[1]tabla dinámica pernocta'!$P$5,"categoría","4* y 5*","mes",12,"año",2008)</f>
        <v>10557</v>
      </c>
      <c r="H31" s="52">
        <f>GETPIVOTDATA("dato",'[1]tabla dinámica pernocta'!$P$5,"categoría","HOTELEROS","mes",12,"año",2008)</f>
        <v>38168</v>
      </c>
      <c r="I31" s="52">
        <f>GETPIVOTDATA("dato",'[1]tabla dinámica pernocta'!$P$5,"categoría","EXTRAHOTELEROS","mes",12,"año",2008)</f>
        <v>0</v>
      </c>
      <c r="J31" s="52">
        <f>GETPIVOTDATA("dato",'[1]tabla dinámica pernocta'!$P$5,"categoría","TOTAL","mes",12,"año",2008)</f>
        <v>38168</v>
      </c>
    </row>
    <row r="32" spans="3:10" hidden="1" outlineLevel="1">
      <c r="C32" s="51" t="s">
        <v>39</v>
      </c>
      <c r="D32" s="52">
        <f>GETPIVOTDATA("dato",'[1]tabla dinámica pernocta'!$P$5,"categoría","1*","mes",11,"año",2008)</f>
        <v>4601</v>
      </c>
      <c r="E32" s="52">
        <f>GETPIVOTDATA("dato",'[1]tabla dinámica pernocta'!$P$5,"categoría","2*","mes",11,"año",2008)</f>
        <v>16539</v>
      </c>
      <c r="F32" s="52">
        <f>GETPIVOTDATA("dato",'[1]tabla dinámica pernocta'!$P$5,"categoría","3 *","mes",11,"año",2008)</f>
        <v>9504</v>
      </c>
      <c r="G32" s="52">
        <f>GETPIVOTDATA("dato",'[1]tabla dinámica pernocta'!$P$5,"categoría","4* y 5*","mes",11,"año",2008)</f>
        <v>11798</v>
      </c>
      <c r="H32" s="52">
        <f>GETPIVOTDATA("dato",'[1]tabla dinámica pernocta'!$P$5,"categoría","HOTELEROS","mes",11,"año",2008)</f>
        <v>42442</v>
      </c>
      <c r="I32" s="52">
        <f>GETPIVOTDATA("dato",'[1]tabla dinámica pernocta'!$P$5,"categoría","EXTRAHOTELEROS","mes",11,"año",2008)</f>
        <v>0</v>
      </c>
      <c r="J32" s="52">
        <f>GETPIVOTDATA("dato",'[1]tabla dinámica pernocta'!$P$5,"categoría","TOTAL","mes",11,"año",2008)</f>
        <v>42442</v>
      </c>
    </row>
    <row r="33" spans="3:10" hidden="1" outlineLevel="1">
      <c r="C33" s="51" t="s">
        <v>40</v>
      </c>
      <c r="D33" s="52">
        <f>GETPIVOTDATA("dato",'[1]tabla dinámica pernocta'!$P$5,"categoría","1*","mes",10,"año",2008)</f>
        <v>4975</v>
      </c>
      <c r="E33" s="52">
        <f>GETPIVOTDATA("dato",'[1]tabla dinámica pernocta'!$P$5,"categoría","2*","mes",10,"año",2008)</f>
        <v>17113</v>
      </c>
      <c r="F33" s="52">
        <f>GETPIVOTDATA("dato",'[1]tabla dinámica pernocta'!$P$5,"categoría","3 *","mes",10,"año",2008)</f>
        <v>10359</v>
      </c>
      <c r="G33" s="52">
        <f>GETPIVOTDATA("dato",'[1]tabla dinámica pernocta'!$P$5,"categoría","4* y 5*","mes",10,"año",2008)</f>
        <v>10667</v>
      </c>
      <c r="H33" s="52">
        <f>GETPIVOTDATA("dato",'[1]tabla dinámica pernocta'!$P$5,"categoría","HOTELEROS","mes",10,"año",2008)</f>
        <v>43114</v>
      </c>
      <c r="I33" s="52">
        <f>GETPIVOTDATA("dato",'[1]tabla dinámica pernocta'!$P$5,"categoría","EXTRAHOTELEROS","mes",10,"año",2008)</f>
        <v>0</v>
      </c>
      <c r="J33" s="52">
        <f>GETPIVOTDATA("dato",'[1]tabla dinámica pernocta'!$P$5,"categoría","TOTAL","mes",10,"año",2008)</f>
        <v>43114</v>
      </c>
    </row>
    <row r="34" spans="3:10" hidden="1" outlineLevel="1">
      <c r="C34" s="51" t="s">
        <v>41</v>
      </c>
      <c r="D34" s="52">
        <f>GETPIVOTDATA("dato",'[1]tabla dinámica pernocta'!$P$5,"categoría","1*","mes",9,"año",2008)</f>
        <v>4059</v>
      </c>
      <c r="E34" s="52">
        <f>GETPIVOTDATA("dato",'[1]tabla dinámica pernocta'!$P$5,"categoría","2*","mes",9,"año",2008)</f>
        <v>11705</v>
      </c>
      <c r="F34" s="52">
        <f>GETPIVOTDATA("dato",'[1]tabla dinámica pernocta'!$P$5,"categoría","3 *","mes",9,"año",2008)</f>
        <v>8917</v>
      </c>
      <c r="G34" s="52">
        <f>GETPIVOTDATA("dato",'[1]tabla dinámica pernocta'!$P$5,"categoría","4* y 5*","mes",9,"año",2008)</f>
        <v>9463</v>
      </c>
      <c r="H34" s="52">
        <f>GETPIVOTDATA("dato",'[1]tabla dinámica pernocta'!$P$5,"categoría","HOTELEROS","mes",9,"año",2008)</f>
        <v>34144</v>
      </c>
      <c r="I34" s="52">
        <f>GETPIVOTDATA("dato",'[1]tabla dinámica pernocta'!$P$5,"categoría","EXTRAHOTELEROS","mes",9,"año",2008)</f>
        <v>0</v>
      </c>
      <c r="J34" s="52">
        <f>GETPIVOTDATA("dato",'[1]tabla dinámica pernocta'!$P$5,"categoría","TOTAL","mes",9,"año",2008)</f>
        <v>34144</v>
      </c>
    </row>
    <row r="35" spans="3:10" ht="15" hidden="1" customHeight="1" outlineLevel="1">
      <c r="C35" s="51" t="s">
        <v>42</v>
      </c>
      <c r="D35" s="52">
        <f>GETPIVOTDATA("dato",'[1]tabla dinámica pernocta'!$P$5,"categoría","1*","mes",8,"año",2008)</f>
        <v>4447</v>
      </c>
      <c r="E35" s="52">
        <f>GETPIVOTDATA("dato",'[1]tabla dinámica pernocta'!$P$5,"categoría","2*","mes",8,"año",2008)</f>
        <v>9972</v>
      </c>
      <c r="F35" s="52">
        <f>GETPIVOTDATA("dato",'[1]tabla dinámica pernocta'!$P$5,"categoría","3 *","mes",8,"año",2008)</f>
        <v>8386</v>
      </c>
      <c r="G35" s="52">
        <f>GETPIVOTDATA("dato",'[1]tabla dinámica pernocta'!$P$5,"categoría","4* y 5*","mes",8,"año",2008)</f>
        <v>9084</v>
      </c>
      <c r="H35" s="52">
        <f>GETPIVOTDATA("dato",'[1]tabla dinámica pernocta'!$P$5,"categoría","HOTELEROS","mes",8,"año",2008)</f>
        <v>31889</v>
      </c>
      <c r="I35" s="52">
        <f>GETPIVOTDATA("dato",'[1]tabla dinámica pernocta'!$P$5,"categoría","EXTRAHOTELEROS","mes",8,"año",2008)</f>
        <v>0</v>
      </c>
      <c r="J35" s="52">
        <f>GETPIVOTDATA("dato",'[1]tabla dinámica pernocta'!$P$5,"categoría","TOTAL","mes",8,"año",2008)</f>
        <v>31889</v>
      </c>
    </row>
    <row r="36" spans="3:10" ht="15" hidden="1" customHeight="1" outlineLevel="1">
      <c r="C36" s="51" t="s">
        <v>43</v>
      </c>
      <c r="D36" s="52">
        <f>GETPIVOTDATA("dato",'[1]tabla dinámica pernocta'!$P$5,"categoría","1*","mes",7,"año",2008)</f>
        <v>5145</v>
      </c>
      <c r="E36" s="52">
        <f>GETPIVOTDATA("dato",'[1]tabla dinámica pernocta'!$P$5,"categoría","2*","mes",7,"año",2008)</f>
        <v>16350</v>
      </c>
      <c r="F36" s="52">
        <f>GETPIVOTDATA("dato",'[1]tabla dinámica pernocta'!$P$5,"categoría","3 *","mes",7,"año",2008)</f>
        <v>8345</v>
      </c>
      <c r="G36" s="52">
        <f>GETPIVOTDATA("dato",'[1]tabla dinámica pernocta'!$P$5,"categoría","4* y 5*","mes",7,"año",2008)</f>
        <v>12415</v>
      </c>
      <c r="H36" s="52">
        <f>GETPIVOTDATA("dato",'[1]tabla dinámica pernocta'!$P$5,"categoría","HOTELEROS","mes",7,"año",2008)</f>
        <v>42255</v>
      </c>
      <c r="I36" s="52">
        <f>GETPIVOTDATA("dato",'[1]tabla dinámica pernocta'!$P$5,"categoría","EXTRAHOTELEROS","mes",7,"año",2008)</f>
        <v>0</v>
      </c>
      <c r="J36" s="52">
        <f>GETPIVOTDATA("dato",'[1]tabla dinámica pernocta'!$P$5,"categoría","TOTAL","mes",7,"año",2008)</f>
        <v>42255</v>
      </c>
    </row>
    <row r="37" spans="3:10" ht="15" hidden="1" customHeight="1" outlineLevel="1">
      <c r="C37" s="51" t="s">
        <v>44</v>
      </c>
      <c r="D37" s="52">
        <f>GETPIVOTDATA("dato",'[1]tabla dinámica pernocta'!$P$5,"categoría","1*","mes",6,"año",2008)</f>
        <v>4264</v>
      </c>
      <c r="E37" s="52">
        <f>GETPIVOTDATA("dato",'[1]tabla dinámica pernocta'!$P$5,"categoría","2*","mes",6,"año",2008)</f>
        <v>14113</v>
      </c>
      <c r="F37" s="52">
        <f>GETPIVOTDATA("dato",'[1]tabla dinámica pernocta'!$P$5,"categoría","3 *","mes",6,"año",2008)</f>
        <v>9496</v>
      </c>
      <c r="G37" s="52">
        <f>GETPIVOTDATA("dato",'[1]tabla dinámica pernocta'!$P$5,"categoría","4* y 5*","mes",6,"año",2008)</f>
        <v>11263</v>
      </c>
      <c r="H37" s="52">
        <f>GETPIVOTDATA("dato",'[1]tabla dinámica pernocta'!$P$5,"categoría","HOTELEROS","mes",6,"año",2008)</f>
        <v>39136</v>
      </c>
      <c r="I37" s="52">
        <f>GETPIVOTDATA("dato",'[1]tabla dinámica pernocta'!$P$5,"categoría","EXTRAHOTELEROS","mes",6,"año",2008)</f>
        <v>0</v>
      </c>
      <c r="J37" s="52">
        <f>GETPIVOTDATA("dato",'[1]tabla dinámica pernocta'!$P$5,"categoría","TOTAL","mes",6,"año",2008)</f>
        <v>39136</v>
      </c>
    </row>
    <row r="38" spans="3:10" hidden="1" outlineLevel="1">
      <c r="C38" s="51" t="s">
        <v>45</v>
      </c>
      <c r="D38" s="52">
        <f>GETPIVOTDATA("dato",'[1]tabla dinámica pernocta'!$P$5,"categoría","1*","mes",5,"año",2008)</f>
        <v>4360</v>
      </c>
      <c r="E38" s="52">
        <f>GETPIVOTDATA("dato",'[1]tabla dinámica pernocta'!$P$5,"categoría","2*","mes",5,"año",2008)</f>
        <v>16683</v>
      </c>
      <c r="F38" s="52">
        <f>GETPIVOTDATA("dato",'[1]tabla dinámica pernocta'!$P$5,"categoría","3 *","mes",5,"año",2008)</f>
        <v>9003</v>
      </c>
      <c r="G38" s="52">
        <f>GETPIVOTDATA("dato",'[1]tabla dinámica pernocta'!$P$5,"categoría","4* y 5*","mes",5,"año",2008)</f>
        <v>17376</v>
      </c>
      <c r="H38" s="52">
        <f>GETPIVOTDATA("dato",'[1]tabla dinámica pernocta'!$P$5,"categoría","HOTELEROS","mes",5,"año",2008)</f>
        <v>47422</v>
      </c>
      <c r="I38" s="52">
        <f>GETPIVOTDATA("dato",'[1]tabla dinámica pernocta'!$P$5,"categoría","EXTRAHOTELEROS","mes",5,"año",2008)</f>
        <v>0</v>
      </c>
      <c r="J38" s="52">
        <f>GETPIVOTDATA("dato",'[1]tabla dinámica pernocta'!$P$5,"categoría","TOTAL","mes",5,"año",2008)</f>
        <v>47422</v>
      </c>
    </row>
    <row r="39" spans="3:10" ht="30" hidden="1" customHeight="1" outlineLevel="1">
      <c r="C39" s="51" t="s">
        <v>46</v>
      </c>
      <c r="D39" s="52">
        <f>GETPIVOTDATA("dato",'[1]tabla dinámica pernocta'!$P$5,"categoría","1*","mes",4,"año",2008)</f>
        <v>4509</v>
      </c>
      <c r="E39" s="52">
        <f>GETPIVOTDATA("dato",'[1]tabla dinámica pernocta'!$P$5,"categoría","2*","mes",4,"año",2008)</f>
        <v>15779</v>
      </c>
      <c r="F39" s="52">
        <f>GETPIVOTDATA("dato",'[1]tabla dinámica pernocta'!$P$5,"categoría","3 *","mes",4,"año",2008)</f>
        <v>9245</v>
      </c>
      <c r="G39" s="52">
        <f>GETPIVOTDATA("dato",'[1]tabla dinámica pernocta'!$P$5,"categoría","4* y 5*","mes",4,"año",2008)</f>
        <v>12689</v>
      </c>
      <c r="H39" s="52">
        <f>GETPIVOTDATA("dato",'[1]tabla dinámica pernocta'!$P$5,"categoría","HOTELEROS","mes",4,"año",2008)</f>
        <v>42222</v>
      </c>
      <c r="I39" s="52">
        <f>GETPIVOTDATA("dato",'[1]tabla dinámica pernocta'!$P$5,"categoría","EXTRAHOTELEROS","mes",4,"año",2008)</f>
        <v>0</v>
      </c>
      <c r="J39" s="52">
        <f>GETPIVOTDATA("dato",'[1]tabla dinámica pernocta'!$P$5,"categoría","TOTAL","mes",4,"año",2008)</f>
        <v>42222</v>
      </c>
    </row>
    <row r="40" spans="3:10" hidden="1" outlineLevel="1">
      <c r="C40" s="51" t="s">
        <v>47</v>
      </c>
      <c r="D40" s="52">
        <f>GETPIVOTDATA("dato",'[1]tabla dinámica pernocta'!$P$5,"categoría","1*","mes",3,"año",2008)</f>
        <v>5069</v>
      </c>
      <c r="E40" s="52">
        <f>GETPIVOTDATA("dato",'[1]tabla dinámica pernocta'!$P$5,"categoría","2*","mes",3,"año",2008)</f>
        <v>15549</v>
      </c>
      <c r="F40" s="52">
        <f>GETPIVOTDATA("dato",'[1]tabla dinámica pernocta'!$P$5,"categoría","3 *","mes",3,"año",2008)</f>
        <v>9366</v>
      </c>
      <c r="G40" s="52">
        <f>GETPIVOTDATA("dato",'[1]tabla dinámica pernocta'!$P$5,"categoría","4* y 5*","mes",3,"año",2008)</f>
        <v>18096</v>
      </c>
      <c r="H40" s="52">
        <f>GETPIVOTDATA("dato",'[1]tabla dinámica pernocta'!$P$5,"categoría","HOTELEROS","mes",3,"año",2008)</f>
        <v>48080</v>
      </c>
      <c r="I40" s="52">
        <f>GETPIVOTDATA("dato",'[1]tabla dinámica pernocta'!$P$5,"categoría","EXTRAHOTELEROS","mes",3,"año",2008)</f>
        <v>0</v>
      </c>
      <c r="J40" s="52">
        <f>GETPIVOTDATA("dato",'[1]tabla dinámica pernocta'!$P$5,"categoría","TOTAL","mes",3,"año",2008)</f>
        <v>48080</v>
      </c>
    </row>
    <row r="41" spans="3:10" ht="30" hidden="1" customHeight="1" outlineLevel="1">
      <c r="C41" s="51" t="s">
        <v>48</v>
      </c>
      <c r="D41" s="52">
        <f>GETPIVOTDATA("dato",'[1]tabla dinámica pernocta'!$P$5,"categoría","1*","mes",2,"año",2008)</f>
        <v>5888</v>
      </c>
      <c r="E41" s="52">
        <f>GETPIVOTDATA("dato",'[1]tabla dinámica pernocta'!$P$5,"categoría","2*","mes",2,"año",2008)</f>
        <v>19008</v>
      </c>
      <c r="F41" s="52">
        <f>GETPIVOTDATA("dato",'[1]tabla dinámica pernocta'!$P$5,"categoría","3 *","mes",2,"año",2008)</f>
        <v>10472</v>
      </c>
      <c r="G41" s="52">
        <f>GETPIVOTDATA("dato",'[1]tabla dinámica pernocta'!$P$5,"categoría","4* y 5*","mes",2,"año",2008)</f>
        <v>13181</v>
      </c>
      <c r="H41" s="52">
        <f>GETPIVOTDATA("dato",'[1]tabla dinámica pernocta'!$P$5,"categoría","HOTELEROS","mes",2,"año",2008)</f>
        <v>48549</v>
      </c>
      <c r="I41" s="52">
        <f>GETPIVOTDATA("dato",'[1]tabla dinámica pernocta'!$P$5,"categoría","EXTRAHOTELEROS","mes",2,"año",2008)</f>
        <v>0</v>
      </c>
      <c r="J41" s="52">
        <f>GETPIVOTDATA("dato",'[1]tabla dinámica pernocta'!$P$5,"categoría","TOTAL","mes",2,"año",2008)</f>
        <v>48549</v>
      </c>
    </row>
    <row r="42" spans="3:10" hidden="1" outlineLevel="1">
      <c r="C42" s="51" t="s">
        <v>49</v>
      </c>
      <c r="D42" s="52">
        <f>GETPIVOTDATA("dato",'[1]tabla dinámica pernocta'!$P$5,"categoría","1*","mes",1,"año",2008)</f>
        <v>4866</v>
      </c>
      <c r="E42" s="52">
        <f>GETPIVOTDATA("dato",'[1]tabla dinámica pernocta'!$P$5,"categoría","2*","mes",1,"año",2008)</f>
        <v>17948</v>
      </c>
      <c r="F42" s="52">
        <f>GETPIVOTDATA("dato",'[1]tabla dinámica pernocta'!$P$5,"categoría","3 *","mes",1,"año",2008)</f>
        <v>7670</v>
      </c>
      <c r="G42" s="52">
        <f>GETPIVOTDATA("dato",'[1]tabla dinámica pernocta'!$P$5,"categoría","4* y 5*","mes",1,"año",2008)</f>
        <v>12540</v>
      </c>
      <c r="H42" s="52">
        <f>GETPIVOTDATA("dato",'[1]tabla dinámica pernocta'!$P$5,"categoría","HOTELEROS","mes",1,"año",2008)</f>
        <v>43024</v>
      </c>
      <c r="I42" s="52">
        <f>GETPIVOTDATA("dato",'[1]tabla dinámica pernocta'!$P$5,"categoría","EXTRAHOTELEROS","mes",1,"año",2008)</f>
        <v>0</v>
      </c>
      <c r="J42" s="52">
        <f>GETPIVOTDATA("dato",'[1]tabla dinámica pernocta'!$P$5,"categoría","TOTAL","mes",1,"año",2008)</f>
        <v>43024</v>
      </c>
    </row>
    <row r="43" spans="3:10" collapsed="1">
      <c r="C43" s="164">
        <v>2008</v>
      </c>
      <c r="D43" s="59">
        <f>GETPIVOTDATA("dato",'[1]tabla dinámica pernocta'!$P$5,"categoría","1*","año",2008)</f>
        <v>56719</v>
      </c>
      <c r="E43" s="59">
        <f>GETPIVOTDATA("dato",'[1]tabla dinámica pernocta'!$P$5,"categoría","2*","año",2008)</f>
        <v>186514</v>
      </c>
      <c r="F43" s="59">
        <f>GETPIVOTDATA("dato",'[1]tabla dinámica pernocta'!$P$5,"categoría","3 *","año",2008)</f>
        <v>108083</v>
      </c>
      <c r="G43" s="59">
        <f>GETPIVOTDATA("dato",'[1]tabla dinámica pernocta'!$P$5,"categoría","4* y 5*","año",2008)</f>
        <v>149129</v>
      </c>
      <c r="H43" s="59">
        <f>GETPIVOTDATA("dato",'[1]tabla dinámica pernocta'!$P$5,"categoría","HOTELEROS","año",2008)</f>
        <v>500445</v>
      </c>
      <c r="I43" s="59">
        <f>GETPIVOTDATA("dato",'[1]tabla dinámica pernocta'!$P$5,"categoría","EXTRAHOTELEROS","año",2008)</f>
        <v>0</v>
      </c>
      <c r="J43" s="59">
        <f>GETPIVOTDATA("dato",'[1]tabla dinámica pernocta'!$P$5,"categoría","TOTAL","año",2008)</f>
        <v>500445</v>
      </c>
    </row>
    <row r="44" spans="3:10" hidden="1" outlineLevel="1">
      <c r="C44" s="51" t="s">
        <v>38</v>
      </c>
      <c r="D44" s="52">
        <f>GETPIVOTDATA("dato",'[1]tabla dinámica pernocta'!$P$5,"categoría","1*","mes",12,"año",2007)</f>
        <v>4567</v>
      </c>
      <c r="E44" s="52">
        <f>GETPIVOTDATA("dato",'[1]tabla dinámica pernocta'!$P$5,"categoría","2*","mes",12,"año",2007)</f>
        <v>17079</v>
      </c>
      <c r="F44" s="52">
        <f>GETPIVOTDATA("dato",'[1]tabla dinámica pernocta'!$P$5,"categoría","3 *","mes",12,"año",2007)</f>
        <v>10068</v>
      </c>
      <c r="G44" s="52">
        <f>GETPIVOTDATA("dato",'[1]tabla dinámica pernocta'!$P$5,"categoría","4* y 5*","mes",12,"año",2007)</f>
        <v>9966</v>
      </c>
      <c r="H44" s="52">
        <f>GETPIVOTDATA("dato",'[1]tabla dinámica pernocta'!$P$5,"categoría","HOTELEROS","mes",12,"año",2007)</f>
        <v>41680</v>
      </c>
      <c r="I44" s="52">
        <f>GETPIVOTDATA("dato",'[1]tabla dinámica pernocta'!$P$5,"categoría","EXTRAHOTELEROS","mes",12,"año",2007)</f>
        <v>0</v>
      </c>
      <c r="J44" s="52">
        <f>GETPIVOTDATA("dato",'[1]tabla dinámica pernocta'!$P$5,"categoría","TOTAL","mes",12,"año",2007)</f>
        <v>41680</v>
      </c>
    </row>
    <row r="45" spans="3:10" hidden="1" outlineLevel="1">
      <c r="C45" s="51" t="s">
        <v>39</v>
      </c>
      <c r="D45" s="52">
        <f>GETPIVOTDATA("dato",'[1]tabla dinámica pernocta'!$P$5,"categoría","1*","mes",11,"año",2007)</f>
        <v>4599</v>
      </c>
      <c r="E45" s="52">
        <f>GETPIVOTDATA("dato",'[1]tabla dinámica pernocta'!$P$5,"categoría","2*","mes",11,"año",2007)</f>
        <v>18357</v>
      </c>
      <c r="F45" s="52">
        <f>GETPIVOTDATA("dato",'[1]tabla dinámica pernocta'!$P$5,"categoría","3 *","mes",11,"año",2007)</f>
        <v>10637</v>
      </c>
      <c r="G45" s="52">
        <f>GETPIVOTDATA("dato",'[1]tabla dinámica pernocta'!$P$5,"categoría","4* y 5*","mes",11,"año",2007)</f>
        <v>9676</v>
      </c>
      <c r="H45" s="52">
        <f>GETPIVOTDATA("dato",'[1]tabla dinámica pernocta'!$P$5,"categoría","HOTELEROS","mes",11,"año",2007)</f>
        <v>43269</v>
      </c>
      <c r="I45" s="52">
        <f>GETPIVOTDATA("dato",'[1]tabla dinámica pernocta'!$P$5,"categoría","EXTRAHOTELEROS","mes",11,"año",2007)</f>
        <v>0</v>
      </c>
      <c r="J45" s="52">
        <f>GETPIVOTDATA("dato",'[1]tabla dinámica pernocta'!$P$5,"categoría","TOTAL","mes",11,"año",2007)</f>
        <v>43269</v>
      </c>
    </row>
    <row r="46" spans="3:10" hidden="1" outlineLevel="1">
      <c r="C46" s="51" t="s">
        <v>40</v>
      </c>
      <c r="D46" s="52">
        <f>GETPIVOTDATA("dato",'[1]tabla dinámica pernocta'!$P$5,"categoría","1*","mes",10,"año",2007)</f>
        <v>4753</v>
      </c>
      <c r="E46" s="52">
        <f>GETPIVOTDATA("dato",'[1]tabla dinámica pernocta'!$P$5,"categoría","2*","mes",10,"año",2007)</f>
        <v>17374</v>
      </c>
      <c r="F46" s="52">
        <f>GETPIVOTDATA("dato",'[1]tabla dinámica pernocta'!$P$5,"categoría","3 *","mes",10,"año",2007)</f>
        <v>10343</v>
      </c>
      <c r="G46" s="52">
        <f>GETPIVOTDATA("dato",'[1]tabla dinámica pernocta'!$P$5,"categoría","4* y 5*","mes",10,"año",2007)</f>
        <v>11163</v>
      </c>
      <c r="H46" s="52">
        <f>GETPIVOTDATA("dato",'[1]tabla dinámica pernocta'!$P$5,"categoría","HOTELEROS","mes",10,"año",2007)</f>
        <v>43633</v>
      </c>
      <c r="I46" s="52">
        <f>GETPIVOTDATA("dato",'[1]tabla dinámica pernocta'!$P$5,"categoría","EXTRAHOTELEROS","mes",10,"año",2007)</f>
        <v>0</v>
      </c>
      <c r="J46" s="52">
        <f>GETPIVOTDATA("dato",'[1]tabla dinámica pernocta'!$P$5,"categoría","TOTAL","mes",10,"año",2007)</f>
        <v>43633</v>
      </c>
    </row>
    <row r="47" spans="3:10" hidden="1" outlineLevel="1">
      <c r="C47" s="51" t="s">
        <v>41</v>
      </c>
      <c r="D47" s="52">
        <f>GETPIVOTDATA("dato",'[1]tabla dinámica pernocta'!$P$5,"categoría","1*","mes",9,"año",2007)</f>
        <v>3720</v>
      </c>
      <c r="E47" s="52">
        <f>GETPIVOTDATA("dato",'[1]tabla dinámica pernocta'!$P$5,"categoría","2*","mes",9,"año",2007)</f>
        <v>14708</v>
      </c>
      <c r="F47" s="52">
        <f>GETPIVOTDATA("dato",'[1]tabla dinámica pernocta'!$P$5,"categoría","3 *","mes",9,"año",2007)</f>
        <v>8868</v>
      </c>
      <c r="G47" s="52">
        <f>GETPIVOTDATA("dato",'[1]tabla dinámica pernocta'!$P$5,"categoría","4* y 5*","mes",9,"año",2007)</f>
        <v>9599</v>
      </c>
      <c r="H47" s="52">
        <f>GETPIVOTDATA("dato",'[1]tabla dinámica pernocta'!$P$5,"categoría","HOTELEROS","mes",9,"año",2007)</f>
        <v>36895</v>
      </c>
      <c r="I47" s="52">
        <f>GETPIVOTDATA("dato",'[1]tabla dinámica pernocta'!$P$5,"categoría","EXTRAHOTELEROS","mes",9,"año",2007)</f>
        <v>0</v>
      </c>
      <c r="J47" s="52">
        <f>GETPIVOTDATA("dato",'[1]tabla dinámica pernocta'!$P$5,"categoría","TOTAL","mes",9,"año",2007)</f>
        <v>36895</v>
      </c>
    </row>
    <row r="48" spans="3:10" hidden="1" outlineLevel="1">
      <c r="C48" s="51" t="s">
        <v>42</v>
      </c>
      <c r="D48" s="52">
        <f>GETPIVOTDATA("dato",'[1]tabla dinámica pernocta'!$P$5,"categoría","1*","mes",8,"año",2007)</f>
        <v>3581</v>
      </c>
      <c r="E48" s="52">
        <f>GETPIVOTDATA("dato",'[1]tabla dinámica pernocta'!$P$5,"categoría","2*","mes",8,"año",2007)</f>
        <v>9538</v>
      </c>
      <c r="F48" s="52">
        <f>GETPIVOTDATA("dato",'[1]tabla dinámica pernocta'!$P$5,"categoría","3 *","mes",8,"año",2007)</f>
        <v>8130</v>
      </c>
      <c r="G48" s="52">
        <f>GETPIVOTDATA("dato",'[1]tabla dinámica pernocta'!$P$5,"categoría","4* y 5*","mes",8,"año",2007)</f>
        <v>5843</v>
      </c>
      <c r="H48" s="52">
        <f>GETPIVOTDATA("dato",'[1]tabla dinámica pernocta'!$P$5,"categoría","HOTELEROS","mes",8,"año",2007)</f>
        <v>27092</v>
      </c>
      <c r="I48" s="52">
        <f>GETPIVOTDATA("dato",'[1]tabla dinámica pernocta'!$P$5,"categoría","EXTRAHOTELEROS","mes",8,"año",2007)</f>
        <v>0</v>
      </c>
      <c r="J48" s="52">
        <f>GETPIVOTDATA("dato",'[1]tabla dinámica pernocta'!$P$5,"categoría","TOTAL","mes",8,"año",2007)</f>
        <v>27092</v>
      </c>
    </row>
    <row r="49" spans="3:10" hidden="1" outlineLevel="1">
      <c r="C49" s="51" t="s">
        <v>43</v>
      </c>
      <c r="D49" s="52">
        <f>GETPIVOTDATA("dato",'[1]tabla dinámica pernocta'!$P$5,"categoría","1*","mes",7,"año",2007)</f>
        <v>5021</v>
      </c>
      <c r="E49" s="52">
        <f>GETPIVOTDATA("dato",'[1]tabla dinámica pernocta'!$P$5,"categoría","2*","mes",7,"año",2007)</f>
        <v>11641</v>
      </c>
      <c r="F49" s="52">
        <f>GETPIVOTDATA("dato",'[1]tabla dinámica pernocta'!$P$5,"categoría","3 *","mes",7,"año",2007)</f>
        <v>8683</v>
      </c>
      <c r="G49" s="52">
        <f>GETPIVOTDATA("dato",'[1]tabla dinámica pernocta'!$P$5,"categoría","4* y 5*","mes",7,"año",2007)</f>
        <v>16603</v>
      </c>
      <c r="H49" s="52">
        <f>GETPIVOTDATA("dato",'[1]tabla dinámica pernocta'!$P$5,"categoría","HOTELEROS","mes",7,"año",2007)</f>
        <v>41948</v>
      </c>
      <c r="I49" s="52">
        <f>GETPIVOTDATA("dato",'[1]tabla dinámica pernocta'!$P$5,"categoría","EXTRAHOTELEROS","mes",7,"año",2007)</f>
        <v>0</v>
      </c>
      <c r="J49" s="52">
        <f>GETPIVOTDATA("dato",'[1]tabla dinámica pernocta'!$P$5,"categoría","TOTAL","mes",7,"año",2007)</f>
        <v>41948</v>
      </c>
    </row>
    <row r="50" spans="3:10" hidden="1" outlineLevel="1">
      <c r="C50" s="51" t="s">
        <v>44</v>
      </c>
      <c r="D50" s="52">
        <f>GETPIVOTDATA("dato",'[1]tabla dinámica pernocta'!$P$5,"categoría","1*","mes",6,"año",2007)</f>
        <v>4588</v>
      </c>
      <c r="E50" s="52">
        <f>GETPIVOTDATA("dato",'[1]tabla dinámica pernocta'!$P$5,"categoría","2*","mes",6,"año",2007)</f>
        <v>8537</v>
      </c>
      <c r="F50" s="52">
        <f>GETPIVOTDATA("dato",'[1]tabla dinámica pernocta'!$P$5,"categoría","3 *","mes",6,"año",2007)</f>
        <v>7930</v>
      </c>
      <c r="G50" s="52">
        <f>GETPIVOTDATA("dato",'[1]tabla dinámica pernocta'!$P$5,"categoría","4* y 5*","mes",6,"año",2007)</f>
        <v>21219</v>
      </c>
      <c r="H50" s="52">
        <f>GETPIVOTDATA("dato",'[1]tabla dinámica pernocta'!$P$5,"categoría","HOTELEROS","mes",6,"año",2007)</f>
        <v>42274</v>
      </c>
      <c r="I50" s="52">
        <f>GETPIVOTDATA("dato",'[1]tabla dinámica pernocta'!$P$5,"categoría","EXTRAHOTELEROS","mes",6,"año",2007)</f>
        <v>0</v>
      </c>
      <c r="J50" s="52">
        <f>GETPIVOTDATA("dato",'[1]tabla dinámica pernocta'!$P$5,"categoría","TOTAL","mes",6,"año",2007)</f>
        <v>42274</v>
      </c>
    </row>
    <row r="51" spans="3:10" hidden="1" outlineLevel="1">
      <c r="C51" s="51" t="s">
        <v>45</v>
      </c>
      <c r="D51" s="52">
        <f>GETPIVOTDATA("dato",'[1]tabla dinámica pernocta'!$P$5,"categoría","1*","mes",5,"año",2007)</f>
        <v>4529</v>
      </c>
      <c r="E51" s="52">
        <f>GETPIVOTDATA("dato",'[1]tabla dinámica pernocta'!$P$5,"categoría","2*","mes",5,"año",2007)</f>
        <v>12633</v>
      </c>
      <c r="F51" s="52">
        <f>GETPIVOTDATA("dato",'[1]tabla dinámica pernocta'!$P$5,"categoría","3 *","mes",5,"año",2007)</f>
        <v>8642</v>
      </c>
      <c r="G51" s="52">
        <f>GETPIVOTDATA("dato",'[1]tabla dinámica pernocta'!$P$5,"categoría","4* y 5*","mes",5,"año",2007)</f>
        <v>18096</v>
      </c>
      <c r="H51" s="52">
        <f>GETPIVOTDATA("dato",'[1]tabla dinámica pernocta'!$P$5,"categoría","HOTELEROS","mes",5,"año",2007)</f>
        <v>43900</v>
      </c>
      <c r="I51" s="52">
        <f>GETPIVOTDATA("dato",'[1]tabla dinámica pernocta'!$P$5,"categoría","EXTRAHOTELEROS","mes",5,"año",2007)</f>
        <v>0</v>
      </c>
      <c r="J51" s="52">
        <f>GETPIVOTDATA("dato",'[1]tabla dinámica pernocta'!$P$5,"categoría","TOTAL","mes",5,"año",2007)</f>
        <v>43900</v>
      </c>
    </row>
    <row r="52" spans="3:10" hidden="1" outlineLevel="1">
      <c r="C52" s="51" t="s">
        <v>46</v>
      </c>
      <c r="D52" s="52">
        <f>GETPIVOTDATA("dato",'[1]tabla dinámica pernocta'!$P$5,"categoría","1*","mes",4,"año",2007)</f>
        <v>4870</v>
      </c>
      <c r="E52" s="52">
        <f>GETPIVOTDATA("dato",'[1]tabla dinámica pernocta'!$P$5,"categoría","2*","mes",4,"año",2007)</f>
        <v>13482</v>
      </c>
      <c r="F52" s="52">
        <f>GETPIVOTDATA("dato",'[1]tabla dinámica pernocta'!$P$5,"categoría","3 *","mes",4,"año",2007)</f>
        <v>9658</v>
      </c>
      <c r="G52" s="52">
        <f>GETPIVOTDATA("dato",'[1]tabla dinámica pernocta'!$P$5,"categoría","4* y 5*","mes",4,"año",2007)</f>
        <v>16423</v>
      </c>
      <c r="H52" s="52">
        <f>GETPIVOTDATA("dato",'[1]tabla dinámica pernocta'!$P$5,"categoría","HOTELEROS","mes",4,"año",2007)</f>
        <v>44433</v>
      </c>
      <c r="I52" s="52">
        <f>GETPIVOTDATA("dato",'[1]tabla dinámica pernocta'!$P$5,"categoría","EXTRAHOTELEROS","mes",4,"año",2007)</f>
        <v>0</v>
      </c>
      <c r="J52" s="52">
        <f>GETPIVOTDATA("dato",'[1]tabla dinámica pernocta'!$P$5,"categoría","TOTAL","mes",4,"año",2007)</f>
        <v>44433</v>
      </c>
    </row>
    <row r="53" spans="3:10" hidden="1" outlineLevel="1">
      <c r="C53" s="51" t="s">
        <v>47</v>
      </c>
      <c r="D53" s="52">
        <f>GETPIVOTDATA("dato",'[1]tabla dinámica pernocta'!$P$5,"categoría","1*","mes",3,"año",2007)</f>
        <v>5757</v>
      </c>
      <c r="E53" s="52">
        <f>GETPIVOTDATA("dato",'[1]tabla dinámica pernocta'!$P$5,"categoría","2*","mes",3,"año",2007)</f>
        <v>16454</v>
      </c>
      <c r="F53" s="52">
        <f>GETPIVOTDATA("dato",'[1]tabla dinámica pernocta'!$P$5,"categoría","3 *","mes",3,"año",2007)</f>
        <v>10369</v>
      </c>
      <c r="G53" s="52">
        <f>GETPIVOTDATA("dato",'[1]tabla dinámica pernocta'!$P$5,"categoría","4* y 5*","mes",3,"año",2007)</f>
        <v>16951</v>
      </c>
      <c r="H53" s="52">
        <f>GETPIVOTDATA("dato",'[1]tabla dinámica pernocta'!$P$5,"categoría","HOTELEROS","mes",3,"año",2007)</f>
        <v>49531</v>
      </c>
      <c r="I53" s="52">
        <f>GETPIVOTDATA("dato",'[1]tabla dinámica pernocta'!$P$5,"categoría","EXTRAHOTELEROS","mes",3,"año",2007)</f>
        <v>0</v>
      </c>
      <c r="J53" s="52">
        <f>GETPIVOTDATA("dato",'[1]tabla dinámica pernocta'!$P$5,"categoría","TOTAL","mes",3,"año",2007)</f>
        <v>49531</v>
      </c>
    </row>
    <row r="54" spans="3:10" hidden="1" outlineLevel="1">
      <c r="C54" s="51" t="s">
        <v>48</v>
      </c>
      <c r="D54" s="52">
        <f>GETPIVOTDATA("dato",'[1]tabla dinámica pernocta'!$P$5,"categoría","1*","mes",2,"año",2007)</f>
        <v>5596</v>
      </c>
      <c r="E54" s="52">
        <f>GETPIVOTDATA("dato",'[1]tabla dinámica pernocta'!$P$5,"categoría","2*","mes",2,"año",2007)</f>
        <v>13782</v>
      </c>
      <c r="F54" s="52">
        <f>GETPIVOTDATA("dato",'[1]tabla dinámica pernocta'!$P$5,"categoría","3 *","mes",2,"año",2007)</f>
        <v>8307</v>
      </c>
      <c r="G54" s="52">
        <f>GETPIVOTDATA("dato",'[1]tabla dinámica pernocta'!$P$5,"categoría","4* y 5*","mes",2,"año",2007)</f>
        <v>12546</v>
      </c>
      <c r="H54" s="52">
        <f>GETPIVOTDATA("dato",'[1]tabla dinámica pernocta'!$P$5,"categoría","HOTELEROS","mes",2,"año",2007)</f>
        <v>40231</v>
      </c>
      <c r="I54" s="52">
        <f>GETPIVOTDATA("dato",'[1]tabla dinámica pernocta'!$P$5,"categoría","EXTRAHOTELEROS","mes",2,"año",2007)</f>
        <v>0</v>
      </c>
      <c r="J54" s="52">
        <f>GETPIVOTDATA("dato",'[1]tabla dinámica pernocta'!$P$5,"categoría","TOTAL","mes",2,"año",2007)</f>
        <v>40231</v>
      </c>
    </row>
    <row r="55" spans="3:10" hidden="1" outlineLevel="1">
      <c r="C55" s="51" t="s">
        <v>49</v>
      </c>
      <c r="D55" s="52">
        <f>GETPIVOTDATA("dato",'[1]tabla dinámica pernocta'!$P$5,"categoría","1*","mes",1,"año",2007)</f>
        <v>5068</v>
      </c>
      <c r="E55" s="52">
        <f>GETPIVOTDATA("dato",'[1]tabla dinámica pernocta'!$P$5,"categoría","2*","mes",1,"año",2007)</f>
        <v>11606</v>
      </c>
      <c r="F55" s="52">
        <f>GETPIVOTDATA("dato",'[1]tabla dinámica pernocta'!$P$5,"categoría","3 *","mes",1,"año",2007)</f>
        <v>7333</v>
      </c>
      <c r="G55" s="52">
        <f>GETPIVOTDATA("dato",'[1]tabla dinámica pernocta'!$P$5,"categoría","4* y 5*","mes",1,"año",2007)</f>
        <v>14844</v>
      </c>
      <c r="H55" s="52">
        <f>GETPIVOTDATA("dato",'[1]tabla dinámica pernocta'!$P$5,"categoría","HOTELEROS","mes",1,"año",2007)</f>
        <v>38851</v>
      </c>
      <c r="I55" s="52">
        <f>GETPIVOTDATA("dato",'[1]tabla dinámica pernocta'!$P$5,"categoría","EXTRAHOTELEROS","mes",1,"año",2007)</f>
        <v>0</v>
      </c>
      <c r="J55" s="52">
        <f>GETPIVOTDATA("dato",'[1]tabla dinámica pernocta'!$P$5,"categoría","TOTAL","mes",1,"año",2007)</f>
        <v>38851</v>
      </c>
    </row>
    <row r="56" spans="3:10" collapsed="1">
      <c r="C56" s="164">
        <v>2007</v>
      </c>
      <c r="D56" s="59">
        <f>GETPIVOTDATA("dato",'[1]tabla dinámica pernocta'!$P$5,"categoría","1*","año",2007)</f>
        <v>56649</v>
      </c>
      <c r="E56" s="59">
        <f>GETPIVOTDATA("dato",'[1]tabla dinámica pernocta'!$P$5,"categoría","2*","año",2007)</f>
        <v>165191</v>
      </c>
      <c r="F56" s="59">
        <f>GETPIVOTDATA("dato",'[1]tabla dinámica pernocta'!$P$5,"categoría","3 *","año",2007)</f>
        <v>108968</v>
      </c>
      <c r="G56" s="59">
        <f>GETPIVOTDATA("dato",'[1]tabla dinámica pernocta'!$P$5,"categoría","4* y 5*","año",2007)</f>
        <v>162929</v>
      </c>
      <c r="H56" s="59">
        <f>GETPIVOTDATA("dato",'[1]tabla dinámica pernocta'!$P$5,"categoría","HOTELEROS","año",2007)</f>
        <v>493737</v>
      </c>
      <c r="I56" s="59">
        <f>GETPIVOTDATA("dato",'[1]tabla dinámica pernocta'!$P$5,"categoría","EXTRAHOTELEROS","año",2007)</f>
        <v>0</v>
      </c>
      <c r="J56" s="59">
        <f>GETPIVOTDATA("dato",'[1]tabla dinámica pernocta'!$P$5,"categoría","TOTAL","año",2007)</f>
        <v>493737</v>
      </c>
    </row>
    <row r="57" spans="3:10" hidden="1" outlineLevel="1">
      <c r="C57" s="51" t="s">
        <v>38</v>
      </c>
      <c r="D57" s="52">
        <f>GETPIVOTDATA("dato",'[1]tabla dinámica pernocta'!$P$5,"categoría","1*","mes",12,"año",2006)</f>
        <v>5141</v>
      </c>
      <c r="E57" s="52">
        <f>GETPIVOTDATA("dato",'[1]tabla dinámica pernocta'!$P$5,"categoría","2*","mes",12,"año",2006)</f>
        <v>16053</v>
      </c>
      <c r="F57" s="52">
        <f>GETPIVOTDATA("dato",'[1]tabla dinámica pernocta'!$P$5,"categoría","3 *","mes",12,"año",2006)</f>
        <v>7975</v>
      </c>
      <c r="G57" s="52">
        <f>GETPIVOTDATA("dato",'[1]tabla dinámica pernocta'!$P$5,"categoría","4* y 5*","mes",12,"año",2006)</f>
        <v>16597</v>
      </c>
      <c r="H57" s="52">
        <f>GETPIVOTDATA("dato",'[1]tabla dinámica pernocta'!$P$5,"categoría","HOTELEROS","mes",12,"año",2006)</f>
        <v>45766</v>
      </c>
      <c r="I57" s="52">
        <f>GETPIVOTDATA("dato",'[1]tabla dinámica pernocta'!$P$5,"categoría","EXTRAHOTELEROS","mes",12,"año",2006)</f>
        <v>0</v>
      </c>
      <c r="J57" s="52">
        <f>GETPIVOTDATA("dato",'[1]tabla dinámica pernocta'!$P$5,"categoría","TOTAL","mes",12,"año",2006)</f>
        <v>45766</v>
      </c>
    </row>
    <row r="58" spans="3:10" hidden="1" outlineLevel="1">
      <c r="C58" s="51" t="s">
        <v>39</v>
      </c>
      <c r="D58" s="52">
        <f>GETPIVOTDATA("dato",'[1]tabla dinámica pernocta'!$P$5,"categoría","1*","mes",11,"año",2006)</f>
        <v>5191</v>
      </c>
      <c r="E58" s="52">
        <f>GETPIVOTDATA("dato",'[1]tabla dinámica pernocta'!$P$5,"categoría","2*","mes",11,"año",2006)</f>
        <v>15950</v>
      </c>
      <c r="F58" s="52">
        <f>GETPIVOTDATA("dato",'[1]tabla dinámica pernocta'!$P$5,"categoría","3 *","mes",11,"año",2006)</f>
        <v>8726</v>
      </c>
      <c r="G58" s="52">
        <f>GETPIVOTDATA("dato",'[1]tabla dinámica pernocta'!$P$5,"categoría","4* y 5*","mes",11,"año",2006)</f>
        <v>15925</v>
      </c>
      <c r="H58" s="52">
        <f>GETPIVOTDATA("dato",'[1]tabla dinámica pernocta'!$P$5,"categoría","HOTELEROS","mes",11,"año",2006)</f>
        <v>45792</v>
      </c>
      <c r="I58" s="52">
        <f>GETPIVOTDATA("dato",'[1]tabla dinámica pernocta'!$P$5,"categoría","EXTRAHOTELEROS","mes",11,"año",2006)</f>
        <v>0</v>
      </c>
      <c r="J58" s="52">
        <f>GETPIVOTDATA("dato",'[1]tabla dinámica pernocta'!$P$5,"categoría","TOTAL","mes",11,"año",2006)</f>
        <v>45792</v>
      </c>
    </row>
    <row r="59" spans="3:10" hidden="1" outlineLevel="1">
      <c r="C59" s="51" t="s">
        <v>40</v>
      </c>
      <c r="D59" s="52">
        <f>GETPIVOTDATA("dato",'[1]tabla dinámica pernocta'!$P$5,"categoría","1*","mes",10,"año",2006)</f>
        <v>5039</v>
      </c>
      <c r="E59" s="52">
        <f>GETPIVOTDATA("dato",'[1]tabla dinámica pernocta'!$P$5,"categoría","2*","mes",10,"año",2006)</f>
        <v>14208</v>
      </c>
      <c r="F59" s="52">
        <f>GETPIVOTDATA("dato",'[1]tabla dinámica pernocta'!$P$5,"categoría","3 *","mes",10,"año",2006)</f>
        <v>6235</v>
      </c>
      <c r="G59" s="52">
        <f>GETPIVOTDATA("dato",'[1]tabla dinámica pernocta'!$P$5,"categoría","4* y 5*","mes",10,"año",2006)</f>
        <v>15081</v>
      </c>
      <c r="H59" s="52">
        <f>GETPIVOTDATA("dato",'[1]tabla dinámica pernocta'!$P$5,"categoría","HOTELEROS","mes",10,"año",2006)</f>
        <v>40563</v>
      </c>
      <c r="I59" s="52">
        <f>GETPIVOTDATA("dato",'[1]tabla dinámica pernocta'!$P$5,"categoría","EXTRAHOTELEROS","mes",10,"año",2006)</f>
        <v>0</v>
      </c>
      <c r="J59" s="52">
        <f>GETPIVOTDATA("dato",'[1]tabla dinámica pernocta'!$P$5,"categoría","TOTAL","mes",10,"año",2006)</f>
        <v>40563</v>
      </c>
    </row>
    <row r="60" spans="3:10" hidden="1" outlineLevel="1">
      <c r="C60" s="51" t="s">
        <v>41</v>
      </c>
      <c r="D60" s="52">
        <f>GETPIVOTDATA("dato",'[1]tabla dinámica pernocta'!$P$5,"categoría","1*","mes",9,"año",2006)</f>
        <v>5601</v>
      </c>
      <c r="E60" s="52">
        <f>GETPIVOTDATA("dato",'[1]tabla dinámica pernocta'!$P$5,"categoría","2*","mes",9,"año",2006)</f>
        <v>13715</v>
      </c>
      <c r="F60" s="52">
        <f>GETPIVOTDATA("dato",'[1]tabla dinámica pernocta'!$P$5,"categoría","3 *","mes",9,"año",2006)</f>
        <v>6371</v>
      </c>
      <c r="G60" s="52">
        <f>GETPIVOTDATA("dato",'[1]tabla dinámica pernocta'!$P$5,"categoría","4* y 5*","mes",9,"año",2006)</f>
        <v>12411</v>
      </c>
      <c r="H60" s="52">
        <f>GETPIVOTDATA("dato",'[1]tabla dinámica pernocta'!$P$5,"categoría","HOTELEROS","mes",9,"año",2006)</f>
        <v>38098</v>
      </c>
      <c r="I60" s="52">
        <f>GETPIVOTDATA("dato",'[1]tabla dinámica pernocta'!$P$5,"categoría","EXTRAHOTELEROS","mes",9,"año",2006)</f>
        <v>0</v>
      </c>
      <c r="J60" s="52">
        <f>GETPIVOTDATA("dato",'[1]tabla dinámica pernocta'!$P$5,"categoría","TOTAL","mes",9,"año",2006)</f>
        <v>38098</v>
      </c>
    </row>
    <row r="61" spans="3:10" hidden="1" outlineLevel="1">
      <c r="C61" s="51" t="s">
        <v>42</v>
      </c>
      <c r="D61" s="52">
        <f>GETPIVOTDATA("dato",'[1]tabla dinámica pernocta'!$P$5,"categoría","1*","mes",8,"año",2006)</f>
        <v>5347</v>
      </c>
      <c r="E61" s="52">
        <f>GETPIVOTDATA("dato",'[1]tabla dinámica pernocta'!$P$5,"categoría","2*","mes",8,"año",2006)</f>
        <v>11837</v>
      </c>
      <c r="F61" s="52">
        <f>GETPIVOTDATA("dato",'[1]tabla dinámica pernocta'!$P$5,"categoría","3 *","mes",8,"año",2006)</f>
        <v>5589</v>
      </c>
      <c r="G61" s="52">
        <f>GETPIVOTDATA("dato",'[1]tabla dinámica pernocta'!$P$5,"categoría","4* y 5*","mes",8,"año",2006)</f>
        <v>10163</v>
      </c>
      <c r="H61" s="52">
        <f>GETPIVOTDATA("dato",'[1]tabla dinámica pernocta'!$P$5,"categoría","HOTELEROS","mes",8,"año",2006)</f>
        <v>32936</v>
      </c>
      <c r="I61" s="52">
        <f>GETPIVOTDATA("dato",'[1]tabla dinámica pernocta'!$P$5,"categoría","EXTRAHOTELEROS","mes",8,"año",2006)</f>
        <v>0</v>
      </c>
      <c r="J61" s="52">
        <f>GETPIVOTDATA("dato",'[1]tabla dinámica pernocta'!$P$5,"categoría","TOTAL","mes",8,"año",2006)</f>
        <v>32936</v>
      </c>
    </row>
    <row r="62" spans="3:10" hidden="1" outlineLevel="1">
      <c r="C62" s="51" t="s">
        <v>43</v>
      </c>
      <c r="D62" s="52">
        <f>GETPIVOTDATA("dato",'[1]tabla dinámica pernocta'!$P$5,"categoría","1*","mes",7,"año",2006)</f>
        <v>3584</v>
      </c>
      <c r="E62" s="52">
        <f>GETPIVOTDATA("dato",'[1]tabla dinámica pernocta'!$P$5,"categoría","2*","mes",7,"año",2006)</f>
        <v>13331</v>
      </c>
      <c r="F62" s="52">
        <f>GETPIVOTDATA("dato",'[1]tabla dinámica pernocta'!$P$5,"categoría","3 *","mes",7,"año",2006)</f>
        <v>6980</v>
      </c>
      <c r="G62" s="52">
        <f>GETPIVOTDATA("dato",'[1]tabla dinámica pernocta'!$P$5,"categoría","4* y 5*","mes",7,"año",2006)</f>
        <v>12497</v>
      </c>
      <c r="H62" s="52">
        <f>GETPIVOTDATA("dato",'[1]tabla dinámica pernocta'!$P$5,"categoría","HOTELEROS","mes",7,"año",2006)</f>
        <v>36392</v>
      </c>
      <c r="I62" s="52">
        <f>GETPIVOTDATA("dato",'[1]tabla dinámica pernocta'!$P$5,"categoría","EXTRAHOTELEROS","mes",7,"año",2006)</f>
        <v>0</v>
      </c>
      <c r="J62" s="52">
        <f>GETPIVOTDATA("dato",'[1]tabla dinámica pernocta'!$P$5,"categoría","TOTAL","mes",7,"año",2006)</f>
        <v>36392</v>
      </c>
    </row>
    <row r="63" spans="3:10" hidden="1" outlineLevel="1">
      <c r="C63" s="51" t="s">
        <v>44</v>
      </c>
      <c r="D63" s="52">
        <f>GETPIVOTDATA("dato",'[1]tabla dinámica pernocta'!$P$5,"categoría","1*","mes",6,"año",2006)</f>
        <v>3392</v>
      </c>
      <c r="E63" s="52">
        <f>GETPIVOTDATA("dato",'[1]tabla dinámica pernocta'!$P$5,"categoría","2*","mes",6,"año",2006)</f>
        <v>13654</v>
      </c>
      <c r="F63" s="52">
        <f>GETPIVOTDATA("dato",'[1]tabla dinámica pernocta'!$P$5,"categoría","3 *","mes",6,"año",2006)</f>
        <v>8437</v>
      </c>
      <c r="G63" s="52">
        <f>GETPIVOTDATA("dato",'[1]tabla dinámica pernocta'!$P$5,"categoría","4* y 5*","mes",6,"año",2006)</f>
        <v>9696</v>
      </c>
      <c r="H63" s="52">
        <f>GETPIVOTDATA("dato",'[1]tabla dinámica pernocta'!$P$5,"categoría","HOTELEROS","mes",6,"año",2006)</f>
        <v>35179</v>
      </c>
      <c r="I63" s="52">
        <f>GETPIVOTDATA("dato",'[1]tabla dinámica pernocta'!$P$5,"categoría","EXTRAHOTELEROS","mes",6,"año",2006)</f>
        <v>0</v>
      </c>
      <c r="J63" s="52">
        <f>GETPIVOTDATA("dato",'[1]tabla dinámica pernocta'!$P$5,"categoría","TOTAL","mes",6,"año",2006)</f>
        <v>35179</v>
      </c>
    </row>
    <row r="64" spans="3:10" hidden="1" outlineLevel="1">
      <c r="C64" s="51" t="s">
        <v>45</v>
      </c>
      <c r="D64" s="52">
        <f>GETPIVOTDATA("dato",'[1]tabla dinámica pernocta'!$P$5,"categoría","1*","mes",5,"año",2006)</f>
        <v>2914</v>
      </c>
      <c r="E64" s="52">
        <f>GETPIVOTDATA("dato",'[1]tabla dinámica pernocta'!$P$5,"categoría","2*","mes",5,"año",2006)</f>
        <v>12626</v>
      </c>
      <c r="F64" s="52">
        <f>GETPIVOTDATA("dato",'[1]tabla dinámica pernocta'!$P$5,"categoría","3 *","mes",5,"año",2006)</f>
        <v>8900</v>
      </c>
      <c r="G64" s="52">
        <f>GETPIVOTDATA("dato",'[1]tabla dinámica pernocta'!$P$5,"categoría","4* y 5*","mes",5,"año",2006)</f>
        <v>10124</v>
      </c>
      <c r="H64" s="52">
        <f>GETPIVOTDATA("dato",'[1]tabla dinámica pernocta'!$P$5,"categoría","HOTELEROS","mes",5,"año",2006)</f>
        <v>34564</v>
      </c>
      <c r="I64" s="52">
        <f>GETPIVOTDATA("dato",'[1]tabla dinámica pernocta'!$P$5,"categoría","EXTRAHOTELEROS","mes",5,"año",2006)</f>
        <v>0</v>
      </c>
      <c r="J64" s="52">
        <f>GETPIVOTDATA("dato",'[1]tabla dinámica pernocta'!$P$5,"categoría","TOTAL","mes",5,"año",2006)</f>
        <v>34564</v>
      </c>
    </row>
    <row r="65" spans="3:10" hidden="1" outlineLevel="1">
      <c r="C65" s="51" t="s">
        <v>46</v>
      </c>
      <c r="D65" s="52">
        <f>GETPIVOTDATA("dato",'[1]tabla dinámica pernocta'!$P$5,"categoría","1*","mes",4,"año",2006)</f>
        <v>2463</v>
      </c>
      <c r="E65" s="52">
        <f>GETPIVOTDATA("dato",'[1]tabla dinámica pernocta'!$P$5,"categoría","2*","mes",4,"año",2006)</f>
        <v>12844</v>
      </c>
      <c r="F65" s="52">
        <f>GETPIVOTDATA("dato",'[1]tabla dinámica pernocta'!$P$5,"categoría","3 *","mes",4,"año",2006)</f>
        <v>8341</v>
      </c>
      <c r="G65" s="52">
        <f>GETPIVOTDATA("dato",'[1]tabla dinámica pernocta'!$P$5,"categoría","4* y 5*","mes",4,"año",2006)</f>
        <v>13563</v>
      </c>
      <c r="H65" s="52">
        <f>GETPIVOTDATA("dato",'[1]tabla dinámica pernocta'!$P$5,"categoría","HOTELEROS","mes",4,"año",2006)</f>
        <v>37211</v>
      </c>
      <c r="I65" s="52">
        <f>GETPIVOTDATA("dato",'[1]tabla dinámica pernocta'!$P$5,"categoría","EXTRAHOTELEROS","mes",4,"año",2006)</f>
        <v>0</v>
      </c>
      <c r="J65" s="52">
        <f>GETPIVOTDATA("dato",'[1]tabla dinámica pernocta'!$P$5,"categoría","TOTAL","mes",4,"año",2006)</f>
        <v>37211</v>
      </c>
    </row>
    <row r="66" spans="3:10" hidden="1" outlineLevel="1">
      <c r="C66" s="51" t="s">
        <v>47</v>
      </c>
      <c r="D66" s="52">
        <f>GETPIVOTDATA("dato",'[1]tabla dinámica pernocta'!$P$5,"categoría","1*","mes",3,"año",2006)</f>
        <v>3883</v>
      </c>
      <c r="E66" s="52">
        <f>GETPIVOTDATA("dato",'[1]tabla dinámica pernocta'!$P$5,"categoría","2*","mes",3,"año",2006)</f>
        <v>15961</v>
      </c>
      <c r="F66" s="52">
        <f>GETPIVOTDATA("dato",'[1]tabla dinámica pernocta'!$P$5,"categoría","3 *","mes",3,"año",2006)</f>
        <v>9408</v>
      </c>
      <c r="G66" s="52">
        <f>GETPIVOTDATA("dato",'[1]tabla dinámica pernocta'!$P$5,"categoría","4* y 5*","mes",3,"año",2006)</f>
        <v>14587</v>
      </c>
      <c r="H66" s="52">
        <f>GETPIVOTDATA("dato",'[1]tabla dinámica pernocta'!$P$5,"categoría","HOTELEROS","mes",3,"año",2006)</f>
        <v>43839</v>
      </c>
      <c r="I66" s="52">
        <f>GETPIVOTDATA("dato",'[1]tabla dinámica pernocta'!$P$5,"categoría","EXTRAHOTELEROS","mes",3,"año",2006)</f>
        <v>0</v>
      </c>
      <c r="J66" s="52">
        <f>GETPIVOTDATA("dato",'[1]tabla dinámica pernocta'!$P$5,"categoría","TOTAL","mes",3,"año",2006)</f>
        <v>43839</v>
      </c>
    </row>
    <row r="67" spans="3:10" hidden="1" outlineLevel="1">
      <c r="C67" s="51" t="s">
        <v>48</v>
      </c>
      <c r="D67" s="52">
        <f>GETPIVOTDATA("dato",'[1]tabla dinámica pernocta'!$P$5,"categoría","1*","mes",2,"año",2006)</f>
        <v>3386</v>
      </c>
      <c r="E67" s="52">
        <f>GETPIVOTDATA("dato",'[1]tabla dinámica pernocta'!$P$5,"categoría","2*","mes",2,"año",2006)</f>
        <v>15695</v>
      </c>
      <c r="F67" s="52">
        <f>GETPIVOTDATA("dato",'[1]tabla dinámica pernocta'!$P$5,"categoría","3 *","mes",2,"año",2006)</f>
        <v>9689</v>
      </c>
      <c r="G67" s="52">
        <f>GETPIVOTDATA("dato",'[1]tabla dinámica pernocta'!$P$5,"categoría","4* y 5*","mes",2,"año",2006)</f>
        <v>14423</v>
      </c>
      <c r="H67" s="52">
        <f>GETPIVOTDATA("dato",'[1]tabla dinámica pernocta'!$P$5,"categoría","HOTELEROS","mes",2,"año",2006)</f>
        <v>43193</v>
      </c>
      <c r="I67" s="52">
        <f>GETPIVOTDATA("dato",'[1]tabla dinámica pernocta'!$P$5,"categoría","EXTRAHOTELEROS","mes",2,"año",2006)</f>
        <v>0</v>
      </c>
      <c r="J67" s="52">
        <f>GETPIVOTDATA("dato",'[1]tabla dinámica pernocta'!$P$5,"categoría","TOTAL","mes",2,"año",2006)</f>
        <v>43193</v>
      </c>
    </row>
    <row r="68" spans="3:10" hidden="1" outlineLevel="1">
      <c r="C68" s="51" t="s">
        <v>49</v>
      </c>
      <c r="D68" s="52">
        <f>GETPIVOTDATA("dato",'[1]tabla dinámica pernocta'!$P$5,"categoría","1*","mes",1,"año",2006)</f>
        <v>2669</v>
      </c>
      <c r="E68" s="52">
        <f>GETPIVOTDATA("dato",'[1]tabla dinámica pernocta'!$P$5,"categoría","2*","mes",1,"año",2006)</f>
        <v>13491</v>
      </c>
      <c r="F68" s="52">
        <f>GETPIVOTDATA("dato",'[1]tabla dinámica pernocta'!$P$5,"categoría","3 *","mes",1,"año",2006)</f>
        <v>8105</v>
      </c>
      <c r="G68" s="52">
        <f>GETPIVOTDATA("dato",'[1]tabla dinámica pernocta'!$P$5,"categoría","4* y 5*","mes",1,"año",2006)</f>
        <v>9551</v>
      </c>
      <c r="H68" s="52">
        <f>GETPIVOTDATA("dato",'[1]tabla dinámica pernocta'!$P$5,"categoría","HOTELEROS","mes",1,"año",2006)</f>
        <v>33816</v>
      </c>
      <c r="I68" s="52">
        <f>GETPIVOTDATA("dato",'[1]tabla dinámica pernocta'!$P$5,"categoría","EXTRAHOTELEROS","mes",1,"año",2006)</f>
        <v>0</v>
      </c>
      <c r="J68" s="52">
        <f>GETPIVOTDATA("dato",'[1]tabla dinámica pernocta'!$P$5,"categoría","TOTAL","mes",1,"año",2006)</f>
        <v>33816</v>
      </c>
    </row>
    <row r="69" spans="3:10" collapsed="1">
      <c r="C69" s="164">
        <v>2006</v>
      </c>
      <c r="D69" s="59">
        <f>GETPIVOTDATA("dato",'[1]tabla dinámica pernocta'!$P$5,"categoría","1*","año",2006)</f>
        <v>48610</v>
      </c>
      <c r="E69" s="59">
        <f>GETPIVOTDATA("dato",'[1]tabla dinámica pernocta'!$P$5,"categoría","2*","año",2006)</f>
        <v>169365</v>
      </c>
      <c r="F69" s="59">
        <f>GETPIVOTDATA("dato",'[1]tabla dinámica pernocta'!$P$5,"categoría","3 *","año",2006)</f>
        <v>94756</v>
      </c>
      <c r="G69" s="59">
        <f>GETPIVOTDATA("dato",'[1]tabla dinámica pernocta'!$P$5,"categoría","4* y 5*","año",2006)</f>
        <v>154618</v>
      </c>
      <c r="H69" s="59">
        <f>GETPIVOTDATA("dato",'[1]tabla dinámica pernocta'!$P$5,"categoría","HOTELEROS","año",2006)</f>
        <v>467349</v>
      </c>
      <c r="I69" s="59">
        <f>GETPIVOTDATA("dato",'[1]tabla dinámica pernocta'!$P$5,"categoría","EXTRAHOTELEROS","año",2006)</f>
        <v>0</v>
      </c>
      <c r="J69" s="59">
        <f>GETPIVOTDATA("dato",'[1]tabla dinámica pernocta'!$P$5,"categoría","TOTAL","año",2006)</f>
        <v>467349</v>
      </c>
    </row>
    <row r="70" spans="3:10">
      <c r="C70" s="165" t="s">
        <v>33</v>
      </c>
      <c r="D70" s="165"/>
      <c r="E70" s="165"/>
      <c r="F70" s="165"/>
      <c r="G70" s="165"/>
      <c r="H70" s="165"/>
      <c r="I70" s="165"/>
      <c r="J70" s="165"/>
    </row>
  </sheetData>
  <mergeCells count="2">
    <mergeCell ref="C3:J3"/>
    <mergeCell ref="C70:J7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C2:J57"/>
  <sheetViews>
    <sheetView showGridLines="0" showRowColHeaders="0" zoomScaleNormal="100" workbookViewId="0">
      <selection activeCell="I13" sqref="I13"/>
    </sheetView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0" ht="42.75" customHeight="1"/>
    <row r="3" spans="3:10" ht="30" customHeight="1">
      <c r="C3" s="159" t="s">
        <v>230</v>
      </c>
      <c r="D3" s="159"/>
      <c r="E3" s="159"/>
      <c r="F3" s="159"/>
      <c r="G3" s="159"/>
      <c r="H3" s="159"/>
      <c r="I3" s="159"/>
      <c r="J3" s="159"/>
    </row>
    <row r="4" spans="3:10" ht="45" customHeight="1">
      <c r="C4" s="160"/>
      <c r="D4" s="127" t="s">
        <v>226</v>
      </c>
      <c r="E4" s="127" t="s">
        <v>227</v>
      </c>
      <c r="F4" s="127" t="s">
        <v>228</v>
      </c>
      <c r="G4" s="127" t="s">
        <v>229</v>
      </c>
      <c r="H4" s="161" t="s">
        <v>35</v>
      </c>
      <c r="I4" s="161" t="s">
        <v>116</v>
      </c>
      <c r="J4" s="162" t="s">
        <v>37</v>
      </c>
    </row>
    <row r="5" spans="3:10" hidden="1">
      <c r="C5" s="51" t="s">
        <v>38</v>
      </c>
      <c r="D5" s="320" t="str">
        <f>IFERROR('tablas pernocta cat ev anual'!D5/'tablas pernocta cat ev anual'!D18-1,"-")</f>
        <v>-</v>
      </c>
      <c r="E5" s="320" t="str">
        <f>IFERROR('tablas pernocta cat ev anual'!E5/'tablas pernocta cat ev anual'!E18-1,"-")</f>
        <v>-</v>
      </c>
      <c r="F5" s="320" t="str">
        <f>IFERROR('tablas pernocta cat ev anual'!F5/'tablas pernocta cat ev anual'!F18-1,"-")</f>
        <v>-</v>
      </c>
      <c r="G5" s="320" t="str">
        <f>IFERROR('tablas pernocta cat ev anual'!G5/'tablas pernocta cat ev anual'!G18-1,"-")</f>
        <v>-</v>
      </c>
      <c r="H5" s="320" t="str">
        <f>IFERROR('tablas pernocta cat ev anual'!H5/'tablas pernocta cat ev anual'!H18-1,"-")</f>
        <v>-</v>
      </c>
      <c r="I5" s="320" t="str">
        <f>IFERROR('tablas pernocta cat ev anual'!I5/'tablas pernocta cat ev anual'!I18-1,"-")</f>
        <v>-</v>
      </c>
      <c r="J5" s="320" t="str">
        <f>IFERROR('tablas pernocta cat ev anual'!J5/'tablas pernocta cat ev anual'!J18-1,"-")</f>
        <v>-</v>
      </c>
    </row>
    <row r="6" spans="3:10" hidden="1">
      <c r="C6" s="51" t="s">
        <v>39</v>
      </c>
      <c r="D6" s="320" t="str">
        <f>IFERROR('tablas pernocta cat ev anual'!D6/'tablas pernocta cat ev anual'!D19-1,"-")</f>
        <v>-</v>
      </c>
      <c r="E6" s="320" t="str">
        <f>IFERROR('tablas pernocta cat ev anual'!E6/'tablas pernocta cat ev anual'!E19-1,"-")</f>
        <v>-</v>
      </c>
      <c r="F6" s="320" t="str">
        <f>IFERROR('tablas pernocta cat ev anual'!F6/'tablas pernocta cat ev anual'!F19-1,"-")</f>
        <v>-</v>
      </c>
      <c r="G6" s="320" t="str">
        <f>IFERROR('tablas pernocta cat ev anual'!G6/'tablas pernocta cat ev anual'!G19-1,"-")</f>
        <v>-</v>
      </c>
      <c r="H6" s="320" t="str">
        <f>IFERROR('tablas pernocta cat ev anual'!H6/'tablas pernocta cat ev anual'!H19-1,"-")</f>
        <v>-</v>
      </c>
      <c r="I6" s="320" t="str">
        <f>IFERROR('tablas pernocta cat ev anual'!I6/'tablas pernocta cat ev anual'!I19-1,"-")</f>
        <v>-</v>
      </c>
      <c r="J6" s="320" t="str">
        <f>IFERROR('tablas pernocta cat ev anual'!J6/'tablas pernocta cat ev anual'!J19-1,"-")</f>
        <v>-</v>
      </c>
    </row>
    <row r="7" spans="3:10" hidden="1">
      <c r="C7" s="51" t="s">
        <v>40</v>
      </c>
      <c r="D7" s="320" t="str">
        <f>IFERROR('tablas pernocta cat ev anual'!D7/'tablas pernocta cat ev anual'!D20-1,"-")</f>
        <v>-</v>
      </c>
      <c r="E7" s="320" t="str">
        <f>IFERROR('tablas pernocta cat ev anual'!E7/'tablas pernocta cat ev anual'!E20-1,"-")</f>
        <v>-</v>
      </c>
      <c r="F7" s="320" t="str">
        <f>IFERROR('tablas pernocta cat ev anual'!F7/'tablas pernocta cat ev anual'!F20-1,"-")</f>
        <v>-</v>
      </c>
      <c r="G7" s="320" t="str">
        <f>IFERROR('tablas pernocta cat ev anual'!G7/'tablas pernocta cat ev anual'!G20-1,"-")</f>
        <v>-</v>
      </c>
      <c r="H7" s="320" t="str">
        <f>IFERROR('tablas pernocta cat ev anual'!H7/'tablas pernocta cat ev anual'!H20-1,"-")</f>
        <v>-</v>
      </c>
      <c r="I7" s="320" t="str">
        <f>IFERROR('tablas pernocta cat ev anual'!I7/'tablas pernocta cat ev anual'!I20-1,"-")</f>
        <v>-</v>
      </c>
      <c r="J7" s="320" t="str">
        <f>IFERROR('tablas pernocta cat ev anual'!J7/'tablas pernocta cat ev anual'!J20-1,"-")</f>
        <v>-</v>
      </c>
    </row>
    <row r="8" spans="3:10" hidden="1">
      <c r="C8" s="51" t="s">
        <v>41</v>
      </c>
      <c r="D8" s="320" t="str">
        <f>IFERROR('tablas pernocta cat ev anual'!D8/'tablas pernocta cat ev anual'!D21-1,"-")</f>
        <v>-</v>
      </c>
      <c r="E8" s="320" t="str">
        <f>IFERROR('tablas pernocta cat ev anual'!E8/'tablas pernocta cat ev anual'!E21-1,"-")</f>
        <v>-</v>
      </c>
      <c r="F8" s="320" t="str">
        <f>IFERROR('tablas pernocta cat ev anual'!F8/'tablas pernocta cat ev anual'!F21-1,"-")</f>
        <v>-</v>
      </c>
      <c r="G8" s="320" t="str">
        <f>IFERROR('tablas pernocta cat ev anual'!G8/'tablas pernocta cat ev anual'!G21-1,"-")</f>
        <v>-</v>
      </c>
      <c r="H8" s="320" t="str">
        <f>IFERROR('tablas pernocta cat ev anual'!H8/'tablas pernocta cat ev anual'!H21-1,"-")</f>
        <v>-</v>
      </c>
      <c r="I8" s="320" t="str">
        <f>IFERROR('tablas pernocta cat ev anual'!I8/'tablas pernocta cat ev anual'!I21-1,"-")</f>
        <v>-</v>
      </c>
      <c r="J8" s="320" t="str">
        <f>IFERROR('tablas pernocta cat ev anual'!J8/'tablas pernocta cat ev anual'!J21-1,"-")</f>
        <v>-</v>
      </c>
    </row>
    <row r="9" spans="3:10" hidden="1">
      <c r="C9" s="51" t="s">
        <v>42</v>
      </c>
      <c r="D9" s="320" t="str">
        <f>IFERROR('tablas pernocta cat ev anual'!D9/'tablas pernocta cat ev anual'!D22-1,"-")</f>
        <v>-</v>
      </c>
      <c r="E9" s="320" t="str">
        <f>IFERROR('tablas pernocta cat ev anual'!E9/'tablas pernocta cat ev anual'!E22-1,"-")</f>
        <v>-</v>
      </c>
      <c r="F9" s="320" t="str">
        <f>IFERROR('tablas pernocta cat ev anual'!F9/'tablas pernocta cat ev anual'!F22-1,"-")</f>
        <v>-</v>
      </c>
      <c r="G9" s="320" t="str">
        <f>IFERROR('tablas pernocta cat ev anual'!G9/'tablas pernocta cat ev anual'!G22-1,"-")</f>
        <v>-</v>
      </c>
      <c r="H9" s="320" t="str">
        <f>IFERROR('tablas pernocta cat ev anual'!H9/'tablas pernocta cat ev anual'!H22-1,"-")</f>
        <v>-</v>
      </c>
      <c r="I9" s="320" t="str">
        <f>IFERROR('tablas pernocta cat ev anual'!I9/'tablas pernocta cat ev anual'!I22-1,"-")</f>
        <v>-</v>
      </c>
      <c r="J9" s="320" t="str">
        <f>IFERROR('tablas pernocta cat ev anual'!J9/'tablas pernocta cat ev anual'!J22-1,"-")</f>
        <v>-</v>
      </c>
    </row>
    <row r="10" spans="3:10">
      <c r="C10" s="51" t="s">
        <v>43</v>
      </c>
      <c r="D10" s="320">
        <f>IFERROR('tablas pernocta cat ev anual'!D10/'tablas pernocta cat ev anual'!D23-1,"-")</f>
        <v>-9.9636950383219069E-2</v>
      </c>
      <c r="E10" s="320">
        <f>IFERROR('tablas pernocta cat ev anual'!E10/'tablas pernocta cat ev anual'!E23-1,"-")</f>
        <v>-0.18626570915619389</v>
      </c>
      <c r="F10" s="320">
        <f>IFERROR('tablas pernocta cat ev anual'!F10/'tablas pernocta cat ev anual'!F23-1,"-")</f>
        <v>-0.15058257345491388</v>
      </c>
      <c r="G10" s="320">
        <f>IFERROR('tablas pernocta cat ev anual'!G10/'tablas pernocta cat ev anual'!G23-1,"-")</f>
        <v>-0.15427066348927632</v>
      </c>
      <c r="H10" s="320">
        <f>IFERROR('tablas pernocta cat ev anual'!H10/'tablas pernocta cat ev anual'!H23-1,"-")</f>
        <v>-0.15869405722670582</v>
      </c>
      <c r="I10" s="320" t="str">
        <f>IFERROR('tablas pernocta cat ev anual'!I10/'tablas pernocta cat ev anual'!I23-1,"-")</f>
        <v>-</v>
      </c>
      <c r="J10" s="320">
        <f>IFERROR('tablas pernocta cat ev anual'!J10/'tablas pernocta cat ev anual'!J23-1,"-")</f>
        <v>-0.15869405722670582</v>
      </c>
    </row>
    <row r="11" spans="3:10">
      <c r="C11" s="51" t="s">
        <v>44</v>
      </c>
      <c r="D11" s="320">
        <f>IFERROR('tablas pernocta cat ev anual'!D11/'tablas pernocta cat ev anual'!D24-1,"-")</f>
        <v>-0.1435424354243543</v>
      </c>
      <c r="E11" s="320">
        <f>IFERROR('tablas pernocta cat ev anual'!E11/'tablas pernocta cat ev anual'!E24-1,"-")</f>
        <v>5.4784857747472326E-2</v>
      </c>
      <c r="F11" s="320">
        <f>IFERROR('tablas pernocta cat ev anual'!F11/'tablas pernocta cat ev anual'!F24-1,"-")</f>
        <v>0.16600736598008448</v>
      </c>
      <c r="G11" s="320">
        <f>IFERROR('tablas pernocta cat ev anual'!G11/'tablas pernocta cat ev anual'!G24-1,"-")</f>
        <v>-0.34212454212454213</v>
      </c>
      <c r="H11" s="320">
        <f>IFERROR('tablas pernocta cat ev anual'!H11/'tablas pernocta cat ev anual'!H24-1,"-")</f>
        <v>-7.0279695395345509E-2</v>
      </c>
      <c r="I11" s="320" t="str">
        <f>IFERROR('tablas pernocta cat ev anual'!I11/'tablas pernocta cat ev anual'!I24-1,"-")</f>
        <v>-</v>
      </c>
      <c r="J11" s="320">
        <f>IFERROR('tablas pernocta cat ev anual'!J11/'tablas pernocta cat ev anual'!J24-1,"-")</f>
        <v>-7.0279695395345509E-2</v>
      </c>
    </row>
    <row r="12" spans="3:10">
      <c r="C12" s="51" t="s">
        <v>45</v>
      </c>
      <c r="D12" s="320">
        <f>IFERROR('tablas pernocta cat ev anual'!D12/'tablas pernocta cat ev anual'!D25-1,"-")</f>
        <v>-0.15625</v>
      </c>
      <c r="E12" s="320">
        <f>IFERROR('tablas pernocta cat ev anual'!E12/'tablas pernocta cat ev anual'!E25-1,"-")</f>
        <v>-0.17663987297806882</v>
      </c>
      <c r="F12" s="320">
        <f>IFERROR('tablas pernocta cat ev anual'!F12/'tablas pernocta cat ev anual'!F25-1,"-")</f>
        <v>-7.5433833077558687E-2</v>
      </c>
      <c r="G12" s="320">
        <f>IFERROR('tablas pernocta cat ev anual'!G12/'tablas pernocta cat ev anual'!G25-1,"-")</f>
        <v>-0.22230863237418064</v>
      </c>
      <c r="H12" s="320">
        <f>IFERROR('tablas pernocta cat ev anual'!H12/'tablas pernocta cat ev anual'!H25-1,"-")</f>
        <v>-0.16008095285491519</v>
      </c>
      <c r="I12" s="320" t="str">
        <f>IFERROR('tablas pernocta cat ev anual'!I12/'tablas pernocta cat ev anual'!I25-1,"-")</f>
        <v>-</v>
      </c>
      <c r="J12" s="320">
        <f>IFERROR('tablas pernocta cat ev anual'!J12/'tablas pernocta cat ev anual'!J25-1,"-")</f>
        <v>-0.16008095285491519</v>
      </c>
    </row>
    <row r="13" spans="3:10">
      <c r="C13" s="51" t="s">
        <v>46</v>
      </c>
      <c r="D13" s="320">
        <f>IFERROR('tablas pernocta cat ev anual'!D13/'tablas pernocta cat ev anual'!D26-1,"-")</f>
        <v>-0.21947726459004657</v>
      </c>
      <c r="E13" s="320">
        <f>IFERROR('tablas pernocta cat ev anual'!E13/'tablas pernocta cat ev anual'!E26-1,"-")</f>
        <v>-0.16186978959904719</v>
      </c>
      <c r="F13" s="320">
        <f>IFERROR('tablas pernocta cat ev anual'!F13/'tablas pernocta cat ev anual'!F26-1,"-")</f>
        <v>0.14760941057424737</v>
      </c>
      <c r="G13" s="320">
        <f>IFERROR('tablas pernocta cat ev anual'!G13/'tablas pernocta cat ev anual'!G26-1,"-")</f>
        <v>-0.1335246082542485</v>
      </c>
      <c r="H13" s="320">
        <f>IFERROR('tablas pernocta cat ev anual'!H13/'tablas pernocta cat ev anual'!H26-1,"-")</f>
        <v>-7.6649797231625127E-2</v>
      </c>
      <c r="I13" s="320" t="str">
        <f>IFERROR('tablas pernocta cat ev anual'!I13/'tablas pernocta cat ev anual'!I26-1,"-")</f>
        <v>-</v>
      </c>
      <c r="J13" s="320">
        <f>IFERROR('tablas pernocta cat ev anual'!J13/'tablas pernocta cat ev anual'!J26-1,"-")</f>
        <v>-7.6649797231625127E-2</v>
      </c>
    </row>
    <row r="14" spans="3:10">
      <c r="C14" s="51" t="s">
        <v>47</v>
      </c>
      <c r="D14" s="320">
        <f>IFERROR('tablas pernocta cat ev anual'!D14/'tablas pernocta cat ev anual'!D27-1,"-")</f>
        <v>-0.15858747993579458</v>
      </c>
      <c r="E14" s="320">
        <f>IFERROR('tablas pernocta cat ev anual'!E14/'tablas pernocta cat ev anual'!E27-1,"-")</f>
        <v>-0.3987571568216729</v>
      </c>
      <c r="F14" s="320">
        <f>IFERROR('tablas pernocta cat ev anual'!F14/'tablas pernocta cat ev anual'!F27-1,"-")</f>
        <v>-9.177554080102801E-2</v>
      </c>
      <c r="G14" s="320">
        <f>IFERROR('tablas pernocta cat ev anual'!G14/'tablas pernocta cat ev anual'!G27-1,"-")</f>
        <v>-0.11497623622206488</v>
      </c>
      <c r="H14" s="320">
        <f>IFERROR('tablas pernocta cat ev anual'!H14/'tablas pernocta cat ev anual'!H27-1,"-")</f>
        <v>-0.22362535457124155</v>
      </c>
      <c r="I14" s="320" t="str">
        <f>IFERROR('tablas pernocta cat ev anual'!I14/'tablas pernocta cat ev anual'!I27-1,"-")</f>
        <v>-</v>
      </c>
      <c r="J14" s="320">
        <f>IFERROR('tablas pernocta cat ev anual'!J14/'tablas pernocta cat ev anual'!J27-1,"-")</f>
        <v>-0.22362535457124155</v>
      </c>
    </row>
    <row r="15" spans="3:10">
      <c r="C15" s="51" t="s">
        <v>48</v>
      </c>
      <c r="D15" s="320">
        <f>IFERROR('tablas pernocta cat ev anual'!D15/'tablas pernocta cat ev anual'!D28-1,"-")</f>
        <v>0.20552778594531018</v>
      </c>
      <c r="E15" s="320">
        <f>IFERROR('tablas pernocta cat ev anual'!E15/'tablas pernocta cat ev anual'!E28-1,"-")</f>
        <v>-3.2731189923765336E-2</v>
      </c>
      <c r="F15" s="320">
        <f>IFERROR('tablas pernocta cat ev anual'!F15/'tablas pernocta cat ev anual'!F28-1,"-")</f>
        <v>3.1132177097920932E-2</v>
      </c>
      <c r="G15" s="320">
        <f>IFERROR('tablas pernocta cat ev anual'!G15/'tablas pernocta cat ev anual'!G28-1,"-")</f>
        <v>-0.36051236140761656</v>
      </c>
      <c r="H15" s="320">
        <f>IFERROR('tablas pernocta cat ev anual'!H15/'tablas pernocta cat ev anual'!H28-1,"-")</f>
        <v>-0.11819825325287092</v>
      </c>
      <c r="I15" s="320" t="str">
        <f>IFERROR('tablas pernocta cat ev anual'!I15/'tablas pernocta cat ev anual'!I28-1,"-")</f>
        <v>-</v>
      </c>
      <c r="J15" s="320">
        <f>IFERROR('tablas pernocta cat ev anual'!J15/'tablas pernocta cat ev anual'!J28-1,"-")</f>
        <v>-0.11819825325287092</v>
      </c>
    </row>
    <row r="16" spans="3:10">
      <c r="C16" s="51" t="s">
        <v>49</v>
      </c>
      <c r="D16" s="320">
        <f>IFERROR('tablas pernocta cat ev anual'!D16/'tablas pernocta cat ev anual'!D29-1,"-")</f>
        <v>-7.7034358047016305E-2</v>
      </c>
      <c r="E16" s="320">
        <f>IFERROR('tablas pernocta cat ev anual'!E16/'tablas pernocta cat ev anual'!E29-1,"-")</f>
        <v>-0.25545851528384278</v>
      </c>
      <c r="F16" s="320">
        <f>IFERROR('tablas pernocta cat ev anual'!F16/'tablas pernocta cat ev anual'!F29-1,"-")</f>
        <v>0.18273401427172242</v>
      </c>
      <c r="G16" s="320">
        <f>IFERROR('tablas pernocta cat ev anual'!G16/'tablas pernocta cat ev anual'!G29-1,"-")</f>
        <v>-0.21537402083154</v>
      </c>
      <c r="H16" s="320">
        <f>IFERROR('tablas pernocta cat ev anual'!H16/'tablas pernocta cat ev anual'!H29-1,"-")</f>
        <v>-0.13141696230934841</v>
      </c>
      <c r="I16" s="320" t="str">
        <f>IFERROR('tablas pernocta cat ev anual'!I16/'tablas pernocta cat ev anual'!I29-1,"-")</f>
        <v>-</v>
      </c>
      <c r="J16" s="320">
        <f>IFERROR('tablas pernocta cat ev anual'!J16/'tablas pernocta cat ev anual'!J29-1,"-")</f>
        <v>-0.13141696230934841</v>
      </c>
    </row>
    <row r="17" spans="3:10" ht="30">
      <c r="C17" s="69" t="s">
        <v>55</v>
      </c>
      <c r="D17" s="321">
        <f>IFERROR(('tablas pernocta cat ev anual'!D14+'tablas pernocta cat ev anual'!D15+'tablas pernocta cat ev anual'!D16+'tablas pernocta cat ev anual'!D13+'tablas pernocta cat ev anual'!D12+'tablas pernocta cat ev anual'!D11+'tablas pernocta cat ev anual'!D10)/('tablas pernocta cat ev anual'!D27+'tablas pernocta cat ev anual'!D28+'tablas pernocta cat ev anual'!D29+'tablas pernocta cat ev anual'!D26+'tablas pernocta cat ev anual'!D25+'tablas pernocta cat ev anual'!D24+'tablas pernocta cat ev anual'!D23)-1,"-")</f>
        <v>-8.3706874842608969E-2</v>
      </c>
      <c r="E17" s="321">
        <f>IFERROR(('tablas pernocta cat ev anual'!E14+'tablas pernocta cat ev anual'!E15+'tablas pernocta cat ev anual'!E16+'tablas pernocta cat ev anual'!E13+'tablas pernocta cat ev anual'!E12+'tablas pernocta cat ev anual'!E11+'tablas pernocta cat ev anual'!E10)/('tablas pernocta cat ev anual'!E27+'tablas pernocta cat ev anual'!E28+'tablas pernocta cat ev anual'!E29+'tablas pernocta cat ev anual'!E26+'tablas pernocta cat ev anual'!E25+'tablas pernocta cat ev anual'!E24+'tablas pernocta cat ev anual'!E23)-1,"-")</f>
        <v>-0.18082242643646151</v>
      </c>
      <c r="F17" s="321">
        <f>IFERROR(('tablas pernocta cat ev anual'!F14+'tablas pernocta cat ev anual'!F15+'tablas pernocta cat ev anual'!F16+'tablas pernocta cat ev anual'!F13+'tablas pernocta cat ev anual'!F12+'tablas pernocta cat ev anual'!F11+'tablas pernocta cat ev anual'!F10)/('tablas pernocta cat ev anual'!F27+'tablas pernocta cat ev anual'!F28+'tablas pernocta cat ev anual'!F29+'tablas pernocta cat ev anual'!F26+'tablas pernocta cat ev anual'!F25+'tablas pernocta cat ev anual'!F24+'tablas pernocta cat ev anual'!F23)-1,"-")</f>
        <v>2.2554556229519518E-2</v>
      </c>
      <c r="G17" s="321">
        <f>IFERROR(('tablas pernocta cat ev anual'!G14+'tablas pernocta cat ev anual'!G15+'tablas pernocta cat ev anual'!G16+'tablas pernocta cat ev anual'!G13+'tablas pernocta cat ev anual'!G12+'tablas pernocta cat ev anual'!G11+'tablas pernocta cat ev anual'!G10)/('tablas pernocta cat ev anual'!G27+'tablas pernocta cat ev anual'!G28+'tablas pernocta cat ev anual'!G29+'tablas pernocta cat ev anual'!G26+'tablas pernocta cat ev anual'!G25+'tablas pernocta cat ev anual'!G24+'tablas pernocta cat ev anual'!G23)-1,"-")</f>
        <v>-0.23156189784690995</v>
      </c>
      <c r="H17" s="321">
        <f>IFERROR(('tablas pernocta cat ev anual'!H14+'tablas pernocta cat ev anual'!H15+'tablas pernocta cat ev anual'!H16+'tablas pernocta cat ev anual'!H13+'tablas pernocta cat ev anual'!H12+'tablas pernocta cat ev anual'!H11+'tablas pernocta cat ev anual'!H10)/('tablas pernocta cat ev anual'!H27+'tablas pernocta cat ev anual'!H28+'tablas pernocta cat ev anual'!H29+'tablas pernocta cat ev anual'!H26+'tablas pernocta cat ev anual'!H25+'tablas pernocta cat ev anual'!H24+'tablas pernocta cat ev anual'!H23)-1,"-")</f>
        <v>-0.13639768835616439</v>
      </c>
      <c r="I17" s="321" t="str">
        <f>IFERROR(('tablas pernocta cat ev anual'!I14+'tablas pernocta cat ev anual'!I15+'tablas pernocta cat ev anual'!I16+'tablas pernocta cat ev anual'!I13+'tablas pernocta cat ev anual'!I12+'tablas pernocta cat ev anual'!I11+'tablas pernocta cat ev anual'!I10)/('tablas pernocta cat ev anual'!I27+'tablas pernocta cat ev anual'!I28+'tablas pernocta cat ev anual'!I29+'tablas pernocta cat ev anual'!I26+'tablas pernocta cat ev anual'!I25+'tablas pernocta cat ev anual'!I24+'tablas pernocta cat ev anual'!I23)-1,"-")</f>
        <v>-</v>
      </c>
      <c r="J17" s="321">
        <f>IFERROR(('tablas pernocta cat ev anual'!J14+'tablas pernocta cat ev anual'!J15+'tablas pernocta cat ev anual'!J16+'tablas pernocta cat ev anual'!J13+'tablas pernocta cat ev anual'!J12+'tablas pernocta cat ev anual'!J11+'tablas pernocta cat ev anual'!J10)/('tablas pernocta cat ev anual'!J27+'tablas pernocta cat ev anual'!J28+'tablas pernocta cat ev anual'!J29+'tablas pernocta cat ev anual'!J26+'tablas pernocta cat ev anual'!J25+'tablas pernocta cat ev anual'!J24+'tablas pernocta cat ev anual'!J23)-1,"-")</f>
        <v>-0.13639768835616439</v>
      </c>
    </row>
    <row r="18" spans="3:10" hidden="1" outlineLevel="1">
      <c r="C18" s="51" t="s">
        <v>38</v>
      </c>
      <c r="D18" s="320">
        <f>IFERROR('tablas pernocta cat ev anual'!D18/'tablas pernocta cat ev anual'!D31-1,"-")</f>
        <v>-0.39219576719576721</v>
      </c>
      <c r="E18" s="320">
        <f>IFERROR('tablas pernocta cat ev anual'!E18/'tablas pernocta cat ev anual'!E31-1,"-")</f>
        <v>-0.36394795303078387</v>
      </c>
      <c r="F18" s="320">
        <f>IFERROR('tablas pernocta cat ev anual'!F18/'tablas pernocta cat ev anual'!F31-1,"-")</f>
        <v>0.20683060109289619</v>
      </c>
      <c r="G18" s="320">
        <f>IFERROR('tablas pernocta cat ev anual'!G18/'tablas pernocta cat ev anual'!G31-1,"-")</f>
        <v>0.37008619873070003</v>
      </c>
      <c r="H18" s="320">
        <f>IFERROR('tablas pernocta cat ev anual'!H18/'tablas pernocta cat ev anual'!H31-1,"-")</f>
        <v>-5.4810312303500308E-2</v>
      </c>
      <c r="I18" s="320" t="str">
        <f>IFERROR('tablas pernocta cat ev anual'!I18/'tablas pernocta cat ev anual'!I31-1,"-")</f>
        <v>-</v>
      </c>
      <c r="J18" s="320">
        <f>IFERROR('tablas pernocta cat ev anual'!J18/'tablas pernocta cat ev anual'!J31-1,"-")</f>
        <v>-5.4810312303500308E-2</v>
      </c>
    </row>
    <row r="19" spans="3:10" hidden="1" outlineLevel="1">
      <c r="C19" s="51" t="s">
        <v>39</v>
      </c>
      <c r="D19" s="320">
        <f>IFERROR('tablas pernocta cat ev anual'!D19/'tablas pernocta cat ev anual'!D32-1,"-")</f>
        <v>-0.42599434905455336</v>
      </c>
      <c r="E19" s="320">
        <f>IFERROR('tablas pernocta cat ev anual'!E19/'tablas pernocta cat ev anual'!E32-1,"-")</f>
        <v>-0.45595259689219425</v>
      </c>
      <c r="F19" s="320">
        <f>IFERROR('tablas pernocta cat ev anual'!F19/'tablas pernocta cat ev anual'!F32-1,"-")</f>
        <v>-0.13804713804713808</v>
      </c>
      <c r="G19" s="320">
        <f>IFERROR('tablas pernocta cat ev anual'!G19/'tablas pernocta cat ev anual'!G32-1,"-")</f>
        <v>-0.33268350567892868</v>
      </c>
      <c r="H19" s="320">
        <f>IFERROR('tablas pernocta cat ev anual'!H19/'tablas pernocta cat ev anual'!H32-1,"-")</f>
        <v>-0.34725036520427877</v>
      </c>
      <c r="I19" s="320" t="str">
        <f>IFERROR('tablas pernocta cat ev anual'!I19/'tablas pernocta cat ev anual'!I32-1,"-")</f>
        <v>-</v>
      </c>
      <c r="J19" s="320">
        <f>IFERROR('tablas pernocta cat ev anual'!J19/'tablas pernocta cat ev anual'!J32-1,"-")</f>
        <v>-0.34725036520427877</v>
      </c>
    </row>
    <row r="20" spans="3:10" hidden="1" outlineLevel="1">
      <c r="C20" s="51" t="s">
        <v>40</v>
      </c>
      <c r="D20" s="320">
        <f>IFERROR('tablas pernocta cat ev anual'!D20/'tablas pernocta cat ev anual'!D33-1,"-")</f>
        <v>-0.46592964824120608</v>
      </c>
      <c r="E20" s="320">
        <f>IFERROR('tablas pernocta cat ev anual'!E20/'tablas pernocta cat ev anual'!E33-1,"-")</f>
        <v>-0.49815929410389759</v>
      </c>
      <c r="F20" s="320">
        <f>IFERROR('tablas pernocta cat ev anual'!F20/'tablas pernocta cat ev anual'!F33-1,"-")</f>
        <v>-0.16951443189497051</v>
      </c>
      <c r="G20" s="320">
        <f>IFERROR('tablas pernocta cat ev anual'!G20/'tablas pernocta cat ev anual'!G33-1,"-")</f>
        <v>-0.14483922377425706</v>
      </c>
      <c r="H20" s="320">
        <f>IFERROR('tablas pernocta cat ev anual'!H20/'tablas pernocta cat ev anual'!H33-1,"-")</f>
        <v>-0.32806049079185418</v>
      </c>
      <c r="I20" s="320" t="str">
        <f>IFERROR('tablas pernocta cat ev anual'!I20/'tablas pernocta cat ev anual'!I33-1,"-")</f>
        <v>-</v>
      </c>
      <c r="J20" s="320">
        <f>IFERROR('tablas pernocta cat ev anual'!J20/'tablas pernocta cat ev anual'!J33-1,"-")</f>
        <v>-0.32806049079185418</v>
      </c>
    </row>
    <row r="21" spans="3:10" hidden="1" outlineLevel="1">
      <c r="C21" s="51" t="s">
        <v>41</v>
      </c>
      <c r="D21" s="320">
        <f>IFERROR('tablas pernocta cat ev anual'!D21/'tablas pernocta cat ev anual'!D34-1,"-")</f>
        <v>-0.35649174673564921</v>
      </c>
      <c r="E21" s="320">
        <f>IFERROR('tablas pernocta cat ev anual'!E21/'tablas pernocta cat ev anual'!E34-1,"-")</f>
        <v>-0.4131567706108501</v>
      </c>
      <c r="F21" s="320">
        <f>IFERROR('tablas pernocta cat ev anual'!F21/'tablas pernocta cat ev anual'!F34-1,"-")</f>
        <v>-8.6464057418414231E-2</v>
      </c>
      <c r="G21" s="320">
        <f>IFERROR('tablas pernocta cat ev anual'!G21/'tablas pernocta cat ev anual'!G34-1,"-")</f>
        <v>-0.12987424706752615</v>
      </c>
      <c r="H21" s="320">
        <f>IFERROR('tablas pernocta cat ev anual'!H21/'tablas pernocta cat ev anual'!H34-1,"-")</f>
        <v>-0.24259020618556704</v>
      </c>
      <c r="I21" s="320" t="str">
        <f>IFERROR('tablas pernocta cat ev anual'!I21/'tablas pernocta cat ev anual'!I34-1,"-")</f>
        <v>-</v>
      </c>
      <c r="J21" s="320">
        <f>IFERROR('tablas pernocta cat ev anual'!J21/'tablas pernocta cat ev anual'!J34-1,"-")</f>
        <v>-0.24259020618556704</v>
      </c>
    </row>
    <row r="22" spans="3:10" hidden="1" outlineLevel="1">
      <c r="C22" s="51" t="s">
        <v>42</v>
      </c>
      <c r="D22" s="320">
        <f>IFERROR('tablas pernocta cat ev anual'!D22/'tablas pernocta cat ev anual'!D35-1,"-")</f>
        <v>-0.43557454463683387</v>
      </c>
      <c r="E22" s="320">
        <f>IFERROR('tablas pernocta cat ev anual'!E22/'tablas pernocta cat ev anual'!E35-1,"-")</f>
        <v>-0.39881668672282389</v>
      </c>
      <c r="F22" s="320">
        <f>IFERROR('tablas pernocta cat ev anual'!F22/'tablas pernocta cat ev anual'!F35-1,"-")</f>
        <v>-0.30503219651800617</v>
      </c>
      <c r="G22" s="320">
        <f>IFERROR('tablas pernocta cat ev anual'!G22/'tablas pernocta cat ev anual'!G35-1,"-")</f>
        <v>-0.22380008806693086</v>
      </c>
      <c r="H22" s="320">
        <f>IFERROR('tablas pernocta cat ev anual'!H22/'tablas pernocta cat ev anual'!H35-1,"-")</f>
        <v>-0.32942393928941016</v>
      </c>
      <c r="I22" s="320" t="str">
        <f>IFERROR('tablas pernocta cat ev anual'!I22/'tablas pernocta cat ev anual'!I35-1,"-")</f>
        <v>-</v>
      </c>
      <c r="J22" s="320">
        <f>IFERROR('tablas pernocta cat ev anual'!J22/'tablas pernocta cat ev anual'!J35-1,"-")</f>
        <v>-0.32942393928941016</v>
      </c>
    </row>
    <row r="23" spans="3:10" hidden="1" outlineLevel="1">
      <c r="C23" s="51" t="s">
        <v>43</v>
      </c>
      <c r="D23" s="320">
        <f>IFERROR('tablas pernocta cat ev anual'!D23/'tablas pernocta cat ev anual'!D36-1,"-")</f>
        <v>-0.51817298347910601</v>
      </c>
      <c r="E23" s="320">
        <f>IFERROR('tablas pernocta cat ev anual'!E23/'tablas pernocta cat ev anual'!E36-1,"-")</f>
        <v>-0.45492354740061158</v>
      </c>
      <c r="F23" s="320">
        <f>IFERROR('tablas pernocta cat ev anual'!F23/'tablas pernocta cat ev anual'!F36-1,"-")</f>
        <v>-5.3804673457160002E-2</v>
      </c>
      <c r="G23" s="320">
        <f>IFERROR('tablas pernocta cat ev anual'!G23/'tablas pernocta cat ev anual'!G36-1,"-")</f>
        <v>-0.35779299234796613</v>
      </c>
      <c r="H23" s="320">
        <f>IFERROR('tablas pernocta cat ev anual'!H23/'tablas pernocta cat ev anual'!H36-1,"-")</f>
        <v>-0.35486924624304816</v>
      </c>
      <c r="I23" s="320" t="str">
        <f>IFERROR('tablas pernocta cat ev anual'!I23/'tablas pernocta cat ev anual'!I36-1,"-")</f>
        <v>-</v>
      </c>
      <c r="J23" s="320">
        <f>IFERROR('tablas pernocta cat ev anual'!J23/'tablas pernocta cat ev anual'!J36-1,"-")</f>
        <v>-0.35486924624304816</v>
      </c>
    </row>
    <row r="24" spans="3:10" hidden="1" outlineLevel="1">
      <c r="C24" s="51" t="s">
        <v>44</v>
      </c>
      <c r="D24" s="320">
        <f>IFERROR('tablas pernocta cat ev anual'!D24/'tablas pernocta cat ev anual'!D37-1,"-")</f>
        <v>-0.36444652908067543</v>
      </c>
      <c r="E24" s="320">
        <f>IFERROR('tablas pernocta cat ev anual'!E24/'tablas pernocta cat ev anual'!E37-1,"-")</f>
        <v>-0.39729327570325235</v>
      </c>
      <c r="F24" s="320">
        <f>IFERROR('tablas pernocta cat ev anual'!F24/'tablas pernocta cat ev anual'!F37-1,"-")</f>
        <v>-0.22799073294018535</v>
      </c>
      <c r="G24" s="320">
        <f>IFERROR('tablas pernocta cat ev anual'!G24/'tablas pernocta cat ev anual'!G37-1,"-")</f>
        <v>-0.15164698570540713</v>
      </c>
      <c r="H24" s="320">
        <f>IFERROR('tablas pernocta cat ev anual'!H24/'tablas pernocta cat ev anual'!H37-1,"-")</f>
        <v>-0.28193990188062146</v>
      </c>
      <c r="I24" s="320" t="str">
        <f>IFERROR('tablas pernocta cat ev anual'!I24/'tablas pernocta cat ev anual'!I37-1,"-")</f>
        <v>-</v>
      </c>
      <c r="J24" s="320">
        <f>IFERROR('tablas pernocta cat ev anual'!J24/'tablas pernocta cat ev anual'!J37-1,"-")</f>
        <v>-0.28193990188062146</v>
      </c>
    </row>
    <row r="25" spans="3:10" hidden="1" outlineLevel="1">
      <c r="C25" s="51" t="s">
        <v>45</v>
      </c>
      <c r="D25" s="320">
        <f>IFERROR('tablas pernocta cat ev anual'!D25/'tablas pernocta cat ev anual'!D38-1,"-")</f>
        <v>-0.40550458715596327</v>
      </c>
      <c r="E25" s="320">
        <f>IFERROR('tablas pernocta cat ev anual'!E25/'tablas pernocta cat ev anual'!E38-1,"-")</f>
        <v>-0.39597194749145836</v>
      </c>
      <c r="F25" s="320">
        <f>IFERROR('tablas pernocta cat ev anual'!F25/'tablas pernocta cat ev anual'!F38-1,"-")</f>
        <v>-5.9091413973120122E-2</v>
      </c>
      <c r="G25" s="320">
        <f>IFERROR('tablas pernocta cat ev anual'!G25/'tablas pernocta cat ev anual'!G38-1,"-")</f>
        <v>-0.48198664825046045</v>
      </c>
      <c r="H25" s="320">
        <f>IFERROR('tablas pernocta cat ev anual'!H25/'tablas pernocta cat ev anual'!H38-1,"-")</f>
        <v>-0.36440892412804182</v>
      </c>
      <c r="I25" s="320" t="str">
        <f>IFERROR('tablas pernocta cat ev anual'!I25/'tablas pernocta cat ev anual'!I38-1,"-")</f>
        <v>-</v>
      </c>
      <c r="J25" s="320">
        <f>IFERROR('tablas pernocta cat ev anual'!J25/'tablas pernocta cat ev anual'!J38-1,"-")</f>
        <v>-0.36440892412804182</v>
      </c>
    </row>
    <row r="26" spans="3:10" hidden="1" outlineLevel="1">
      <c r="C26" s="51" t="s">
        <v>46</v>
      </c>
      <c r="D26" s="320">
        <f>IFERROR('tablas pernocta cat ev anual'!D26/'tablas pernocta cat ev anual'!D39-1,"-")</f>
        <v>-0.38057218895542244</v>
      </c>
      <c r="E26" s="320">
        <f>IFERROR('tablas pernocta cat ev anual'!E26/'tablas pernocta cat ev anual'!E39-1,"-")</f>
        <v>-0.36142974839977182</v>
      </c>
      <c r="F26" s="320">
        <f>IFERROR('tablas pernocta cat ev anual'!F26/'tablas pernocta cat ev anual'!F39-1,"-")</f>
        <v>-0.144835045970795</v>
      </c>
      <c r="G26" s="320">
        <f>IFERROR('tablas pernocta cat ev anual'!G26/'tablas pernocta cat ev anual'!G39-1,"-")</f>
        <v>-0.28583812751201831</v>
      </c>
      <c r="H26" s="320">
        <f>IFERROR('tablas pernocta cat ev anual'!H26/'tablas pernocta cat ev anual'!H39-1,"-")</f>
        <v>-0.29333049121311161</v>
      </c>
      <c r="I26" s="320" t="str">
        <f>IFERROR('tablas pernocta cat ev anual'!I26/'tablas pernocta cat ev anual'!I39-1,"-")</f>
        <v>-</v>
      </c>
      <c r="J26" s="320">
        <f>IFERROR('tablas pernocta cat ev anual'!J26/'tablas pernocta cat ev anual'!J39-1,"-")</f>
        <v>-0.29333049121311161</v>
      </c>
    </row>
    <row r="27" spans="3:10" hidden="1" outlineLevel="1">
      <c r="C27" s="51" t="s">
        <v>47</v>
      </c>
      <c r="D27" s="320">
        <f>IFERROR('tablas pernocta cat ev anual'!D27/'tablas pernocta cat ev anual'!D40-1,"-")</f>
        <v>-0.38548037088183074</v>
      </c>
      <c r="E27" s="320">
        <f>IFERROR('tablas pernocta cat ev anual'!E27/'tablas pernocta cat ev anual'!E40-1,"-")</f>
        <v>-7.8911827127146394E-2</v>
      </c>
      <c r="F27" s="320">
        <f>IFERROR('tablas pernocta cat ev anual'!F27/'tablas pernocta cat ev anual'!F40-1,"-")</f>
        <v>-2.989536621823663E-3</v>
      </c>
      <c r="G27" s="320">
        <f>IFERROR('tablas pernocta cat ev anual'!G27/'tablas pernocta cat ev anual'!G40-1,"-")</f>
        <v>-0.45352564102564108</v>
      </c>
      <c r="H27" s="320">
        <f>IFERROR('tablas pernocta cat ev anual'!H27/'tablas pernocta cat ev anual'!H40-1,"-")</f>
        <v>-0.23743760399334446</v>
      </c>
      <c r="I27" s="320" t="str">
        <f>IFERROR('tablas pernocta cat ev anual'!I27/'tablas pernocta cat ev anual'!I40-1,"-")</f>
        <v>-</v>
      </c>
      <c r="J27" s="320">
        <f>IFERROR('tablas pernocta cat ev anual'!J27/'tablas pernocta cat ev anual'!J40-1,"-")</f>
        <v>-0.23743760399334446</v>
      </c>
    </row>
    <row r="28" spans="3:10" hidden="1" outlineLevel="1">
      <c r="C28" s="51" t="s">
        <v>48</v>
      </c>
      <c r="D28" s="320">
        <f>IFERROR('tablas pernocta cat ev anual'!D28/'tablas pernocta cat ev anual'!D41-1,"-")</f>
        <v>-0.42238451086956519</v>
      </c>
      <c r="E28" s="320">
        <f>IFERROR('tablas pernocta cat ev anual'!E28/'tablas pernocta cat ev anual'!E41-1,"-")</f>
        <v>-0.36510942760942766</v>
      </c>
      <c r="F28" s="320">
        <f>IFERROR('tablas pernocta cat ev anual'!F28/'tablas pernocta cat ev anual'!F41-1,"-")</f>
        <v>-0.11354087089381204</v>
      </c>
      <c r="G28" s="320">
        <f>IFERROR('tablas pernocta cat ev anual'!G28/'tablas pernocta cat ev anual'!G41-1,"-")</f>
        <v>0.10166148243684092</v>
      </c>
      <c r="H28" s="320">
        <f>IFERROR('tablas pernocta cat ev anual'!H28/'tablas pernocta cat ev anual'!H41-1,"-")</f>
        <v>-0.1910646975220911</v>
      </c>
      <c r="I28" s="320" t="str">
        <f>IFERROR('tablas pernocta cat ev anual'!I28/'tablas pernocta cat ev anual'!I41-1,"-")</f>
        <v>-</v>
      </c>
      <c r="J28" s="320">
        <f>IFERROR('tablas pernocta cat ev anual'!J28/'tablas pernocta cat ev anual'!J41-1,"-")</f>
        <v>-0.1910646975220911</v>
      </c>
    </row>
    <row r="29" spans="3:10" hidden="1" outlineLevel="1">
      <c r="C29" s="51" t="s">
        <v>49</v>
      </c>
      <c r="D29" s="320">
        <f>IFERROR('tablas pernocta cat ev anual'!D29/'tablas pernocta cat ev anual'!D42-1,"-")</f>
        <v>-0.43177147554459516</v>
      </c>
      <c r="E29" s="320">
        <f>IFERROR('tablas pernocta cat ev anual'!E29/'tablas pernocta cat ev anual'!E42-1,"-")</f>
        <v>-0.36204591040784484</v>
      </c>
      <c r="F29" s="320">
        <f>IFERROR('tablas pernocta cat ev anual'!F29/'tablas pernocta cat ev anual'!F42-1,"-")</f>
        <v>-6.8187744458930943E-2</v>
      </c>
      <c r="G29" s="320">
        <f>IFERROR('tablas pernocta cat ev anual'!G29/'tablas pernocta cat ev anual'!G42-1,"-")</f>
        <v>-7.3604465709728895E-2</v>
      </c>
      <c r="H29" s="320">
        <f>IFERROR('tablas pernocta cat ev anual'!H29/'tablas pernocta cat ev anual'!H42-1,"-")</f>
        <v>-0.23347433990330979</v>
      </c>
      <c r="I29" s="320" t="str">
        <f>IFERROR('tablas pernocta cat ev anual'!I29/'tablas pernocta cat ev anual'!I42-1,"-")</f>
        <v>-</v>
      </c>
      <c r="J29" s="320">
        <f>IFERROR('tablas pernocta cat ev anual'!J29/'tablas pernocta cat ev anual'!J42-1,"-")</f>
        <v>-0.23347433990330979</v>
      </c>
    </row>
    <row r="30" spans="3:10" collapsed="1">
      <c r="C30" s="163">
        <v>2009</v>
      </c>
      <c r="D30" s="322">
        <f>IFERROR('tablas pernocta cat ev anual'!D30/'tablas pernocta cat ev anual'!D43-1,"-")</f>
        <v>-0.41762019781730986</v>
      </c>
      <c r="E30" s="322">
        <f>IFERROR('tablas pernocta cat ev anual'!E30/'tablas pernocta cat ev anual'!E43-1,"-")</f>
        <v>-0.37869543305060205</v>
      </c>
      <c r="F30" s="322">
        <f>IFERROR('tablas pernocta cat ev anual'!F30/'tablas pernocta cat ev anual'!F43-1,"-")</f>
        <v>-0.10277286899882498</v>
      </c>
      <c r="G30" s="322">
        <f>IFERROR('tablas pernocta cat ev anual'!G30/'tablas pernocta cat ev anual'!G43-1,"-")</f>
        <v>-0.20631131436541517</v>
      </c>
      <c r="H30" s="322">
        <f>IFERROR('tablas pernocta cat ev anual'!H30/'tablas pernocta cat ev anual'!H43-1,"-")</f>
        <v>-0.27214579024668051</v>
      </c>
      <c r="I30" s="322" t="str">
        <f>IFERROR('tablas pernocta cat ev anual'!I30/'tablas pernocta cat ev anual'!I43-1,"-")</f>
        <v>-</v>
      </c>
      <c r="J30" s="322">
        <f>IFERROR('tablas pernocta cat ev anual'!J30/'tablas pernocta cat ev anual'!J43-1,"-")</f>
        <v>-0.27214579024668051</v>
      </c>
    </row>
    <row r="31" spans="3:10" hidden="1" outlineLevel="1">
      <c r="C31" s="51" t="s">
        <v>38</v>
      </c>
      <c r="D31" s="320">
        <f>IFERROR('tablas pernocta cat ev anual'!D31/'tablas pernocta cat ev anual'!D44-1,"-")</f>
        <v>-6.7878257061528835E-3</v>
      </c>
      <c r="E31" s="320">
        <f>IFERROR('tablas pernocta cat ev anual'!E31/'tablas pernocta cat ev anual'!E44-1,"-")</f>
        <v>-7.752210316763275E-2</v>
      </c>
      <c r="F31" s="320">
        <f>IFERROR('tablas pernocta cat ev anual'!F31/'tablas pernocta cat ev anual'!F44-1,"-")</f>
        <v>-0.2729439809296782</v>
      </c>
      <c r="G31" s="320">
        <f>IFERROR('tablas pernocta cat ev anual'!G31/'tablas pernocta cat ev anual'!G44-1,"-")</f>
        <v>5.930162552679108E-2</v>
      </c>
      <c r="H31" s="320">
        <f>IFERROR('tablas pernocta cat ev anual'!H31/'tablas pernocta cat ev anual'!H44-1,"-")</f>
        <v>-8.4261036468330164E-2</v>
      </c>
      <c r="I31" s="320" t="str">
        <f>IFERROR('tablas pernocta cat ev anual'!I31/'tablas pernocta cat ev anual'!I44-1,"-")</f>
        <v>-</v>
      </c>
      <c r="J31" s="320">
        <f>IFERROR('tablas pernocta cat ev anual'!J31/'tablas pernocta cat ev anual'!J44-1,"-")</f>
        <v>-8.4261036468330164E-2</v>
      </c>
    </row>
    <row r="32" spans="3:10" hidden="1" outlineLevel="1">
      <c r="C32" s="51" t="s">
        <v>39</v>
      </c>
      <c r="D32" s="320">
        <f>IFERROR('tablas pernocta cat ev anual'!D32/'tablas pernocta cat ev anual'!D45-1,"-")</f>
        <v>4.3487714720580328E-4</v>
      </c>
      <c r="E32" s="320">
        <f>IFERROR('tablas pernocta cat ev anual'!E32/'tablas pernocta cat ev anual'!E45-1,"-")</f>
        <v>-9.9035790161791093E-2</v>
      </c>
      <c r="F32" s="320">
        <f>IFERROR('tablas pernocta cat ev anual'!F32/'tablas pernocta cat ev anual'!F45-1,"-")</f>
        <v>-0.10651499482936921</v>
      </c>
      <c r="G32" s="320">
        <f>IFERROR('tablas pernocta cat ev anual'!G32/'tablas pernocta cat ev anual'!G45-1,"-")</f>
        <v>0.21930549813972711</v>
      </c>
      <c r="H32" s="320">
        <f>IFERROR('tablas pernocta cat ev anual'!H32/'tablas pernocta cat ev anual'!H45-1,"-")</f>
        <v>-1.911299082483997E-2</v>
      </c>
      <c r="I32" s="320" t="str">
        <f>IFERROR('tablas pernocta cat ev anual'!I32/'tablas pernocta cat ev anual'!I45-1,"-")</f>
        <v>-</v>
      </c>
      <c r="J32" s="320">
        <f>IFERROR('tablas pernocta cat ev anual'!J32/'tablas pernocta cat ev anual'!J45-1,"-")</f>
        <v>-1.911299082483997E-2</v>
      </c>
    </row>
    <row r="33" spans="3:10" hidden="1" outlineLevel="1">
      <c r="C33" s="51" t="s">
        <v>40</v>
      </c>
      <c r="D33" s="320">
        <f>IFERROR('tablas pernocta cat ev anual'!D33/'tablas pernocta cat ev anual'!D46-1,"-")</f>
        <v>4.670734273090682E-2</v>
      </c>
      <c r="E33" s="320">
        <f>IFERROR('tablas pernocta cat ev anual'!E33/'tablas pernocta cat ev anual'!E46-1,"-")</f>
        <v>-1.5022447335098388E-2</v>
      </c>
      <c r="F33" s="320">
        <f>IFERROR('tablas pernocta cat ev anual'!F33/'tablas pernocta cat ev anual'!F46-1,"-")</f>
        <v>1.5469399593928124E-3</v>
      </c>
      <c r="G33" s="320">
        <f>IFERROR('tablas pernocta cat ev anual'!G33/'tablas pernocta cat ev anual'!G46-1,"-")</f>
        <v>-4.4432500223954174E-2</v>
      </c>
      <c r="H33" s="320">
        <f>IFERROR('tablas pernocta cat ev anual'!H33/'tablas pernocta cat ev anual'!H46-1,"-")</f>
        <v>-1.1894666880572058E-2</v>
      </c>
      <c r="I33" s="320" t="str">
        <f>IFERROR('tablas pernocta cat ev anual'!I33/'tablas pernocta cat ev anual'!I46-1,"-")</f>
        <v>-</v>
      </c>
      <c r="J33" s="320">
        <f>IFERROR('tablas pernocta cat ev anual'!J33/'tablas pernocta cat ev anual'!J46-1,"-")</f>
        <v>-1.1894666880572058E-2</v>
      </c>
    </row>
    <row r="34" spans="3:10" hidden="1" outlineLevel="1">
      <c r="C34" s="51" t="s">
        <v>41</v>
      </c>
      <c r="D34" s="320">
        <f>IFERROR('tablas pernocta cat ev anual'!D34/'tablas pernocta cat ev anual'!D47-1,"-")</f>
        <v>9.1129032258064457E-2</v>
      </c>
      <c r="E34" s="320">
        <f>IFERROR('tablas pernocta cat ev anual'!E34/'tablas pernocta cat ev anual'!E47-1,"-")</f>
        <v>-0.20417459885776446</v>
      </c>
      <c r="F34" s="320">
        <f>IFERROR('tablas pernocta cat ev anual'!F34/'tablas pernocta cat ev anual'!F47-1,"-")</f>
        <v>5.5254848894903397E-3</v>
      </c>
      <c r="G34" s="320">
        <f>IFERROR('tablas pernocta cat ev anual'!G34/'tablas pernocta cat ev anual'!G47-1,"-")</f>
        <v>-1.4168142514845328E-2</v>
      </c>
      <c r="H34" s="320">
        <f>IFERROR('tablas pernocta cat ev anual'!H34/'tablas pernocta cat ev anual'!H47-1,"-")</f>
        <v>-7.4562948909066229E-2</v>
      </c>
      <c r="I34" s="320" t="str">
        <f>IFERROR('tablas pernocta cat ev anual'!I34/'tablas pernocta cat ev anual'!I47-1,"-")</f>
        <v>-</v>
      </c>
      <c r="J34" s="320">
        <f>IFERROR('tablas pernocta cat ev anual'!J34/'tablas pernocta cat ev anual'!J47-1,"-")</f>
        <v>-7.4562948909066229E-2</v>
      </c>
    </row>
    <row r="35" spans="3:10" ht="15" hidden="1" customHeight="1" outlineLevel="1">
      <c r="C35" s="51" t="s">
        <v>42</v>
      </c>
      <c r="D35" s="320">
        <f>IFERROR('tablas pernocta cat ev anual'!D35/'tablas pernocta cat ev anual'!D48-1,"-")</f>
        <v>0.24183189053337051</v>
      </c>
      <c r="E35" s="320">
        <f>IFERROR('tablas pernocta cat ev anual'!E35/'tablas pernocta cat ev anual'!E48-1,"-")</f>
        <v>4.5502201719437974E-2</v>
      </c>
      <c r="F35" s="320">
        <f>IFERROR('tablas pernocta cat ev anual'!F35/'tablas pernocta cat ev anual'!F48-1,"-")</f>
        <v>3.1488314883148849E-2</v>
      </c>
      <c r="G35" s="320">
        <f>IFERROR('tablas pernocta cat ev anual'!G35/'tablas pernocta cat ev anual'!G48-1,"-")</f>
        <v>0.55468081465000862</v>
      </c>
      <c r="H35" s="320">
        <f>IFERROR('tablas pernocta cat ev anual'!H35/'tablas pernocta cat ev anual'!H48-1,"-")</f>
        <v>0.17706333973128596</v>
      </c>
      <c r="I35" s="320" t="str">
        <f>IFERROR('tablas pernocta cat ev anual'!I35/'tablas pernocta cat ev anual'!I48-1,"-")</f>
        <v>-</v>
      </c>
      <c r="J35" s="320">
        <f>IFERROR('tablas pernocta cat ev anual'!J35/'tablas pernocta cat ev anual'!J48-1,"-")</f>
        <v>0.17706333973128596</v>
      </c>
    </row>
    <row r="36" spans="3:10" ht="15" hidden="1" customHeight="1" outlineLevel="1">
      <c r="C36" s="51" t="s">
        <v>43</v>
      </c>
      <c r="D36" s="320">
        <f>IFERROR('tablas pernocta cat ev anual'!D36/'tablas pernocta cat ev anual'!D49-1,"-")</f>
        <v>2.4696275642302368E-2</v>
      </c>
      <c r="E36" s="320">
        <f>IFERROR('tablas pernocta cat ev anual'!E36/'tablas pernocta cat ev anual'!E49-1,"-")</f>
        <v>0.4045185121553132</v>
      </c>
      <c r="F36" s="320">
        <f>IFERROR('tablas pernocta cat ev anual'!F36/'tablas pernocta cat ev anual'!F49-1,"-")</f>
        <v>-3.8926638258666379E-2</v>
      </c>
      <c r="G36" s="320">
        <f>IFERROR('tablas pernocta cat ev anual'!G36/'tablas pernocta cat ev anual'!G49-1,"-")</f>
        <v>-0.2522435704390773</v>
      </c>
      <c r="H36" s="320">
        <f>IFERROR('tablas pernocta cat ev anual'!H36/'tablas pernocta cat ev anual'!H49-1,"-")</f>
        <v>7.318584914656201E-3</v>
      </c>
      <c r="I36" s="320" t="str">
        <f>IFERROR('tablas pernocta cat ev anual'!I36/'tablas pernocta cat ev anual'!I49-1,"-")</f>
        <v>-</v>
      </c>
      <c r="J36" s="320">
        <f>IFERROR('tablas pernocta cat ev anual'!J36/'tablas pernocta cat ev anual'!J49-1,"-")</f>
        <v>7.318584914656201E-3</v>
      </c>
    </row>
    <row r="37" spans="3:10" ht="15" hidden="1" customHeight="1" outlineLevel="1">
      <c r="C37" s="51" t="s">
        <v>44</v>
      </c>
      <c r="D37" s="320">
        <f>IFERROR('tablas pernocta cat ev anual'!D37/'tablas pernocta cat ev anual'!D50-1,"-")</f>
        <v>-7.061900610287708E-2</v>
      </c>
      <c r="E37" s="320">
        <f>IFERROR('tablas pernocta cat ev anual'!E37/'tablas pernocta cat ev anual'!E50-1,"-")</f>
        <v>0.65315684666744755</v>
      </c>
      <c r="F37" s="320">
        <f>IFERROR('tablas pernocta cat ev anual'!F37/'tablas pernocta cat ev anual'!F50-1,"-")</f>
        <v>0.19747793190416152</v>
      </c>
      <c r="G37" s="320">
        <f>IFERROR('tablas pernocta cat ev anual'!G37/'tablas pernocta cat ev anual'!G50-1,"-")</f>
        <v>-0.46920213016636036</v>
      </c>
      <c r="H37" s="320">
        <f>IFERROR('tablas pernocta cat ev anual'!H37/'tablas pernocta cat ev anual'!H50-1,"-")</f>
        <v>-7.4230023182097704E-2</v>
      </c>
      <c r="I37" s="320" t="str">
        <f>IFERROR('tablas pernocta cat ev anual'!I37/'tablas pernocta cat ev anual'!I50-1,"-")</f>
        <v>-</v>
      </c>
      <c r="J37" s="320">
        <f>IFERROR('tablas pernocta cat ev anual'!J37/'tablas pernocta cat ev anual'!J50-1,"-")</f>
        <v>-7.4230023182097704E-2</v>
      </c>
    </row>
    <row r="38" spans="3:10" hidden="1" outlineLevel="1">
      <c r="C38" s="51" t="s">
        <v>45</v>
      </c>
      <c r="D38" s="320">
        <f>IFERROR('tablas pernocta cat ev anual'!D38/'tablas pernocta cat ev anual'!D51-1,"-")</f>
        <v>-3.7315080591742156E-2</v>
      </c>
      <c r="E38" s="320">
        <f>IFERROR('tablas pernocta cat ev anual'!E38/'tablas pernocta cat ev anual'!E51-1,"-")</f>
        <v>0.32058893374495367</v>
      </c>
      <c r="F38" s="320">
        <f>IFERROR('tablas pernocta cat ev anual'!F38/'tablas pernocta cat ev anual'!F51-1,"-")</f>
        <v>4.1772737792177717E-2</v>
      </c>
      <c r="G38" s="320">
        <f>IFERROR('tablas pernocta cat ev anual'!G38/'tablas pernocta cat ev anual'!G51-1,"-")</f>
        <v>-3.9787798408488118E-2</v>
      </c>
      <c r="H38" s="320">
        <f>IFERROR('tablas pernocta cat ev anual'!H38/'tablas pernocta cat ev anual'!H51-1,"-")</f>
        <v>8.0227790432801926E-2</v>
      </c>
      <c r="I38" s="320" t="str">
        <f>IFERROR('tablas pernocta cat ev anual'!I38/'tablas pernocta cat ev anual'!I51-1,"-")</f>
        <v>-</v>
      </c>
      <c r="J38" s="320">
        <f>IFERROR('tablas pernocta cat ev anual'!J38/'tablas pernocta cat ev anual'!J51-1,"-")</f>
        <v>8.0227790432801926E-2</v>
      </c>
    </row>
    <row r="39" spans="3:10" ht="30" hidden="1" customHeight="1" outlineLevel="1">
      <c r="C39" s="51" t="s">
        <v>46</v>
      </c>
      <c r="D39" s="320">
        <f>IFERROR('tablas pernocta cat ev anual'!D39/'tablas pernocta cat ev anual'!D52-1,"-")</f>
        <v>-7.412731006160167E-2</v>
      </c>
      <c r="E39" s="320">
        <f>IFERROR('tablas pernocta cat ev anual'!E39/'tablas pernocta cat ev anual'!E52-1,"-")</f>
        <v>0.17037531523512839</v>
      </c>
      <c r="F39" s="320">
        <f>IFERROR('tablas pernocta cat ev anual'!F39/'tablas pernocta cat ev anual'!F52-1,"-")</f>
        <v>-4.2762476703251173E-2</v>
      </c>
      <c r="G39" s="320">
        <f>IFERROR('tablas pernocta cat ev anual'!G39/'tablas pernocta cat ev anual'!G52-1,"-")</f>
        <v>-0.22736406259514097</v>
      </c>
      <c r="H39" s="320">
        <f>IFERROR('tablas pernocta cat ev anual'!H39/'tablas pernocta cat ev anual'!H52-1,"-")</f>
        <v>-4.9760313280669766E-2</v>
      </c>
      <c r="I39" s="320" t="str">
        <f>IFERROR('tablas pernocta cat ev anual'!I39/'tablas pernocta cat ev anual'!I52-1,"-")</f>
        <v>-</v>
      </c>
      <c r="J39" s="320">
        <f>IFERROR('tablas pernocta cat ev anual'!J39/'tablas pernocta cat ev anual'!J52-1,"-")</f>
        <v>-4.9760313280669766E-2</v>
      </c>
    </row>
    <row r="40" spans="3:10" hidden="1" outlineLevel="1">
      <c r="C40" s="51" t="s">
        <v>47</v>
      </c>
      <c r="D40" s="320">
        <f>IFERROR('tablas pernocta cat ev anual'!D40/'tablas pernocta cat ev anual'!D53-1,"-")</f>
        <v>-0.11950668751085636</v>
      </c>
      <c r="E40" s="320">
        <f>IFERROR('tablas pernocta cat ev anual'!E40/'tablas pernocta cat ev anual'!E53-1,"-")</f>
        <v>-5.5001823264859584E-2</v>
      </c>
      <c r="F40" s="320">
        <f>IFERROR('tablas pernocta cat ev anual'!F40/'tablas pernocta cat ev anual'!F53-1,"-")</f>
        <v>-9.6730639405921526E-2</v>
      </c>
      <c r="G40" s="320">
        <f>IFERROR('tablas pernocta cat ev anual'!G40/'tablas pernocta cat ev anual'!G53-1,"-")</f>
        <v>6.7547637307533437E-2</v>
      </c>
      <c r="H40" s="320">
        <f>IFERROR('tablas pernocta cat ev anual'!H40/'tablas pernocta cat ev anual'!H53-1,"-")</f>
        <v>-2.9294785084088781E-2</v>
      </c>
      <c r="I40" s="320" t="str">
        <f>IFERROR('tablas pernocta cat ev anual'!I40/'tablas pernocta cat ev anual'!I53-1,"-")</f>
        <v>-</v>
      </c>
      <c r="J40" s="320">
        <f>IFERROR('tablas pernocta cat ev anual'!J40/'tablas pernocta cat ev anual'!J53-1,"-")</f>
        <v>-2.9294785084088781E-2</v>
      </c>
    </row>
    <row r="41" spans="3:10" ht="30" hidden="1" customHeight="1" outlineLevel="1">
      <c r="C41" s="51" t="s">
        <v>48</v>
      </c>
      <c r="D41" s="320">
        <f>IFERROR('tablas pernocta cat ev anual'!D41/'tablas pernocta cat ev anual'!D54-1,"-")</f>
        <v>5.2180128663330994E-2</v>
      </c>
      <c r="E41" s="320">
        <f>IFERROR('tablas pernocta cat ev anual'!E41/'tablas pernocta cat ev anual'!E54-1,"-")</f>
        <v>0.37919024814976066</v>
      </c>
      <c r="F41" s="320">
        <f>IFERROR('tablas pernocta cat ev anual'!F41/'tablas pernocta cat ev anual'!F54-1,"-")</f>
        <v>0.26062357048272533</v>
      </c>
      <c r="G41" s="320">
        <f>IFERROR('tablas pernocta cat ev anual'!G41/'tablas pernocta cat ev anual'!G54-1,"-")</f>
        <v>5.0613741431531967E-2</v>
      </c>
      <c r="H41" s="320">
        <f>IFERROR('tablas pernocta cat ev anual'!H41/'tablas pernocta cat ev anual'!H54-1,"-")</f>
        <v>0.20675598419129537</v>
      </c>
      <c r="I41" s="320" t="str">
        <f>IFERROR('tablas pernocta cat ev anual'!I41/'tablas pernocta cat ev anual'!I54-1,"-")</f>
        <v>-</v>
      </c>
      <c r="J41" s="320">
        <f>IFERROR('tablas pernocta cat ev anual'!J41/'tablas pernocta cat ev anual'!J54-1,"-")</f>
        <v>0.20675598419129537</v>
      </c>
    </row>
    <row r="42" spans="3:10" hidden="1" outlineLevel="1">
      <c r="C42" s="51" t="s">
        <v>49</v>
      </c>
      <c r="D42" s="320">
        <f>IFERROR('tablas pernocta cat ev anual'!D42/'tablas pernocta cat ev anual'!D55-1,"-")</f>
        <v>-3.9857932123125495E-2</v>
      </c>
      <c r="E42" s="320">
        <f>IFERROR('tablas pernocta cat ev anual'!E42/'tablas pernocta cat ev anual'!E55-1,"-")</f>
        <v>0.5464414957780459</v>
      </c>
      <c r="F42" s="320">
        <f>IFERROR('tablas pernocta cat ev anual'!F42/'tablas pernocta cat ev anual'!F55-1,"-")</f>
        <v>4.595663439247244E-2</v>
      </c>
      <c r="G42" s="320">
        <f>IFERROR('tablas pernocta cat ev anual'!G42/'tablas pernocta cat ev anual'!G55-1,"-")</f>
        <v>-0.15521422797089734</v>
      </c>
      <c r="H42" s="320">
        <f>IFERROR('tablas pernocta cat ev anual'!H42/'tablas pernocta cat ev anual'!H55-1,"-")</f>
        <v>0.10741036266762771</v>
      </c>
      <c r="I42" s="320" t="str">
        <f>IFERROR('tablas pernocta cat ev anual'!I42/'tablas pernocta cat ev anual'!I55-1,"-")</f>
        <v>-</v>
      </c>
      <c r="J42" s="320">
        <f>IFERROR('tablas pernocta cat ev anual'!J42/'tablas pernocta cat ev anual'!J55-1,"-")</f>
        <v>0.10741036266762771</v>
      </c>
    </row>
    <row r="43" spans="3:10" collapsed="1">
      <c r="C43" s="164">
        <v>2008</v>
      </c>
      <c r="D43" s="323">
        <f>IFERROR('tablas pernocta cat ev anual'!D43/'tablas pernocta cat ev anual'!D56-1,"-")</f>
        <v>1.2356793588590431E-3</v>
      </c>
      <c r="E43" s="323">
        <f>IFERROR('tablas pernocta cat ev anual'!E43/'tablas pernocta cat ev anual'!E56-1,"-")</f>
        <v>0.12908088213038238</v>
      </c>
      <c r="F43" s="323">
        <f>IFERROR('tablas pernocta cat ev anual'!F43/'tablas pernocta cat ev anual'!F56-1,"-")</f>
        <v>-8.1216503927759032E-3</v>
      </c>
      <c r="G43" s="323">
        <f>IFERROR('tablas pernocta cat ev anual'!G43/'tablas pernocta cat ev anual'!G56-1,"-")</f>
        <v>-8.4699470321428327E-2</v>
      </c>
      <c r="H43" s="323">
        <f>IFERROR('tablas pernocta cat ev anual'!H43/'tablas pernocta cat ev anual'!H56-1,"-")</f>
        <v>1.3586180496904188E-2</v>
      </c>
      <c r="I43" s="323" t="str">
        <f>IFERROR('tablas pernocta cat ev anual'!I43/'tablas pernocta cat ev anual'!I56-1,"-")</f>
        <v>-</v>
      </c>
      <c r="J43" s="323">
        <f>IFERROR('tablas pernocta cat ev anual'!J43/'tablas pernocta cat ev anual'!J56-1,"-")</f>
        <v>1.3586180496904188E-2</v>
      </c>
    </row>
    <row r="44" spans="3:10" hidden="1" outlineLevel="1">
      <c r="C44" s="51" t="s">
        <v>38</v>
      </c>
      <c r="D44" s="320">
        <f>IFERROR('tablas pernocta cat ev anual'!D44/'tablas pernocta cat ev anual'!D57-1,"-")</f>
        <v>-0.11165142968294106</v>
      </c>
      <c r="E44" s="320">
        <f>IFERROR('tablas pernocta cat ev anual'!E44/'tablas pernocta cat ev anual'!E57-1,"-")</f>
        <v>6.3913287236030625E-2</v>
      </c>
      <c r="F44" s="320">
        <f>IFERROR('tablas pernocta cat ev anual'!F44/'tablas pernocta cat ev anual'!F57-1,"-")</f>
        <v>0.26244514106583061</v>
      </c>
      <c r="G44" s="320">
        <f>IFERROR('tablas pernocta cat ev anual'!G44/'tablas pernocta cat ev anual'!G57-1,"-")</f>
        <v>-0.39953003554859312</v>
      </c>
      <c r="H44" s="320">
        <f>IFERROR('tablas pernocta cat ev anual'!H44/'tablas pernocta cat ev anual'!H57-1,"-")</f>
        <v>-8.9280251715247116E-2</v>
      </c>
      <c r="I44" s="320" t="str">
        <f>IFERROR('tablas pernocta cat ev anual'!I44/'tablas pernocta cat ev anual'!I57-1,"-")</f>
        <v>-</v>
      </c>
      <c r="J44" s="320">
        <f>IFERROR('tablas pernocta cat ev anual'!J44/'tablas pernocta cat ev anual'!J57-1,"-")</f>
        <v>-8.9280251715247116E-2</v>
      </c>
    </row>
    <row r="45" spans="3:10" hidden="1" outlineLevel="1">
      <c r="C45" s="51" t="s">
        <v>39</v>
      </c>
      <c r="D45" s="320">
        <f>IFERROR('tablas pernocta cat ev anual'!D45/'tablas pernocta cat ev anual'!D58-1,"-")</f>
        <v>-0.11404353689077251</v>
      </c>
      <c r="E45" s="320">
        <f>IFERROR('tablas pernocta cat ev anual'!E45/'tablas pernocta cat ev anual'!E58-1,"-")</f>
        <v>0.15090909090909088</v>
      </c>
      <c r="F45" s="320">
        <f>IFERROR('tablas pernocta cat ev anual'!F45/'tablas pernocta cat ev anual'!F58-1,"-")</f>
        <v>0.21900068760027502</v>
      </c>
      <c r="G45" s="320">
        <f>IFERROR('tablas pernocta cat ev anual'!G45/'tablas pernocta cat ev anual'!G58-1,"-")</f>
        <v>-0.39240188383045527</v>
      </c>
      <c r="H45" s="320">
        <f>IFERROR('tablas pernocta cat ev anual'!H45/'tablas pernocta cat ev anual'!H58-1,"-")</f>
        <v>-5.5096960167714926E-2</v>
      </c>
      <c r="I45" s="320" t="str">
        <f>IFERROR('tablas pernocta cat ev anual'!I45/'tablas pernocta cat ev anual'!I58-1,"-")</f>
        <v>-</v>
      </c>
      <c r="J45" s="320">
        <f>IFERROR('tablas pernocta cat ev anual'!J45/'tablas pernocta cat ev anual'!J58-1,"-")</f>
        <v>-5.5096960167714926E-2</v>
      </c>
    </row>
    <row r="46" spans="3:10" hidden="1" outlineLevel="1">
      <c r="C46" s="51" t="s">
        <v>40</v>
      </c>
      <c r="D46" s="320">
        <f>IFERROR('tablas pernocta cat ev anual'!D46/'tablas pernocta cat ev anual'!D59-1,"-")</f>
        <v>-5.6757293113713025E-2</v>
      </c>
      <c r="E46" s="320">
        <f>IFERROR('tablas pernocta cat ev anual'!E46/'tablas pernocta cat ev anual'!E59-1,"-")</f>
        <v>0.22283220720720731</v>
      </c>
      <c r="F46" s="320">
        <f>IFERROR('tablas pernocta cat ev anual'!F46/'tablas pernocta cat ev anual'!F59-1,"-")</f>
        <v>0.6588612670408982</v>
      </c>
      <c r="G46" s="320">
        <f>IFERROR('tablas pernocta cat ev anual'!G46/'tablas pernocta cat ev anual'!G59-1,"-")</f>
        <v>-0.25979709568331011</v>
      </c>
      <c r="H46" s="320">
        <f>IFERROR('tablas pernocta cat ev anual'!H46/'tablas pernocta cat ev anual'!H59-1,"-")</f>
        <v>7.5684737322190276E-2</v>
      </c>
      <c r="I46" s="320" t="str">
        <f>IFERROR('tablas pernocta cat ev anual'!I46/'tablas pernocta cat ev anual'!I59-1,"-")</f>
        <v>-</v>
      </c>
      <c r="J46" s="320">
        <f>IFERROR('tablas pernocta cat ev anual'!J46/'tablas pernocta cat ev anual'!J59-1,"-")</f>
        <v>7.5684737322190276E-2</v>
      </c>
    </row>
    <row r="47" spans="3:10" hidden="1" outlineLevel="1">
      <c r="C47" s="51" t="s">
        <v>41</v>
      </c>
      <c r="D47" s="320">
        <f>IFERROR('tablas pernocta cat ev anual'!D47/'tablas pernocta cat ev anual'!D60-1,"-")</f>
        <v>-0.33583288698446701</v>
      </c>
      <c r="E47" s="320">
        <f>IFERROR('tablas pernocta cat ev anual'!E47/'tablas pernocta cat ev anual'!E60-1,"-")</f>
        <v>7.2402479037550149E-2</v>
      </c>
      <c r="F47" s="320">
        <f>IFERROR('tablas pernocta cat ev anual'!F47/'tablas pernocta cat ev anual'!F60-1,"-")</f>
        <v>0.39193219274839119</v>
      </c>
      <c r="G47" s="320">
        <f>IFERROR('tablas pernocta cat ev anual'!G47/'tablas pernocta cat ev anual'!G60-1,"-")</f>
        <v>-0.22657320119249058</v>
      </c>
      <c r="H47" s="320">
        <f>IFERROR('tablas pernocta cat ev anual'!H47/'tablas pernocta cat ev anual'!H60-1,"-")</f>
        <v>-3.1576460706598808E-2</v>
      </c>
      <c r="I47" s="320" t="str">
        <f>IFERROR('tablas pernocta cat ev anual'!I47/'tablas pernocta cat ev anual'!I60-1,"-")</f>
        <v>-</v>
      </c>
      <c r="J47" s="320">
        <f>IFERROR('tablas pernocta cat ev anual'!J47/'tablas pernocta cat ev anual'!J60-1,"-")</f>
        <v>-3.1576460706598808E-2</v>
      </c>
    </row>
    <row r="48" spans="3:10" hidden="1" outlineLevel="1">
      <c r="C48" s="51" t="s">
        <v>42</v>
      </c>
      <c r="D48" s="320">
        <f>IFERROR('tablas pernocta cat ev anual'!D48/'tablas pernocta cat ev anual'!D61-1,"-")</f>
        <v>-0.33027866093136338</v>
      </c>
      <c r="E48" s="320">
        <f>IFERROR('tablas pernocta cat ev anual'!E48/'tablas pernocta cat ev anual'!E61-1,"-")</f>
        <v>-0.1942215088282504</v>
      </c>
      <c r="F48" s="320">
        <f>IFERROR('tablas pernocta cat ev anual'!F48/'tablas pernocta cat ev anual'!F61-1,"-")</f>
        <v>0.45464304884594742</v>
      </c>
      <c r="G48" s="320">
        <f>IFERROR('tablas pernocta cat ev anual'!G48/'tablas pernocta cat ev anual'!G61-1,"-")</f>
        <v>-0.42507133720358159</v>
      </c>
      <c r="H48" s="320">
        <f>IFERROR('tablas pernocta cat ev anual'!H48/'tablas pernocta cat ev anual'!H61-1,"-")</f>
        <v>-0.1774350255040078</v>
      </c>
      <c r="I48" s="320" t="str">
        <f>IFERROR('tablas pernocta cat ev anual'!I48/'tablas pernocta cat ev anual'!I61-1,"-")</f>
        <v>-</v>
      </c>
      <c r="J48" s="320">
        <f>IFERROR('tablas pernocta cat ev anual'!J48/'tablas pernocta cat ev anual'!J61-1,"-")</f>
        <v>-0.1774350255040078</v>
      </c>
    </row>
    <row r="49" spans="3:10" hidden="1" outlineLevel="1">
      <c r="C49" s="51" t="s">
        <v>43</v>
      </c>
      <c r="D49" s="320">
        <f>IFERROR('tablas pernocta cat ev anual'!D49/'tablas pernocta cat ev anual'!D62-1,"-")</f>
        <v>0.40094866071428581</v>
      </c>
      <c r="E49" s="320">
        <f>IFERROR('tablas pernocta cat ev anual'!E49/'tablas pernocta cat ev anual'!E62-1,"-")</f>
        <v>-0.12677218513239819</v>
      </c>
      <c r="F49" s="320">
        <f>IFERROR('tablas pernocta cat ev anual'!F49/'tablas pernocta cat ev anual'!F62-1,"-")</f>
        <v>0.24398280802292271</v>
      </c>
      <c r="G49" s="320">
        <f>IFERROR('tablas pernocta cat ev anual'!G49/'tablas pernocta cat ev anual'!G62-1,"-")</f>
        <v>0.32855885412498997</v>
      </c>
      <c r="H49" s="320">
        <f>IFERROR('tablas pernocta cat ev anual'!H49/'tablas pernocta cat ev anual'!H62-1,"-")</f>
        <v>0.15267091668498578</v>
      </c>
      <c r="I49" s="320" t="str">
        <f>IFERROR('tablas pernocta cat ev anual'!I49/'tablas pernocta cat ev anual'!I62-1,"-")</f>
        <v>-</v>
      </c>
      <c r="J49" s="320">
        <f>IFERROR('tablas pernocta cat ev anual'!J49/'tablas pernocta cat ev anual'!J62-1,"-")</f>
        <v>0.15267091668498578</v>
      </c>
    </row>
    <row r="50" spans="3:10" hidden="1" outlineLevel="1">
      <c r="C50" s="51" t="s">
        <v>44</v>
      </c>
      <c r="D50" s="320">
        <f>IFERROR('tablas pernocta cat ev anual'!D50/'tablas pernocta cat ev anual'!D63-1,"-")</f>
        <v>0.35259433962264142</v>
      </c>
      <c r="E50" s="320">
        <f>IFERROR('tablas pernocta cat ev anual'!E50/'tablas pernocta cat ev anual'!E63-1,"-")</f>
        <v>-0.37476197451296323</v>
      </c>
      <c r="F50" s="320">
        <f>IFERROR('tablas pernocta cat ev anual'!F50/'tablas pernocta cat ev anual'!F63-1,"-")</f>
        <v>-6.0092449922958369E-2</v>
      </c>
      <c r="G50" s="320">
        <f>IFERROR('tablas pernocta cat ev anual'!G50/'tablas pernocta cat ev anual'!G63-1,"-")</f>
        <v>1.188428217821782</v>
      </c>
      <c r="H50" s="320">
        <f>IFERROR('tablas pernocta cat ev anual'!H50/'tablas pernocta cat ev anual'!H63-1,"-")</f>
        <v>0.20168282213820743</v>
      </c>
      <c r="I50" s="320" t="str">
        <f>IFERROR('tablas pernocta cat ev anual'!I50/'tablas pernocta cat ev anual'!I63-1,"-")</f>
        <v>-</v>
      </c>
      <c r="J50" s="320">
        <f>IFERROR('tablas pernocta cat ev anual'!J50/'tablas pernocta cat ev anual'!J63-1,"-")</f>
        <v>0.20168282213820743</v>
      </c>
    </row>
    <row r="51" spans="3:10" hidden="1" outlineLevel="1">
      <c r="C51" s="51" t="s">
        <v>45</v>
      </c>
      <c r="D51" s="320">
        <f>IFERROR('tablas pernocta cat ev anual'!D51/'tablas pernocta cat ev anual'!D64-1,"-")</f>
        <v>0.55422100205902547</v>
      </c>
      <c r="E51" s="320">
        <f>IFERROR('tablas pernocta cat ev anual'!E51/'tablas pernocta cat ev anual'!E64-1,"-")</f>
        <v>5.5441153175994629E-4</v>
      </c>
      <c r="F51" s="320">
        <f>IFERROR('tablas pernocta cat ev anual'!F51/'tablas pernocta cat ev anual'!F64-1,"-")</f>
        <v>-2.8988764044943771E-2</v>
      </c>
      <c r="G51" s="320">
        <f>IFERROR('tablas pernocta cat ev anual'!G51/'tablas pernocta cat ev anual'!G64-1,"-")</f>
        <v>0.78743579612801273</v>
      </c>
      <c r="H51" s="320">
        <f>IFERROR('tablas pernocta cat ev anual'!H51/'tablas pernocta cat ev anual'!H64-1,"-")</f>
        <v>0.27010762643212582</v>
      </c>
      <c r="I51" s="320" t="str">
        <f>IFERROR('tablas pernocta cat ev anual'!I51/'tablas pernocta cat ev anual'!I64-1,"-")</f>
        <v>-</v>
      </c>
      <c r="J51" s="320">
        <f>IFERROR('tablas pernocta cat ev anual'!J51/'tablas pernocta cat ev anual'!J64-1,"-")</f>
        <v>0.27010762643212582</v>
      </c>
    </row>
    <row r="52" spans="3:10" hidden="1" outlineLevel="1">
      <c r="C52" s="51" t="s">
        <v>46</v>
      </c>
      <c r="D52" s="320">
        <f>IFERROR('tablas pernocta cat ev anual'!D52/'tablas pernocta cat ev anual'!D65-1,"-")</f>
        <v>0.97726349979699556</v>
      </c>
      <c r="E52" s="320">
        <f>IFERROR('tablas pernocta cat ev anual'!E52/'tablas pernocta cat ev anual'!E65-1,"-")</f>
        <v>4.9672999065711654E-2</v>
      </c>
      <c r="F52" s="320">
        <f>IFERROR('tablas pernocta cat ev anual'!F52/'tablas pernocta cat ev anual'!F65-1,"-")</f>
        <v>0.15789473684210531</v>
      </c>
      <c r="G52" s="320">
        <f>IFERROR('tablas pernocta cat ev anual'!G52/'tablas pernocta cat ev anual'!G65-1,"-")</f>
        <v>0.21086780210867806</v>
      </c>
      <c r="H52" s="320">
        <f>IFERROR('tablas pernocta cat ev anual'!H52/'tablas pernocta cat ev anual'!H65-1,"-")</f>
        <v>0.19408239499072866</v>
      </c>
      <c r="I52" s="320" t="str">
        <f>IFERROR('tablas pernocta cat ev anual'!I52/'tablas pernocta cat ev anual'!I65-1,"-")</f>
        <v>-</v>
      </c>
      <c r="J52" s="320">
        <f>IFERROR('tablas pernocta cat ev anual'!J52/'tablas pernocta cat ev anual'!J65-1,"-")</f>
        <v>0.19408239499072866</v>
      </c>
    </row>
    <row r="53" spans="3:10" hidden="1" outlineLevel="1">
      <c r="C53" s="51" t="s">
        <v>47</v>
      </c>
      <c r="D53" s="320">
        <f>IFERROR('tablas pernocta cat ev anual'!D53/'tablas pernocta cat ev anual'!D66-1,"-")</f>
        <v>0.48261653360803503</v>
      </c>
      <c r="E53" s="320">
        <f>IFERROR('tablas pernocta cat ev anual'!E53/'tablas pernocta cat ev anual'!E66-1,"-")</f>
        <v>3.0887788985652476E-2</v>
      </c>
      <c r="F53" s="320">
        <f>IFERROR('tablas pernocta cat ev anual'!F53/'tablas pernocta cat ev anual'!F66-1,"-")</f>
        <v>0.1021471088435375</v>
      </c>
      <c r="G53" s="320">
        <f>IFERROR('tablas pernocta cat ev anual'!G53/'tablas pernocta cat ev anual'!G66-1,"-")</f>
        <v>0.1620621100980324</v>
      </c>
      <c r="H53" s="320">
        <f>IFERROR('tablas pernocta cat ev anual'!H53/'tablas pernocta cat ev anual'!H66-1,"-")</f>
        <v>0.12983872807317676</v>
      </c>
      <c r="I53" s="320" t="str">
        <f>IFERROR('tablas pernocta cat ev anual'!I53/'tablas pernocta cat ev anual'!I66-1,"-")</f>
        <v>-</v>
      </c>
      <c r="J53" s="320">
        <f>IFERROR('tablas pernocta cat ev anual'!J53/'tablas pernocta cat ev anual'!J66-1,"-")</f>
        <v>0.12983872807317676</v>
      </c>
    </row>
    <row r="54" spans="3:10" hidden="1" outlineLevel="1">
      <c r="C54" s="51" t="s">
        <v>48</v>
      </c>
      <c r="D54" s="320">
        <f>IFERROR('tablas pernocta cat ev anual'!D54/'tablas pernocta cat ev anual'!D67-1,"-")</f>
        <v>0.65268753691671599</v>
      </c>
      <c r="E54" s="320">
        <f>IFERROR('tablas pernocta cat ev anual'!E54/'tablas pernocta cat ev anual'!E67-1,"-")</f>
        <v>-0.12188595093978971</v>
      </c>
      <c r="F54" s="320">
        <f>IFERROR('tablas pernocta cat ev anual'!F54/'tablas pernocta cat ev anual'!F67-1,"-")</f>
        <v>-0.14263597894519553</v>
      </c>
      <c r="G54" s="320">
        <f>IFERROR('tablas pernocta cat ev anual'!G54/'tablas pernocta cat ev anual'!G67-1,"-")</f>
        <v>-0.13013936074325727</v>
      </c>
      <c r="H54" s="320">
        <f>IFERROR('tablas pernocta cat ev anual'!H54/'tablas pernocta cat ev anual'!H67-1,"-")</f>
        <v>-6.8575926654782071E-2</v>
      </c>
      <c r="I54" s="320" t="str">
        <f>IFERROR('tablas pernocta cat ev anual'!I54/'tablas pernocta cat ev anual'!I67-1,"-")</f>
        <v>-</v>
      </c>
      <c r="J54" s="320">
        <f>IFERROR('tablas pernocta cat ev anual'!J54/'tablas pernocta cat ev anual'!J67-1,"-")</f>
        <v>-6.8575926654782071E-2</v>
      </c>
    </row>
    <row r="55" spans="3:10" hidden="1" outlineLevel="1">
      <c r="C55" s="51" t="s">
        <v>49</v>
      </c>
      <c r="D55" s="320">
        <f>IFERROR('tablas pernocta cat ev anual'!D55/'tablas pernocta cat ev anual'!D68-1,"-")</f>
        <v>0.89883851629823908</v>
      </c>
      <c r="E55" s="320">
        <f>IFERROR('tablas pernocta cat ev anual'!E55/'tablas pernocta cat ev anual'!E68-1,"-")</f>
        <v>-0.13972277814839518</v>
      </c>
      <c r="F55" s="320">
        <f>IFERROR('tablas pernocta cat ev anual'!F55/'tablas pernocta cat ev anual'!F68-1,"-")</f>
        <v>-9.5249845774213471E-2</v>
      </c>
      <c r="G55" s="320">
        <f>IFERROR('tablas pernocta cat ev anual'!G55/'tablas pernocta cat ev anual'!G68-1,"-")</f>
        <v>0.5541828080829232</v>
      </c>
      <c r="H55" s="320">
        <f>IFERROR('tablas pernocta cat ev anual'!H55/'tablas pernocta cat ev anual'!H68-1,"-")</f>
        <v>0.14889401466761298</v>
      </c>
      <c r="I55" s="320" t="str">
        <f>IFERROR('tablas pernocta cat ev anual'!I55/'tablas pernocta cat ev anual'!I68-1,"-")</f>
        <v>-</v>
      </c>
      <c r="J55" s="320">
        <f>IFERROR('tablas pernocta cat ev anual'!J55/'tablas pernocta cat ev anual'!J68-1,"-")</f>
        <v>0.14889401466761298</v>
      </c>
    </row>
    <row r="56" spans="3:10" collapsed="1">
      <c r="C56" s="164">
        <v>2007</v>
      </c>
      <c r="D56" s="323">
        <f>IFERROR('tablas pernocta cat ev anual'!D56/'tablas pernocta cat ev anual'!D69-1,"-")</f>
        <v>0.16537749434272775</v>
      </c>
      <c r="E56" s="323">
        <f>IFERROR('tablas pernocta cat ev anual'!E56/'tablas pernocta cat ev anual'!E69-1,"-")</f>
        <v>-2.4644997490626763E-2</v>
      </c>
      <c r="F56" s="323">
        <f>IFERROR('tablas pernocta cat ev anual'!F56/'tablas pernocta cat ev anual'!F69-1,"-")</f>
        <v>0.14998522521001312</v>
      </c>
      <c r="G56" s="323">
        <f>IFERROR('tablas pernocta cat ev anual'!G56/'tablas pernocta cat ev anual'!G69-1,"-")</f>
        <v>5.3751827083521997E-2</v>
      </c>
      <c r="H56" s="323">
        <f>IFERROR('tablas pernocta cat ev anual'!H56/'tablas pernocta cat ev anual'!H69-1,"-")</f>
        <v>5.6463157083892268E-2</v>
      </c>
      <c r="I56" s="323" t="str">
        <f>IFERROR('tablas pernocta cat ev anual'!I56/'tablas pernocta cat ev anual'!I69-1,"-")</f>
        <v>-</v>
      </c>
      <c r="J56" s="323">
        <f>IFERROR('tablas pernocta cat ev anual'!J56/'tablas pernocta cat ev anual'!J69-1,"-")</f>
        <v>5.6463157083892268E-2</v>
      </c>
    </row>
    <row r="57" spans="3:10">
      <c r="C57" s="165" t="s">
        <v>33</v>
      </c>
      <c r="D57" s="165"/>
      <c r="E57" s="165"/>
      <c r="F57" s="165"/>
      <c r="G57" s="165"/>
      <c r="H57" s="165"/>
      <c r="I57" s="165"/>
      <c r="J57" s="165"/>
    </row>
  </sheetData>
  <mergeCells count="2">
    <mergeCell ref="C3:J3"/>
    <mergeCell ref="C57:J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1:K28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1.42578125" style="23"/>
    <col min="2" max="2" width="34.28515625" style="23" customWidth="1"/>
    <col min="3" max="3" width="12.5703125" style="23" customWidth="1"/>
    <col min="4" max="4" width="10.5703125" style="23" customWidth="1"/>
    <col min="5" max="5" width="12.5703125" style="23" customWidth="1"/>
    <col min="6" max="6" width="10.5703125" style="23" customWidth="1"/>
    <col min="7" max="7" width="10.7109375" style="23" customWidth="1"/>
    <col min="8" max="14" width="11.42578125" style="23"/>
    <col min="15" max="15" width="13.85546875" style="23" customWidth="1"/>
    <col min="16" max="257" width="11.42578125" style="23"/>
    <col min="258" max="258" width="34.28515625" style="23" customWidth="1"/>
    <col min="259" max="259" width="12.5703125" style="23" customWidth="1"/>
    <col min="260" max="260" width="10.5703125" style="23" customWidth="1"/>
    <col min="261" max="261" width="12.5703125" style="23" customWidth="1"/>
    <col min="262" max="262" width="10.5703125" style="23" customWidth="1"/>
    <col min="263" max="263" width="10.7109375" style="23" customWidth="1"/>
    <col min="264" max="270" width="11.42578125" style="23"/>
    <col min="271" max="271" width="13.85546875" style="23" customWidth="1"/>
    <col min="272" max="513" width="11.42578125" style="23"/>
    <col min="514" max="514" width="34.28515625" style="23" customWidth="1"/>
    <col min="515" max="515" width="12.5703125" style="23" customWidth="1"/>
    <col min="516" max="516" width="10.5703125" style="23" customWidth="1"/>
    <col min="517" max="517" width="12.5703125" style="23" customWidth="1"/>
    <col min="518" max="518" width="10.5703125" style="23" customWidth="1"/>
    <col min="519" max="519" width="10.7109375" style="23" customWidth="1"/>
    <col min="520" max="526" width="11.42578125" style="23"/>
    <col min="527" max="527" width="13.85546875" style="23" customWidth="1"/>
    <col min="528" max="769" width="11.42578125" style="23"/>
    <col min="770" max="770" width="34.28515625" style="23" customWidth="1"/>
    <col min="771" max="771" width="12.5703125" style="23" customWidth="1"/>
    <col min="772" max="772" width="10.5703125" style="23" customWidth="1"/>
    <col min="773" max="773" width="12.5703125" style="23" customWidth="1"/>
    <col min="774" max="774" width="10.5703125" style="23" customWidth="1"/>
    <col min="775" max="775" width="10.7109375" style="23" customWidth="1"/>
    <col min="776" max="782" width="11.42578125" style="23"/>
    <col min="783" max="783" width="13.85546875" style="23" customWidth="1"/>
    <col min="784" max="1025" width="11.42578125" style="23"/>
    <col min="1026" max="1026" width="34.28515625" style="23" customWidth="1"/>
    <col min="1027" max="1027" width="12.5703125" style="23" customWidth="1"/>
    <col min="1028" max="1028" width="10.5703125" style="23" customWidth="1"/>
    <col min="1029" max="1029" width="12.5703125" style="23" customWidth="1"/>
    <col min="1030" max="1030" width="10.5703125" style="23" customWidth="1"/>
    <col min="1031" max="1031" width="10.7109375" style="23" customWidth="1"/>
    <col min="1032" max="1038" width="11.42578125" style="23"/>
    <col min="1039" max="1039" width="13.85546875" style="23" customWidth="1"/>
    <col min="1040" max="1281" width="11.42578125" style="23"/>
    <col min="1282" max="1282" width="34.28515625" style="23" customWidth="1"/>
    <col min="1283" max="1283" width="12.5703125" style="23" customWidth="1"/>
    <col min="1284" max="1284" width="10.5703125" style="23" customWidth="1"/>
    <col min="1285" max="1285" width="12.5703125" style="23" customWidth="1"/>
    <col min="1286" max="1286" width="10.5703125" style="23" customWidth="1"/>
    <col min="1287" max="1287" width="10.7109375" style="23" customWidth="1"/>
    <col min="1288" max="1294" width="11.42578125" style="23"/>
    <col min="1295" max="1295" width="13.85546875" style="23" customWidth="1"/>
    <col min="1296" max="1537" width="11.42578125" style="23"/>
    <col min="1538" max="1538" width="34.28515625" style="23" customWidth="1"/>
    <col min="1539" max="1539" width="12.5703125" style="23" customWidth="1"/>
    <col min="1540" max="1540" width="10.5703125" style="23" customWidth="1"/>
    <col min="1541" max="1541" width="12.5703125" style="23" customWidth="1"/>
    <col min="1542" max="1542" width="10.5703125" style="23" customWidth="1"/>
    <col min="1543" max="1543" width="10.7109375" style="23" customWidth="1"/>
    <col min="1544" max="1550" width="11.42578125" style="23"/>
    <col min="1551" max="1551" width="13.85546875" style="23" customWidth="1"/>
    <col min="1552" max="1793" width="11.42578125" style="23"/>
    <col min="1794" max="1794" width="34.28515625" style="23" customWidth="1"/>
    <col min="1795" max="1795" width="12.5703125" style="23" customWidth="1"/>
    <col min="1796" max="1796" width="10.5703125" style="23" customWidth="1"/>
    <col min="1797" max="1797" width="12.5703125" style="23" customWidth="1"/>
    <col min="1798" max="1798" width="10.5703125" style="23" customWidth="1"/>
    <col min="1799" max="1799" width="10.7109375" style="23" customWidth="1"/>
    <col min="1800" max="1806" width="11.42578125" style="23"/>
    <col min="1807" max="1807" width="13.85546875" style="23" customWidth="1"/>
    <col min="1808" max="2049" width="11.42578125" style="23"/>
    <col min="2050" max="2050" width="34.28515625" style="23" customWidth="1"/>
    <col min="2051" max="2051" width="12.5703125" style="23" customWidth="1"/>
    <col min="2052" max="2052" width="10.5703125" style="23" customWidth="1"/>
    <col min="2053" max="2053" width="12.5703125" style="23" customWidth="1"/>
    <col min="2054" max="2054" width="10.5703125" style="23" customWidth="1"/>
    <col min="2055" max="2055" width="10.7109375" style="23" customWidth="1"/>
    <col min="2056" max="2062" width="11.42578125" style="23"/>
    <col min="2063" max="2063" width="13.85546875" style="23" customWidth="1"/>
    <col min="2064" max="2305" width="11.42578125" style="23"/>
    <col min="2306" max="2306" width="34.28515625" style="23" customWidth="1"/>
    <col min="2307" max="2307" width="12.5703125" style="23" customWidth="1"/>
    <col min="2308" max="2308" width="10.5703125" style="23" customWidth="1"/>
    <col min="2309" max="2309" width="12.5703125" style="23" customWidth="1"/>
    <col min="2310" max="2310" width="10.5703125" style="23" customWidth="1"/>
    <col min="2311" max="2311" width="10.7109375" style="23" customWidth="1"/>
    <col min="2312" max="2318" width="11.42578125" style="23"/>
    <col min="2319" max="2319" width="13.85546875" style="23" customWidth="1"/>
    <col min="2320" max="2561" width="11.42578125" style="23"/>
    <col min="2562" max="2562" width="34.28515625" style="23" customWidth="1"/>
    <col min="2563" max="2563" width="12.5703125" style="23" customWidth="1"/>
    <col min="2564" max="2564" width="10.5703125" style="23" customWidth="1"/>
    <col min="2565" max="2565" width="12.5703125" style="23" customWidth="1"/>
    <col min="2566" max="2566" width="10.5703125" style="23" customWidth="1"/>
    <col min="2567" max="2567" width="10.7109375" style="23" customWidth="1"/>
    <col min="2568" max="2574" width="11.42578125" style="23"/>
    <col min="2575" max="2575" width="13.85546875" style="23" customWidth="1"/>
    <col min="2576" max="2817" width="11.42578125" style="23"/>
    <col min="2818" max="2818" width="34.28515625" style="23" customWidth="1"/>
    <col min="2819" max="2819" width="12.5703125" style="23" customWidth="1"/>
    <col min="2820" max="2820" width="10.5703125" style="23" customWidth="1"/>
    <col min="2821" max="2821" width="12.5703125" style="23" customWidth="1"/>
    <col min="2822" max="2822" width="10.5703125" style="23" customWidth="1"/>
    <col min="2823" max="2823" width="10.7109375" style="23" customWidth="1"/>
    <col min="2824" max="2830" width="11.42578125" style="23"/>
    <col min="2831" max="2831" width="13.85546875" style="23" customWidth="1"/>
    <col min="2832" max="3073" width="11.42578125" style="23"/>
    <col min="3074" max="3074" width="34.28515625" style="23" customWidth="1"/>
    <col min="3075" max="3075" width="12.5703125" style="23" customWidth="1"/>
    <col min="3076" max="3076" width="10.5703125" style="23" customWidth="1"/>
    <col min="3077" max="3077" width="12.5703125" style="23" customWidth="1"/>
    <col min="3078" max="3078" width="10.5703125" style="23" customWidth="1"/>
    <col min="3079" max="3079" width="10.7109375" style="23" customWidth="1"/>
    <col min="3080" max="3086" width="11.42578125" style="23"/>
    <col min="3087" max="3087" width="13.85546875" style="23" customWidth="1"/>
    <col min="3088" max="3329" width="11.42578125" style="23"/>
    <col min="3330" max="3330" width="34.28515625" style="23" customWidth="1"/>
    <col min="3331" max="3331" width="12.5703125" style="23" customWidth="1"/>
    <col min="3332" max="3332" width="10.5703125" style="23" customWidth="1"/>
    <col min="3333" max="3333" width="12.5703125" style="23" customWidth="1"/>
    <col min="3334" max="3334" width="10.5703125" style="23" customWidth="1"/>
    <col min="3335" max="3335" width="10.7109375" style="23" customWidth="1"/>
    <col min="3336" max="3342" width="11.42578125" style="23"/>
    <col min="3343" max="3343" width="13.85546875" style="23" customWidth="1"/>
    <col min="3344" max="3585" width="11.42578125" style="23"/>
    <col min="3586" max="3586" width="34.28515625" style="23" customWidth="1"/>
    <col min="3587" max="3587" width="12.5703125" style="23" customWidth="1"/>
    <col min="3588" max="3588" width="10.5703125" style="23" customWidth="1"/>
    <col min="3589" max="3589" width="12.5703125" style="23" customWidth="1"/>
    <col min="3590" max="3590" width="10.5703125" style="23" customWidth="1"/>
    <col min="3591" max="3591" width="10.7109375" style="23" customWidth="1"/>
    <col min="3592" max="3598" width="11.42578125" style="23"/>
    <col min="3599" max="3599" width="13.85546875" style="23" customWidth="1"/>
    <col min="3600" max="3841" width="11.42578125" style="23"/>
    <col min="3842" max="3842" width="34.28515625" style="23" customWidth="1"/>
    <col min="3843" max="3843" width="12.5703125" style="23" customWidth="1"/>
    <col min="3844" max="3844" width="10.5703125" style="23" customWidth="1"/>
    <col min="3845" max="3845" width="12.5703125" style="23" customWidth="1"/>
    <col min="3846" max="3846" width="10.5703125" style="23" customWidth="1"/>
    <col min="3847" max="3847" width="10.7109375" style="23" customWidth="1"/>
    <col min="3848" max="3854" width="11.42578125" style="23"/>
    <col min="3855" max="3855" width="13.85546875" style="23" customWidth="1"/>
    <col min="3856" max="4097" width="11.42578125" style="23"/>
    <col min="4098" max="4098" width="34.28515625" style="23" customWidth="1"/>
    <col min="4099" max="4099" width="12.5703125" style="23" customWidth="1"/>
    <col min="4100" max="4100" width="10.5703125" style="23" customWidth="1"/>
    <col min="4101" max="4101" width="12.5703125" style="23" customWidth="1"/>
    <col min="4102" max="4102" width="10.5703125" style="23" customWidth="1"/>
    <col min="4103" max="4103" width="10.7109375" style="23" customWidth="1"/>
    <col min="4104" max="4110" width="11.42578125" style="23"/>
    <col min="4111" max="4111" width="13.85546875" style="23" customWidth="1"/>
    <col min="4112" max="4353" width="11.42578125" style="23"/>
    <col min="4354" max="4354" width="34.28515625" style="23" customWidth="1"/>
    <col min="4355" max="4355" width="12.5703125" style="23" customWidth="1"/>
    <col min="4356" max="4356" width="10.5703125" style="23" customWidth="1"/>
    <col min="4357" max="4357" width="12.5703125" style="23" customWidth="1"/>
    <col min="4358" max="4358" width="10.5703125" style="23" customWidth="1"/>
    <col min="4359" max="4359" width="10.7109375" style="23" customWidth="1"/>
    <col min="4360" max="4366" width="11.42578125" style="23"/>
    <col min="4367" max="4367" width="13.85546875" style="23" customWidth="1"/>
    <col min="4368" max="4609" width="11.42578125" style="23"/>
    <col min="4610" max="4610" width="34.28515625" style="23" customWidth="1"/>
    <col min="4611" max="4611" width="12.5703125" style="23" customWidth="1"/>
    <col min="4612" max="4612" width="10.5703125" style="23" customWidth="1"/>
    <col min="4613" max="4613" width="12.5703125" style="23" customWidth="1"/>
    <col min="4614" max="4614" width="10.5703125" style="23" customWidth="1"/>
    <col min="4615" max="4615" width="10.7109375" style="23" customWidth="1"/>
    <col min="4616" max="4622" width="11.42578125" style="23"/>
    <col min="4623" max="4623" width="13.85546875" style="23" customWidth="1"/>
    <col min="4624" max="4865" width="11.42578125" style="23"/>
    <col min="4866" max="4866" width="34.28515625" style="23" customWidth="1"/>
    <col min="4867" max="4867" width="12.5703125" style="23" customWidth="1"/>
    <col min="4868" max="4868" width="10.5703125" style="23" customWidth="1"/>
    <col min="4869" max="4869" width="12.5703125" style="23" customWidth="1"/>
    <col min="4870" max="4870" width="10.5703125" style="23" customWidth="1"/>
    <col min="4871" max="4871" width="10.7109375" style="23" customWidth="1"/>
    <col min="4872" max="4878" width="11.42578125" style="23"/>
    <col min="4879" max="4879" width="13.85546875" style="23" customWidth="1"/>
    <col min="4880" max="5121" width="11.42578125" style="23"/>
    <col min="5122" max="5122" width="34.28515625" style="23" customWidth="1"/>
    <col min="5123" max="5123" width="12.5703125" style="23" customWidth="1"/>
    <col min="5124" max="5124" width="10.5703125" style="23" customWidth="1"/>
    <col min="5125" max="5125" width="12.5703125" style="23" customWidth="1"/>
    <col min="5126" max="5126" width="10.5703125" style="23" customWidth="1"/>
    <col min="5127" max="5127" width="10.7109375" style="23" customWidth="1"/>
    <col min="5128" max="5134" width="11.42578125" style="23"/>
    <col min="5135" max="5135" width="13.85546875" style="23" customWidth="1"/>
    <col min="5136" max="5377" width="11.42578125" style="23"/>
    <col min="5378" max="5378" width="34.28515625" style="23" customWidth="1"/>
    <col min="5379" max="5379" width="12.5703125" style="23" customWidth="1"/>
    <col min="5380" max="5380" width="10.5703125" style="23" customWidth="1"/>
    <col min="5381" max="5381" width="12.5703125" style="23" customWidth="1"/>
    <col min="5382" max="5382" width="10.5703125" style="23" customWidth="1"/>
    <col min="5383" max="5383" width="10.7109375" style="23" customWidth="1"/>
    <col min="5384" max="5390" width="11.42578125" style="23"/>
    <col min="5391" max="5391" width="13.85546875" style="23" customWidth="1"/>
    <col min="5392" max="5633" width="11.42578125" style="23"/>
    <col min="5634" max="5634" width="34.28515625" style="23" customWidth="1"/>
    <col min="5635" max="5635" width="12.5703125" style="23" customWidth="1"/>
    <col min="5636" max="5636" width="10.5703125" style="23" customWidth="1"/>
    <col min="5637" max="5637" width="12.5703125" style="23" customWidth="1"/>
    <col min="5638" max="5638" width="10.5703125" style="23" customWidth="1"/>
    <col min="5639" max="5639" width="10.7109375" style="23" customWidth="1"/>
    <col min="5640" max="5646" width="11.42578125" style="23"/>
    <col min="5647" max="5647" width="13.85546875" style="23" customWidth="1"/>
    <col min="5648" max="5889" width="11.42578125" style="23"/>
    <col min="5890" max="5890" width="34.28515625" style="23" customWidth="1"/>
    <col min="5891" max="5891" width="12.5703125" style="23" customWidth="1"/>
    <col min="5892" max="5892" width="10.5703125" style="23" customWidth="1"/>
    <col min="5893" max="5893" width="12.5703125" style="23" customWidth="1"/>
    <col min="5894" max="5894" width="10.5703125" style="23" customWidth="1"/>
    <col min="5895" max="5895" width="10.7109375" style="23" customWidth="1"/>
    <col min="5896" max="5902" width="11.42578125" style="23"/>
    <col min="5903" max="5903" width="13.85546875" style="23" customWidth="1"/>
    <col min="5904" max="6145" width="11.42578125" style="23"/>
    <col min="6146" max="6146" width="34.28515625" style="23" customWidth="1"/>
    <col min="6147" max="6147" width="12.5703125" style="23" customWidth="1"/>
    <col min="6148" max="6148" width="10.5703125" style="23" customWidth="1"/>
    <col min="6149" max="6149" width="12.5703125" style="23" customWidth="1"/>
    <col min="6150" max="6150" width="10.5703125" style="23" customWidth="1"/>
    <col min="6151" max="6151" width="10.7109375" style="23" customWidth="1"/>
    <col min="6152" max="6158" width="11.42578125" style="23"/>
    <col min="6159" max="6159" width="13.85546875" style="23" customWidth="1"/>
    <col min="6160" max="6401" width="11.42578125" style="23"/>
    <col min="6402" max="6402" width="34.28515625" style="23" customWidth="1"/>
    <col min="6403" max="6403" width="12.5703125" style="23" customWidth="1"/>
    <col min="6404" max="6404" width="10.5703125" style="23" customWidth="1"/>
    <col min="6405" max="6405" width="12.5703125" style="23" customWidth="1"/>
    <col min="6406" max="6406" width="10.5703125" style="23" customWidth="1"/>
    <col min="6407" max="6407" width="10.7109375" style="23" customWidth="1"/>
    <col min="6408" max="6414" width="11.42578125" style="23"/>
    <col min="6415" max="6415" width="13.85546875" style="23" customWidth="1"/>
    <col min="6416" max="6657" width="11.42578125" style="23"/>
    <col min="6658" max="6658" width="34.28515625" style="23" customWidth="1"/>
    <col min="6659" max="6659" width="12.5703125" style="23" customWidth="1"/>
    <col min="6660" max="6660" width="10.5703125" style="23" customWidth="1"/>
    <col min="6661" max="6661" width="12.5703125" style="23" customWidth="1"/>
    <col min="6662" max="6662" width="10.5703125" style="23" customWidth="1"/>
    <col min="6663" max="6663" width="10.7109375" style="23" customWidth="1"/>
    <col min="6664" max="6670" width="11.42578125" style="23"/>
    <col min="6671" max="6671" width="13.85546875" style="23" customWidth="1"/>
    <col min="6672" max="6913" width="11.42578125" style="23"/>
    <col min="6914" max="6914" width="34.28515625" style="23" customWidth="1"/>
    <col min="6915" max="6915" width="12.5703125" style="23" customWidth="1"/>
    <col min="6916" max="6916" width="10.5703125" style="23" customWidth="1"/>
    <col min="6917" max="6917" width="12.5703125" style="23" customWidth="1"/>
    <col min="6918" max="6918" width="10.5703125" style="23" customWidth="1"/>
    <col min="6919" max="6919" width="10.7109375" style="23" customWidth="1"/>
    <col min="6920" max="6926" width="11.42578125" style="23"/>
    <col min="6927" max="6927" width="13.85546875" style="23" customWidth="1"/>
    <col min="6928" max="7169" width="11.42578125" style="23"/>
    <col min="7170" max="7170" width="34.28515625" style="23" customWidth="1"/>
    <col min="7171" max="7171" width="12.5703125" style="23" customWidth="1"/>
    <col min="7172" max="7172" width="10.5703125" style="23" customWidth="1"/>
    <col min="7173" max="7173" width="12.5703125" style="23" customWidth="1"/>
    <col min="7174" max="7174" width="10.5703125" style="23" customWidth="1"/>
    <col min="7175" max="7175" width="10.7109375" style="23" customWidth="1"/>
    <col min="7176" max="7182" width="11.42578125" style="23"/>
    <col min="7183" max="7183" width="13.85546875" style="23" customWidth="1"/>
    <col min="7184" max="7425" width="11.42578125" style="23"/>
    <col min="7426" max="7426" width="34.28515625" style="23" customWidth="1"/>
    <col min="7427" max="7427" width="12.5703125" style="23" customWidth="1"/>
    <col min="7428" max="7428" width="10.5703125" style="23" customWidth="1"/>
    <col min="7429" max="7429" width="12.5703125" style="23" customWidth="1"/>
    <col min="7430" max="7430" width="10.5703125" style="23" customWidth="1"/>
    <col min="7431" max="7431" width="10.7109375" style="23" customWidth="1"/>
    <col min="7432" max="7438" width="11.42578125" style="23"/>
    <col min="7439" max="7439" width="13.85546875" style="23" customWidth="1"/>
    <col min="7440" max="7681" width="11.42578125" style="23"/>
    <col min="7682" max="7682" width="34.28515625" style="23" customWidth="1"/>
    <col min="7683" max="7683" width="12.5703125" style="23" customWidth="1"/>
    <col min="7684" max="7684" width="10.5703125" style="23" customWidth="1"/>
    <col min="7685" max="7685" width="12.5703125" style="23" customWidth="1"/>
    <col min="7686" max="7686" width="10.5703125" style="23" customWidth="1"/>
    <col min="7687" max="7687" width="10.7109375" style="23" customWidth="1"/>
    <col min="7688" max="7694" width="11.42578125" style="23"/>
    <col min="7695" max="7695" width="13.85546875" style="23" customWidth="1"/>
    <col min="7696" max="7937" width="11.42578125" style="23"/>
    <col min="7938" max="7938" width="34.28515625" style="23" customWidth="1"/>
    <col min="7939" max="7939" width="12.5703125" style="23" customWidth="1"/>
    <col min="7940" max="7940" width="10.5703125" style="23" customWidth="1"/>
    <col min="7941" max="7941" width="12.5703125" style="23" customWidth="1"/>
    <col min="7942" max="7942" width="10.5703125" style="23" customWidth="1"/>
    <col min="7943" max="7943" width="10.7109375" style="23" customWidth="1"/>
    <col min="7944" max="7950" width="11.42578125" style="23"/>
    <col min="7951" max="7951" width="13.85546875" style="23" customWidth="1"/>
    <col min="7952" max="8193" width="11.42578125" style="23"/>
    <col min="8194" max="8194" width="34.28515625" style="23" customWidth="1"/>
    <col min="8195" max="8195" width="12.5703125" style="23" customWidth="1"/>
    <col min="8196" max="8196" width="10.5703125" style="23" customWidth="1"/>
    <col min="8197" max="8197" width="12.5703125" style="23" customWidth="1"/>
    <col min="8198" max="8198" width="10.5703125" style="23" customWidth="1"/>
    <col min="8199" max="8199" width="10.7109375" style="23" customWidth="1"/>
    <col min="8200" max="8206" width="11.42578125" style="23"/>
    <col min="8207" max="8207" width="13.85546875" style="23" customWidth="1"/>
    <col min="8208" max="8449" width="11.42578125" style="23"/>
    <col min="8450" max="8450" width="34.28515625" style="23" customWidth="1"/>
    <col min="8451" max="8451" width="12.5703125" style="23" customWidth="1"/>
    <col min="8452" max="8452" width="10.5703125" style="23" customWidth="1"/>
    <col min="8453" max="8453" width="12.5703125" style="23" customWidth="1"/>
    <col min="8454" max="8454" width="10.5703125" style="23" customWidth="1"/>
    <col min="8455" max="8455" width="10.7109375" style="23" customWidth="1"/>
    <col min="8456" max="8462" width="11.42578125" style="23"/>
    <col min="8463" max="8463" width="13.85546875" style="23" customWidth="1"/>
    <col min="8464" max="8705" width="11.42578125" style="23"/>
    <col min="8706" max="8706" width="34.28515625" style="23" customWidth="1"/>
    <col min="8707" max="8707" width="12.5703125" style="23" customWidth="1"/>
    <col min="8708" max="8708" width="10.5703125" style="23" customWidth="1"/>
    <col min="8709" max="8709" width="12.5703125" style="23" customWidth="1"/>
    <col min="8710" max="8710" width="10.5703125" style="23" customWidth="1"/>
    <col min="8711" max="8711" width="10.7109375" style="23" customWidth="1"/>
    <col min="8712" max="8718" width="11.42578125" style="23"/>
    <col min="8719" max="8719" width="13.85546875" style="23" customWidth="1"/>
    <col min="8720" max="8961" width="11.42578125" style="23"/>
    <col min="8962" max="8962" width="34.28515625" style="23" customWidth="1"/>
    <col min="8963" max="8963" width="12.5703125" style="23" customWidth="1"/>
    <col min="8964" max="8964" width="10.5703125" style="23" customWidth="1"/>
    <col min="8965" max="8965" width="12.5703125" style="23" customWidth="1"/>
    <col min="8966" max="8966" width="10.5703125" style="23" customWidth="1"/>
    <col min="8967" max="8967" width="10.7109375" style="23" customWidth="1"/>
    <col min="8968" max="8974" width="11.42578125" style="23"/>
    <col min="8975" max="8975" width="13.85546875" style="23" customWidth="1"/>
    <col min="8976" max="9217" width="11.42578125" style="23"/>
    <col min="9218" max="9218" width="34.28515625" style="23" customWidth="1"/>
    <col min="9219" max="9219" width="12.5703125" style="23" customWidth="1"/>
    <col min="9220" max="9220" width="10.5703125" style="23" customWidth="1"/>
    <col min="9221" max="9221" width="12.5703125" style="23" customWidth="1"/>
    <col min="9222" max="9222" width="10.5703125" style="23" customWidth="1"/>
    <col min="9223" max="9223" width="10.7109375" style="23" customWidth="1"/>
    <col min="9224" max="9230" width="11.42578125" style="23"/>
    <col min="9231" max="9231" width="13.85546875" style="23" customWidth="1"/>
    <col min="9232" max="9473" width="11.42578125" style="23"/>
    <col min="9474" max="9474" width="34.28515625" style="23" customWidth="1"/>
    <col min="9475" max="9475" width="12.5703125" style="23" customWidth="1"/>
    <col min="9476" max="9476" width="10.5703125" style="23" customWidth="1"/>
    <col min="9477" max="9477" width="12.5703125" style="23" customWidth="1"/>
    <col min="9478" max="9478" width="10.5703125" style="23" customWidth="1"/>
    <col min="9479" max="9479" width="10.7109375" style="23" customWidth="1"/>
    <col min="9480" max="9486" width="11.42578125" style="23"/>
    <col min="9487" max="9487" width="13.85546875" style="23" customWidth="1"/>
    <col min="9488" max="9729" width="11.42578125" style="23"/>
    <col min="9730" max="9730" width="34.28515625" style="23" customWidth="1"/>
    <col min="9731" max="9731" width="12.5703125" style="23" customWidth="1"/>
    <col min="9732" max="9732" width="10.5703125" style="23" customWidth="1"/>
    <col min="9733" max="9733" width="12.5703125" style="23" customWidth="1"/>
    <col min="9734" max="9734" width="10.5703125" style="23" customWidth="1"/>
    <col min="9735" max="9735" width="10.7109375" style="23" customWidth="1"/>
    <col min="9736" max="9742" width="11.42578125" style="23"/>
    <col min="9743" max="9743" width="13.85546875" style="23" customWidth="1"/>
    <col min="9744" max="9985" width="11.42578125" style="23"/>
    <col min="9986" max="9986" width="34.28515625" style="23" customWidth="1"/>
    <col min="9987" max="9987" width="12.5703125" style="23" customWidth="1"/>
    <col min="9988" max="9988" width="10.5703125" style="23" customWidth="1"/>
    <col min="9989" max="9989" width="12.5703125" style="23" customWidth="1"/>
    <col min="9990" max="9990" width="10.5703125" style="23" customWidth="1"/>
    <col min="9991" max="9991" width="10.7109375" style="23" customWidth="1"/>
    <col min="9992" max="9998" width="11.42578125" style="23"/>
    <col min="9999" max="9999" width="13.85546875" style="23" customWidth="1"/>
    <col min="10000" max="10241" width="11.42578125" style="23"/>
    <col min="10242" max="10242" width="34.28515625" style="23" customWidth="1"/>
    <col min="10243" max="10243" width="12.5703125" style="23" customWidth="1"/>
    <col min="10244" max="10244" width="10.5703125" style="23" customWidth="1"/>
    <col min="10245" max="10245" width="12.5703125" style="23" customWidth="1"/>
    <col min="10246" max="10246" width="10.5703125" style="23" customWidth="1"/>
    <col min="10247" max="10247" width="10.7109375" style="23" customWidth="1"/>
    <col min="10248" max="10254" width="11.42578125" style="23"/>
    <col min="10255" max="10255" width="13.85546875" style="23" customWidth="1"/>
    <col min="10256" max="10497" width="11.42578125" style="23"/>
    <col min="10498" max="10498" width="34.28515625" style="23" customWidth="1"/>
    <col min="10499" max="10499" width="12.5703125" style="23" customWidth="1"/>
    <col min="10500" max="10500" width="10.5703125" style="23" customWidth="1"/>
    <col min="10501" max="10501" width="12.5703125" style="23" customWidth="1"/>
    <col min="10502" max="10502" width="10.5703125" style="23" customWidth="1"/>
    <col min="10503" max="10503" width="10.7109375" style="23" customWidth="1"/>
    <col min="10504" max="10510" width="11.42578125" style="23"/>
    <col min="10511" max="10511" width="13.85546875" style="23" customWidth="1"/>
    <col min="10512" max="10753" width="11.42578125" style="23"/>
    <col min="10754" max="10754" width="34.28515625" style="23" customWidth="1"/>
    <col min="10755" max="10755" width="12.5703125" style="23" customWidth="1"/>
    <col min="10756" max="10756" width="10.5703125" style="23" customWidth="1"/>
    <col min="10757" max="10757" width="12.5703125" style="23" customWidth="1"/>
    <col min="10758" max="10758" width="10.5703125" style="23" customWidth="1"/>
    <col min="10759" max="10759" width="10.7109375" style="23" customWidth="1"/>
    <col min="10760" max="10766" width="11.42578125" style="23"/>
    <col min="10767" max="10767" width="13.85546875" style="23" customWidth="1"/>
    <col min="10768" max="11009" width="11.42578125" style="23"/>
    <col min="11010" max="11010" width="34.28515625" style="23" customWidth="1"/>
    <col min="11011" max="11011" width="12.5703125" style="23" customWidth="1"/>
    <col min="11012" max="11012" width="10.5703125" style="23" customWidth="1"/>
    <col min="11013" max="11013" width="12.5703125" style="23" customWidth="1"/>
    <col min="11014" max="11014" width="10.5703125" style="23" customWidth="1"/>
    <col min="11015" max="11015" width="10.7109375" style="23" customWidth="1"/>
    <col min="11016" max="11022" width="11.42578125" style="23"/>
    <col min="11023" max="11023" width="13.85546875" style="23" customWidth="1"/>
    <col min="11024" max="11265" width="11.42578125" style="23"/>
    <col min="11266" max="11266" width="34.28515625" style="23" customWidth="1"/>
    <col min="11267" max="11267" width="12.5703125" style="23" customWidth="1"/>
    <col min="11268" max="11268" width="10.5703125" style="23" customWidth="1"/>
    <col min="11269" max="11269" width="12.5703125" style="23" customWidth="1"/>
    <col min="11270" max="11270" width="10.5703125" style="23" customWidth="1"/>
    <col min="11271" max="11271" width="10.7109375" style="23" customWidth="1"/>
    <col min="11272" max="11278" width="11.42578125" style="23"/>
    <col min="11279" max="11279" width="13.85546875" style="23" customWidth="1"/>
    <col min="11280" max="11521" width="11.42578125" style="23"/>
    <col min="11522" max="11522" width="34.28515625" style="23" customWidth="1"/>
    <col min="11523" max="11523" width="12.5703125" style="23" customWidth="1"/>
    <col min="11524" max="11524" width="10.5703125" style="23" customWidth="1"/>
    <col min="11525" max="11525" width="12.5703125" style="23" customWidth="1"/>
    <col min="11526" max="11526" width="10.5703125" style="23" customWidth="1"/>
    <col min="11527" max="11527" width="10.7109375" style="23" customWidth="1"/>
    <col min="11528" max="11534" width="11.42578125" style="23"/>
    <col min="11535" max="11535" width="13.85546875" style="23" customWidth="1"/>
    <col min="11536" max="11777" width="11.42578125" style="23"/>
    <col min="11778" max="11778" width="34.28515625" style="23" customWidth="1"/>
    <col min="11779" max="11779" width="12.5703125" style="23" customWidth="1"/>
    <col min="11780" max="11780" width="10.5703125" style="23" customWidth="1"/>
    <col min="11781" max="11781" width="12.5703125" style="23" customWidth="1"/>
    <col min="11782" max="11782" width="10.5703125" style="23" customWidth="1"/>
    <col min="11783" max="11783" width="10.7109375" style="23" customWidth="1"/>
    <col min="11784" max="11790" width="11.42578125" style="23"/>
    <col min="11791" max="11791" width="13.85546875" style="23" customWidth="1"/>
    <col min="11792" max="12033" width="11.42578125" style="23"/>
    <col min="12034" max="12034" width="34.28515625" style="23" customWidth="1"/>
    <col min="12035" max="12035" width="12.5703125" style="23" customWidth="1"/>
    <col min="12036" max="12036" width="10.5703125" style="23" customWidth="1"/>
    <col min="12037" max="12037" width="12.5703125" style="23" customWidth="1"/>
    <col min="12038" max="12038" width="10.5703125" style="23" customWidth="1"/>
    <col min="12039" max="12039" width="10.7109375" style="23" customWidth="1"/>
    <col min="12040" max="12046" width="11.42578125" style="23"/>
    <col min="12047" max="12047" width="13.85546875" style="23" customWidth="1"/>
    <col min="12048" max="12289" width="11.42578125" style="23"/>
    <col min="12290" max="12290" width="34.28515625" style="23" customWidth="1"/>
    <col min="12291" max="12291" width="12.5703125" style="23" customWidth="1"/>
    <col min="12292" max="12292" width="10.5703125" style="23" customWidth="1"/>
    <col min="12293" max="12293" width="12.5703125" style="23" customWidth="1"/>
    <col min="12294" max="12294" width="10.5703125" style="23" customWidth="1"/>
    <col min="12295" max="12295" width="10.7109375" style="23" customWidth="1"/>
    <col min="12296" max="12302" width="11.42578125" style="23"/>
    <col min="12303" max="12303" width="13.85546875" style="23" customWidth="1"/>
    <col min="12304" max="12545" width="11.42578125" style="23"/>
    <col min="12546" max="12546" width="34.28515625" style="23" customWidth="1"/>
    <col min="12547" max="12547" width="12.5703125" style="23" customWidth="1"/>
    <col min="12548" max="12548" width="10.5703125" style="23" customWidth="1"/>
    <col min="12549" max="12549" width="12.5703125" style="23" customWidth="1"/>
    <col min="12550" max="12550" width="10.5703125" style="23" customWidth="1"/>
    <col min="12551" max="12551" width="10.7109375" style="23" customWidth="1"/>
    <col min="12552" max="12558" width="11.42578125" style="23"/>
    <col min="12559" max="12559" width="13.85546875" style="23" customWidth="1"/>
    <col min="12560" max="12801" width="11.42578125" style="23"/>
    <col min="12802" max="12802" width="34.28515625" style="23" customWidth="1"/>
    <col min="12803" max="12803" width="12.5703125" style="23" customWidth="1"/>
    <col min="12804" max="12804" width="10.5703125" style="23" customWidth="1"/>
    <col min="12805" max="12805" width="12.5703125" style="23" customWidth="1"/>
    <col min="12806" max="12806" width="10.5703125" style="23" customWidth="1"/>
    <col min="12807" max="12807" width="10.7109375" style="23" customWidth="1"/>
    <col min="12808" max="12814" width="11.42578125" style="23"/>
    <col min="12815" max="12815" width="13.85546875" style="23" customWidth="1"/>
    <col min="12816" max="13057" width="11.42578125" style="23"/>
    <col min="13058" max="13058" width="34.28515625" style="23" customWidth="1"/>
    <col min="13059" max="13059" width="12.5703125" style="23" customWidth="1"/>
    <col min="13060" max="13060" width="10.5703125" style="23" customWidth="1"/>
    <col min="13061" max="13061" width="12.5703125" style="23" customWidth="1"/>
    <col min="13062" max="13062" width="10.5703125" style="23" customWidth="1"/>
    <col min="13063" max="13063" width="10.7109375" style="23" customWidth="1"/>
    <col min="13064" max="13070" width="11.42578125" style="23"/>
    <col min="13071" max="13071" width="13.85546875" style="23" customWidth="1"/>
    <col min="13072" max="13313" width="11.42578125" style="23"/>
    <col min="13314" max="13314" width="34.28515625" style="23" customWidth="1"/>
    <col min="13315" max="13315" width="12.5703125" style="23" customWidth="1"/>
    <col min="13316" max="13316" width="10.5703125" style="23" customWidth="1"/>
    <col min="13317" max="13317" width="12.5703125" style="23" customWidth="1"/>
    <col min="13318" max="13318" width="10.5703125" style="23" customWidth="1"/>
    <col min="13319" max="13319" width="10.7109375" style="23" customWidth="1"/>
    <col min="13320" max="13326" width="11.42578125" style="23"/>
    <col min="13327" max="13327" width="13.85546875" style="23" customWidth="1"/>
    <col min="13328" max="13569" width="11.42578125" style="23"/>
    <col min="13570" max="13570" width="34.28515625" style="23" customWidth="1"/>
    <col min="13571" max="13571" width="12.5703125" style="23" customWidth="1"/>
    <col min="13572" max="13572" width="10.5703125" style="23" customWidth="1"/>
    <col min="13573" max="13573" width="12.5703125" style="23" customWidth="1"/>
    <col min="13574" max="13574" width="10.5703125" style="23" customWidth="1"/>
    <col min="13575" max="13575" width="10.7109375" style="23" customWidth="1"/>
    <col min="13576" max="13582" width="11.42578125" style="23"/>
    <col min="13583" max="13583" width="13.85546875" style="23" customWidth="1"/>
    <col min="13584" max="13825" width="11.42578125" style="23"/>
    <col min="13826" max="13826" width="34.28515625" style="23" customWidth="1"/>
    <col min="13827" max="13827" width="12.5703125" style="23" customWidth="1"/>
    <col min="13828" max="13828" width="10.5703125" style="23" customWidth="1"/>
    <col min="13829" max="13829" width="12.5703125" style="23" customWidth="1"/>
    <col min="13830" max="13830" width="10.5703125" style="23" customWidth="1"/>
    <col min="13831" max="13831" width="10.7109375" style="23" customWidth="1"/>
    <col min="13832" max="13838" width="11.42578125" style="23"/>
    <col min="13839" max="13839" width="13.85546875" style="23" customWidth="1"/>
    <col min="13840" max="14081" width="11.42578125" style="23"/>
    <col min="14082" max="14082" width="34.28515625" style="23" customWidth="1"/>
    <col min="14083" max="14083" width="12.5703125" style="23" customWidth="1"/>
    <col min="14084" max="14084" width="10.5703125" style="23" customWidth="1"/>
    <col min="14085" max="14085" width="12.5703125" style="23" customWidth="1"/>
    <col min="14086" max="14086" width="10.5703125" style="23" customWidth="1"/>
    <col min="14087" max="14087" width="10.7109375" style="23" customWidth="1"/>
    <col min="14088" max="14094" width="11.42578125" style="23"/>
    <col min="14095" max="14095" width="13.85546875" style="23" customWidth="1"/>
    <col min="14096" max="14337" width="11.42578125" style="23"/>
    <col min="14338" max="14338" width="34.28515625" style="23" customWidth="1"/>
    <col min="14339" max="14339" width="12.5703125" style="23" customWidth="1"/>
    <col min="14340" max="14340" width="10.5703125" style="23" customWidth="1"/>
    <col min="14341" max="14341" width="12.5703125" style="23" customWidth="1"/>
    <col min="14342" max="14342" width="10.5703125" style="23" customWidth="1"/>
    <col min="14343" max="14343" width="10.7109375" style="23" customWidth="1"/>
    <col min="14344" max="14350" width="11.42578125" style="23"/>
    <col min="14351" max="14351" width="13.85546875" style="23" customWidth="1"/>
    <col min="14352" max="14593" width="11.42578125" style="23"/>
    <col min="14594" max="14594" width="34.28515625" style="23" customWidth="1"/>
    <col min="14595" max="14595" width="12.5703125" style="23" customWidth="1"/>
    <col min="14596" max="14596" width="10.5703125" style="23" customWidth="1"/>
    <col min="14597" max="14597" width="12.5703125" style="23" customWidth="1"/>
    <col min="14598" max="14598" width="10.5703125" style="23" customWidth="1"/>
    <col min="14599" max="14599" width="10.7109375" style="23" customWidth="1"/>
    <col min="14600" max="14606" width="11.42578125" style="23"/>
    <col min="14607" max="14607" width="13.85546875" style="23" customWidth="1"/>
    <col min="14608" max="14849" width="11.42578125" style="23"/>
    <col min="14850" max="14850" width="34.28515625" style="23" customWidth="1"/>
    <col min="14851" max="14851" width="12.5703125" style="23" customWidth="1"/>
    <col min="14852" max="14852" width="10.5703125" style="23" customWidth="1"/>
    <col min="14853" max="14853" width="12.5703125" style="23" customWidth="1"/>
    <col min="14854" max="14854" width="10.5703125" style="23" customWidth="1"/>
    <col min="14855" max="14855" width="10.7109375" style="23" customWidth="1"/>
    <col min="14856" max="14862" width="11.42578125" style="23"/>
    <col min="14863" max="14863" width="13.85546875" style="23" customWidth="1"/>
    <col min="14864" max="15105" width="11.42578125" style="23"/>
    <col min="15106" max="15106" width="34.28515625" style="23" customWidth="1"/>
    <col min="15107" max="15107" width="12.5703125" style="23" customWidth="1"/>
    <col min="15108" max="15108" width="10.5703125" style="23" customWidth="1"/>
    <col min="15109" max="15109" width="12.5703125" style="23" customWidth="1"/>
    <col min="15110" max="15110" width="10.5703125" style="23" customWidth="1"/>
    <col min="15111" max="15111" width="10.7109375" style="23" customWidth="1"/>
    <col min="15112" max="15118" width="11.42578125" style="23"/>
    <col min="15119" max="15119" width="13.85546875" style="23" customWidth="1"/>
    <col min="15120" max="15361" width="11.42578125" style="23"/>
    <col min="15362" max="15362" width="34.28515625" style="23" customWidth="1"/>
    <col min="15363" max="15363" width="12.5703125" style="23" customWidth="1"/>
    <col min="15364" max="15364" width="10.5703125" style="23" customWidth="1"/>
    <col min="15365" max="15365" width="12.5703125" style="23" customWidth="1"/>
    <col min="15366" max="15366" width="10.5703125" style="23" customWidth="1"/>
    <col min="15367" max="15367" width="10.7109375" style="23" customWidth="1"/>
    <col min="15368" max="15374" width="11.42578125" style="23"/>
    <col min="15375" max="15375" width="13.85546875" style="23" customWidth="1"/>
    <col min="15376" max="15617" width="11.42578125" style="23"/>
    <col min="15618" max="15618" width="34.28515625" style="23" customWidth="1"/>
    <col min="15619" max="15619" width="12.5703125" style="23" customWidth="1"/>
    <col min="15620" max="15620" width="10.5703125" style="23" customWidth="1"/>
    <col min="15621" max="15621" width="12.5703125" style="23" customWidth="1"/>
    <col min="15622" max="15622" width="10.5703125" style="23" customWidth="1"/>
    <col min="15623" max="15623" width="10.7109375" style="23" customWidth="1"/>
    <col min="15624" max="15630" width="11.42578125" style="23"/>
    <col min="15631" max="15631" width="13.85546875" style="23" customWidth="1"/>
    <col min="15632" max="15873" width="11.42578125" style="23"/>
    <col min="15874" max="15874" width="34.28515625" style="23" customWidth="1"/>
    <col min="15875" max="15875" width="12.5703125" style="23" customWidth="1"/>
    <col min="15876" max="15876" width="10.5703125" style="23" customWidth="1"/>
    <col min="15877" max="15877" width="12.5703125" style="23" customWidth="1"/>
    <col min="15878" max="15878" width="10.5703125" style="23" customWidth="1"/>
    <col min="15879" max="15879" width="10.7109375" style="23" customWidth="1"/>
    <col min="15880" max="15886" width="11.42578125" style="23"/>
    <col min="15887" max="15887" width="13.85546875" style="23" customWidth="1"/>
    <col min="15888" max="16129" width="11.42578125" style="23"/>
    <col min="16130" max="16130" width="34.28515625" style="23" customWidth="1"/>
    <col min="16131" max="16131" width="12.5703125" style="23" customWidth="1"/>
    <col min="16132" max="16132" width="10.5703125" style="23" customWidth="1"/>
    <col min="16133" max="16133" width="12.5703125" style="23" customWidth="1"/>
    <col min="16134" max="16134" width="10.5703125" style="23" customWidth="1"/>
    <col min="16135" max="16135" width="10.7109375" style="23" customWidth="1"/>
    <col min="16136" max="16142" width="11.42578125" style="23"/>
    <col min="16143" max="16143" width="13.85546875" style="23" customWidth="1"/>
    <col min="16144" max="16384" width="11.42578125" style="23"/>
  </cols>
  <sheetData>
    <row r="11" spans="2:7" ht="25.5" customHeight="1">
      <c r="B11" s="27" t="s">
        <v>231</v>
      </c>
      <c r="C11" s="28"/>
      <c r="D11" s="28"/>
      <c r="E11" s="28"/>
      <c r="F11" s="28"/>
      <c r="G11" s="29"/>
    </row>
    <row r="12" spans="2:7" ht="39.75" customHeight="1">
      <c r="B12" s="30" t="s">
        <v>26</v>
      </c>
      <c r="C12" s="324" t="str">
        <f>actualizaciones!A3</f>
        <v>acumulado julio 2009</v>
      </c>
      <c r="D12" s="325" t="s">
        <v>27</v>
      </c>
      <c r="E12" s="324" t="str">
        <f>actualizaciones!A2</f>
        <v xml:space="preserve">acumulado julio 2010 </v>
      </c>
      <c r="F12" s="325" t="s">
        <v>27</v>
      </c>
      <c r="G12" s="325" t="s">
        <v>28</v>
      </c>
    </row>
    <row r="13" spans="2:7">
      <c r="B13" s="98" t="s">
        <v>232</v>
      </c>
      <c r="C13" s="107"/>
      <c r="D13" s="107"/>
      <c r="E13" s="107"/>
      <c r="F13" s="107"/>
      <c r="G13" s="326"/>
    </row>
    <row r="14" spans="2:7">
      <c r="B14" s="101" t="s">
        <v>233</v>
      </c>
      <c r="C14" s="34">
        <f>GETPIVOTDATA("dato",'[1]tabla dinámica pernocta'!$A$6,"categoría","TOTAL","año",2009)</f>
        <v>224256</v>
      </c>
      <c r="D14" s="35">
        <f>C14/C14</f>
        <v>1</v>
      </c>
      <c r="E14" s="34">
        <f>GETPIVOTDATA("dato",'[1]tabla dinámica pernocta'!$A$6,"categoría","TOTAL","año",2010)</f>
        <v>193668</v>
      </c>
      <c r="F14" s="35">
        <f>E14/E14</f>
        <v>1</v>
      </c>
      <c r="G14" s="36">
        <f>(E14-C14)/C14</f>
        <v>-0.13639768835616439</v>
      </c>
    </row>
    <row r="15" spans="2:7">
      <c r="B15" s="109" t="s">
        <v>234</v>
      </c>
      <c r="C15" s="38">
        <f>GETPIVOTDATA("dato",'[1]tabla dinámica pernocta'!$A$6,"categoría","Hoteleros","año",2009)</f>
        <v>224256</v>
      </c>
      <c r="D15" s="39">
        <f>C15/C14</f>
        <v>1</v>
      </c>
      <c r="E15" s="38">
        <f>GETPIVOTDATA("dato",'[1]tabla dinámica pernocta'!$A$6,"categoría","Hoteleros","año",2010)</f>
        <v>193668</v>
      </c>
      <c r="F15" s="39">
        <f>E15/E14</f>
        <v>1</v>
      </c>
      <c r="G15" s="40">
        <f>(E15-C15)/C15</f>
        <v>-0.13639768835616439</v>
      </c>
    </row>
    <row r="16" spans="2:7">
      <c r="B16" s="327" t="s">
        <v>235</v>
      </c>
      <c r="C16" s="112">
        <f>GETPIVOTDATA("dato",'[1]tabla dinámica pernocta'!$A$6,"categoría","Extrahoteleros","año",2009)</f>
        <v>0</v>
      </c>
      <c r="D16" s="41">
        <f>C16/C14</f>
        <v>0</v>
      </c>
      <c r="E16" s="112">
        <f>GETPIVOTDATA("dato",'[1]tabla dinámica pernocta'!$A$6,"categoría","Extrahoteleros","año",2010)</f>
        <v>0</v>
      </c>
      <c r="F16" s="41">
        <f>E16/E14</f>
        <v>0</v>
      </c>
      <c r="G16" s="328" t="e">
        <f>(E16-C16)/C16</f>
        <v>#DIV/0!</v>
      </c>
    </row>
    <row r="17" spans="2:11">
      <c r="B17" s="42" t="s">
        <v>90</v>
      </c>
      <c r="C17" s="43"/>
      <c r="D17" s="43"/>
      <c r="E17" s="43"/>
      <c r="F17" s="43"/>
      <c r="G17" s="44"/>
    </row>
    <row r="28" spans="2:11">
      <c r="B28" s="46"/>
      <c r="C28" s="46"/>
      <c r="D28" s="46"/>
      <c r="E28" s="46"/>
      <c r="F28" s="46"/>
      <c r="G28" s="46"/>
      <c r="H28" s="46"/>
      <c r="I28" s="46"/>
      <c r="J28" s="46"/>
      <c r="K28" s="46"/>
    </row>
  </sheetData>
  <mergeCells count="1">
    <mergeCell ref="B11:G1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7" min="10" max="51" man="1"/>
  </colBreaks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7:L27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1.42578125" style="23"/>
    <col min="2" max="2" width="28.85546875" style="23" customWidth="1"/>
    <col min="3" max="7" width="11.7109375" style="23" customWidth="1"/>
    <col min="8" max="8" width="10.7109375" style="23" customWidth="1"/>
    <col min="9" max="15" width="11.42578125" style="23"/>
    <col min="16" max="16" width="13.85546875" style="23" customWidth="1"/>
    <col min="17" max="257" width="11.42578125" style="23"/>
    <col min="258" max="258" width="28.85546875" style="23" customWidth="1"/>
    <col min="259" max="263" width="11.7109375" style="23" customWidth="1"/>
    <col min="264" max="264" width="10.7109375" style="23" customWidth="1"/>
    <col min="265" max="271" width="11.42578125" style="23"/>
    <col min="272" max="272" width="13.85546875" style="23" customWidth="1"/>
    <col min="273" max="513" width="11.42578125" style="23"/>
    <col min="514" max="514" width="28.85546875" style="23" customWidth="1"/>
    <col min="515" max="519" width="11.7109375" style="23" customWidth="1"/>
    <col min="520" max="520" width="10.7109375" style="23" customWidth="1"/>
    <col min="521" max="527" width="11.42578125" style="23"/>
    <col min="528" max="528" width="13.85546875" style="23" customWidth="1"/>
    <col min="529" max="769" width="11.42578125" style="23"/>
    <col min="770" max="770" width="28.85546875" style="23" customWidth="1"/>
    <col min="771" max="775" width="11.7109375" style="23" customWidth="1"/>
    <col min="776" max="776" width="10.7109375" style="23" customWidth="1"/>
    <col min="777" max="783" width="11.42578125" style="23"/>
    <col min="784" max="784" width="13.85546875" style="23" customWidth="1"/>
    <col min="785" max="1025" width="11.42578125" style="23"/>
    <col min="1026" max="1026" width="28.85546875" style="23" customWidth="1"/>
    <col min="1027" max="1031" width="11.7109375" style="23" customWidth="1"/>
    <col min="1032" max="1032" width="10.7109375" style="23" customWidth="1"/>
    <col min="1033" max="1039" width="11.42578125" style="23"/>
    <col min="1040" max="1040" width="13.85546875" style="23" customWidth="1"/>
    <col min="1041" max="1281" width="11.42578125" style="23"/>
    <col min="1282" max="1282" width="28.85546875" style="23" customWidth="1"/>
    <col min="1283" max="1287" width="11.7109375" style="23" customWidth="1"/>
    <col min="1288" max="1288" width="10.7109375" style="23" customWidth="1"/>
    <col min="1289" max="1295" width="11.42578125" style="23"/>
    <col min="1296" max="1296" width="13.85546875" style="23" customWidth="1"/>
    <col min="1297" max="1537" width="11.42578125" style="23"/>
    <col min="1538" max="1538" width="28.85546875" style="23" customWidth="1"/>
    <col min="1539" max="1543" width="11.7109375" style="23" customWidth="1"/>
    <col min="1544" max="1544" width="10.7109375" style="23" customWidth="1"/>
    <col min="1545" max="1551" width="11.42578125" style="23"/>
    <col min="1552" max="1552" width="13.85546875" style="23" customWidth="1"/>
    <col min="1553" max="1793" width="11.42578125" style="23"/>
    <col min="1794" max="1794" width="28.85546875" style="23" customWidth="1"/>
    <col min="1795" max="1799" width="11.7109375" style="23" customWidth="1"/>
    <col min="1800" max="1800" width="10.7109375" style="23" customWidth="1"/>
    <col min="1801" max="1807" width="11.42578125" style="23"/>
    <col min="1808" max="1808" width="13.85546875" style="23" customWidth="1"/>
    <col min="1809" max="2049" width="11.42578125" style="23"/>
    <col min="2050" max="2050" width="28.85546875" style="23" customWidth="1"/>
    <col min="2051" max="2055" width="11.7109375" style="23" customWidth="1"/>
    <col min="2056" max="2056" width="10.7109375" style="23" customWidth="1"/>
    <col min="2057" max="2063" width="11.42578125" style="23"/>
    <col min="2064" max="2064" width="13.85546875" style="23" customWidth="1"/>
    <col min="2065" max="2305" width="11.42578125" style="23"/>
    <col min="2306" max="2306" width="28.85546875" style="23" customWidth="1"/>
    <col min="2307" max="2311" width="11.7109375" style="23" customWidth="1"/>
    <col min="2312" max="2312" width="10.7109375" style="23" customWidth="1"/>
    <col min="2313" max="2319" width="11.42578125" style="23"/>
    <col min="2320" max="2320" width="13.85546875" style="23" customWidth="1"/>
    <col min="2321" max="2561" width="11.42578125" style="23"/>
    <col min="2562" max="2562" width="28.85546875" style="23" customWidth="1"/>
    <col min="2563" max="2567" width="11.7109375" style="23" customWidth="1"/>
    <col min="2568" max="2568" width="10.7109375" style="23" customWidth="1"/>
    <col min="2569" max="2575" width="11.42578125" style="23"/>
    <col min="2576" max="2576" width="13.85546875" style="23" customWidth="1"/>
    <col min="2577" max="2817" width="11.42578125" style="23"/>
    <col min="2818" max="2818" width="28.85546875" style="23" customWidth="1"/>
    <col min="2819" max="2823" width="11.7109375" style="23" customWidth="1"/>
    <col min="2824" max="2824" width="10.7109375" style="23" customWidth="1"/>
    <col min="2825" max="2831" width="11.42578125" style="23"/>
    <col min="2832" max="2832" width="13.85546875" style="23" customWidth="1"/>
    <col min="2833" max="3073" width="11.42578125" style="23"/>
    <col min="3074" max="3074" width="28.85546875" style="23" customWidth="1"/>
    <col min="3075" max="3079" width="11.7109375" style="23" customWidth="1"/>
    <col min="3080" max="3080" width="10.7109375" style="23" customWidth="1"/>
    <col min="3081" max="3087" width="11.42578125" style="23"/>
    <col min="3088" max="3088" width="13.85546875" style="23" customWidth="1"/>
    <col min="3089" max="3329" width="11.42578125" style="23"/>
    <col min="3330" max="3330" width="28.85546875" style="23" customWidth="1"/>
    <col min="3331" max="3335" width="11.7109375" style="23" customWidth="1"/>
    <col min="3336" max="3336" width="10.7109375" style="23" customWidth="1"/>
    <col min="3337" max="3343" width="11.42578125" style="23"/>
    <col min="3344" max="3344" width="13.85546875" style="23" customWidth="1"/>
    <col min="3345" max="3585" width="11.42578125" style="23"/>
    <col min="3586" max="3586" width="28.85546875" style="23" customWidth="1"/>
    <col min="3587" max="3591" width="11.7109375" style="23" customWidth="1"/>
    <col min="3592" max="3592" width="10.7109375" style="23" customWidth="1"/>
    <col min="3593" max="3599" width="11.42578125" style="23"/>
    <col min="3600" max="3600" width="13.85546875" style="23" customWidth="1"/>
    <col min="3601" max="3841" width="11.42578125" style="23"/>
    <col min="3842" max="3842" width="28.85546875" style="23" customWidth="1"/>
    <col min="3843" max="3847" width="11.7109375" style="23" customWidth="1"/>
    <col min="3848" max="3848" width="10.7109375" style="23" customWidth="1"/>
    <col min="3849" max="3855" width="11.42578125" style="23"/>
    <col min="3856" max="3856" width="13.85546875" style="23" customWidth="1"/>
    <col min="3857" max="4097" width="11.42578125" style="23"/>
    <col min="4098" max="4098" width="28.85546875" style="23" customWidth="1"/>
    <col min="4099" max="4103" width="11.7109375" style="23" customWidth="1"/>
    <col min="4104" max="4104" width="10.7109375" style="23" customWidth="1"/>
    <col min="4105" max="4111" width="11.42578125" style="23"/>
    <col min="4112" max="4112" width="13.85546875" style="23" customWidth="1"/>
    <col min="4113" max="4353" width="11.42578125" style="23"/>
    <col min="4354" max="4354" width="28.85546875" style="23" customWidth="1"/>
    <col min="4355" max="4359" width="11.7109375" style="23" customWidth="1"/>
    <col min="4360" max="4360" width="10.7109375" style="23" customWidth="1"/>
    <col min="4361" max="4367" width="11.42578125" style="23"/>
    <col min="4368" max="4368" width="13.85546875" style="23" customWidth="1"/>
    <col min="4369" max="4609" width="11.42578125" style="23"/>
    <col min="4610" max="4610" width="28.85546875" style="23" customWidth="1"/>
    <col min="4611" max="4615" width="11.7109375" style="23" customWidth="1"/>
    <col min="4616" max="4616" width="10.7109375" style="23" customWidth="1"/>
    <col min="4617" max="4623" width="11.42578125" style="23"/>
    <col min="4624" max="4624" width="13.85546875" style="23" customWidth="1"/>
    <col min="4625" max="4865" width="11.42578125" style="23"/>
    <col min="4866" max="4866" width="28.85546875" style="23" customWidth="1"/>
    <col min="4867" max="4871" width="11.7109375" style="23" customWidth="1"/>
    <col min="4872" max="4872" width="10.7109375" style="23" customWidth="1"/>
    <col min="4873" max="4879" width="11.42578125" style="23"/>
    <col min="4880" max="4880" width="13.85546875" style="23" customWidth="1"/>
    <col min="4881" max="5121" width="11.42578125" style="23"/>
    <col min="5122" max="5122" width="28.85546875" style="23" customWidth="1"/>
    <col min="5123" max="5127" width="11.7109375" style="23" customWidth="1"/>
    <col min="5128" max="5128" width="10.7109375" style="23" customWidth="1"/>
    <col min="5129" max="5135" width="11.42578125" style="23"/>
    <col min="5136" max="5136" width="13.85546875" style="23" customWidth="1"/>
    <col min="5137" max="5377" width="11.42578125" style="23"/>
    <col min="5378" max="5378" width="28.85546875" style="23" customWidth="1"/>
    <col min="5379" max="5383" width="11.7109375" style="23" customWidth="1"/>
    <col min="5384" max="5384" width="10.7109375" style="23" customWidth="1"/>
    <col min="5385" max="5391" width="11.42578125" style="23"/>
    <col min="5392" max="5392" width="13.85546875" style="23" customWidth="1"/>
    <col min="5393" max="5633" width="11.42578125" style="23"/>
    <col min="5634" max="5634" width="28.85546875" style="23" customWidth="1"/>
    <col min="5635" max="5639" width="11.7109375" style="23" customWidth="1"/>
    <col min="5640" max="5640" width="10.7109375" style="23" customWidth="1"/>
    <col min="5641" max="5647" width="11.42578125" style="23"/>
    <col min="5648" max="5648" width="13.85546875" style="23" customWidth="1"/>
    <col min="5649" max="5889" width="11.42578125" style="23"/>
    <col min="5890" max="5890" width="28.85546875" style="23" customWidth="1"/>
    <col min="5891" max="5895" width="11.7109375" style="23" customWidth="1"/>
    <col min="5896" max="5896" width="10.7109375" style="23" customWidth="1"/>
    <col min="5897" max="5903" width="11.42578125" style="23"/>
    <col min="5904" max="5904" width="13.85546875" style="23" customWidth="1"/>
    <col min="5905" max="6145" width="11.42578125" style="23"/>
    <col min="6146" max="6146" width="28.85546875" style="23" customWidth="1"/>
    <col min="6147" max="6151" width="11.7109375" style="23" customWidth="1"/>
    <col min="6152" max="6152" width="10.7109375" style="23" customWidth="1"/>
    <col min="6153" max="6159" width="11.42578125" style="23"/>
    <col min="6160" max="6160" width="13.85546875" style="23" customWidth="1"/>
    <col min="6161" max="6401" width="11.42578125" style="23"/>
    <col min="6402" max="6402" width="28.85546875" style="23" customWidth="1"/>
    <col min="6403" max="6407" width="11.7109375" style="23" customWidth="1"/>
    <col min="6408" max="6408" width="10.7109375" style="23" customWidth="1"/>
    <col min="6409" max="6415" width="11.42578125" style="23"/>
    <col min="6416" max="6416" width="13.85546875" style="23" customWidth="1"/>
    <col min="6417" max="6657" width="11.42578125" style="23"/>
    <col min="6658" max="6658" width="28.85546875" style="23" customWidth="1"/>
    <col min="6659" max="6663" width="11.7109375" style="23" customWidth="1"/>
    <col min="6664" max="6664" width="10.7109375" style="23" customWidth="1"/>
    <col min="6665" max="6671" width="11.42578125" style="23"/>
    <col min="6672" max="6672" width="13.85546875" style="23" customWidth="1"/>
    <col min="6673" max="6913" width="11.42578125" style="23"/>
    <col min="6914" max="6914" width="28.85546875" style="23" customWidth="1"/>
    <col min="6915" max="6919" width="11.7109375" style="23" customWidth="1"/>
    <col min="6920" max="6920" width="10.7109375" style="23" customWidth="1"/>
    <col min="6921" max="6927" width="11.42578125" style="23"/>
    <col min="6928" max="6928" width="13.85546875" style="23" customWidth="1"/>
    <col min="6929" max="7169" width="11.42578125" style="23"/>
    <col min="7170" max="7170" width="28.85546875" style="23" customWidth="1"/>
    <col min="7171" max="7175" width="11.7109375" style="23" customWidth="1"/>
    <col min="7176" max="7176" width="10.7109375" style="23" customWidth="1"/>
    <col min="7177" max="7183" width="11.42578125" style="23"/>
    <col min="7184" max="7184" width="13.85546875" style="23" customWidth="1"/>
    <col min="7185" max="7425" width="11.42578125" style="23"/>
    <col min="7426" max="7426" width="28.85546875" style="23" customWidth="1"/>
    <col min="7427" max="7431" width="11.7109375" style="23" customWidth="1"/>
    <col min="7432" max="7432" width="10.7109375" style="23" customWidth="1"/>
    <col min="7433" max="7439" width="11.42578125" style="23"/>
    <col min="7440" max="7440" width="13.85546875" style="23" customWidth="1"/>
    <col min="7441" max="7681" width="11.42578125" style="23"/>
    <col min="7682" max="7682" width="28.85546875" style="23" customWidth="1"/>
    <col min="7683" max="7687" width="11.7109375" style="23" customWidth="1"/>
    <col min="7688" max="7688" width="10.7109375" style="23" customWidth="1"/>
    <col min="7689" max="7695" width="11.42578125" style="23"/>
    <col min="7696" max="7696" width="13.85546875" style="23" customWidth="1"/>
    <col min="7697" max="7937" width="11.42578125" style="23"/>
    <col min="7938" max="7938" width="28.85546875" style="23" customWidth="1"/>
    <col min="7939" max="7943" width="11.7109375" style="23" customWidth="1"/>
    <col min="7944" max="7944" width="10.7109375" style="23" customWidth="1"/>
    <col min="7945" max="7951" width="11.42578125" style="23"/>
    <col min="7952" max="7952" width="13.85546875" style="23" customWidth="1"/>
    <col min="7953" max="8193" width="11.42578125" style="23"/>
    <col min="8194" max="8194" width="28.85546875" style="23" customWidth="1"/>
    <col min="8195" max="8199" width="11.7109375" style="23" customWidth="1"/>
    <col min="8200" max="8200" width="10.7109375" style="23" customWidth="1"/>
    <col min="8201" max="8207" width="11.42578125" style="23"/>
    <col min="8208" max="8208" width="13.85546875" style="23" customWidth="1"/>
    <col min="8209" max="8449" width="11.42578125" style="23"/>
    <col min="8450" max="8450" width="28.85546875" style="23" customWidth="1"/>
    <col min="8451" max="8455" width="11.7109375" style="23" customWidth="1"/>
    <col min="8456" max="8456" width="10.7109375" style="23" customWidth="1"/>
    <col min="8457" max="8463" width="11.42578125" style="23"/>
    <col min="8464" max="8464" width="13.85546875" style="23" customWidth="1"/>
    <col min="8465" max="8705" width="11.42578125" style="23"/>
    <col min="8706" max="8706" width="28.85546875" style="23" customWidth="1"/>
    <col min="8707" max="8711" width="11.7109375" style="23" customWidth="1"/>
    <col min="8712" max="8712" width="10.7109375" style="23" customWidth="1"/>
    <col min="8713" max="8719" width="11.42578125" style="23"/>
    <col min="8720" max="8720" width="13.85546875" style="23" customWidth="1"/>
    <col min="8721" max="8961" width="11.42578125" style="23"/>
    <col min="8962" max="8962" width="28.85546875" style="23" customWidth="1"/>
    <col min="8963" max="8967" width="11.7109375" style="23" customWidth="1"/>
    <col min="8968" max="8968" width="10.7109375" style="23" customWidth="1"/>
    <col min="8969" max="8975" width="11.42578125" style="23"/>
    <col min="8976" max="8976" width="13.85546875" style="23" customWidth="1"/>
    <col min="8977" max="9217" width="11.42578125" style="23"/>
    <col min="9218" max="9218" width="28.85546875" style="23" customWidth="1"/>
    <col min="9219" max="9223" width="11.7109375" style="23" customWidth="1"/>
    <col min="9224" max="9224" width="10.7109375" style="23" customWidth="1"/>
    <col min="9225" max="9231" width="11.42578125" style="23"/>
    <col min="9232" max="9232" width="13.85546875" style="23" customWidth="1"/>
    <col min="9233" max="9473" width="11.42578125" style="23"/>
    <col min="9474" max="9474" width="28.85546875" style="23" customWidth="1"/>
    <col min="9475" max="9479" width="11.7109375" style="23" customWidth="1"/>
    <col min="9480" max="9480" width="10.7109375" style="23" customWidth="1"/>
    <col min="9481" max="9487" width="11.42578125" style="23"/>
    <col min="9488" max="9488" width="13.85546875" style="23" customWidth="1"/>
    <col min="9489" max="9729" width="11.42578125" style="23"/>
    <col min="9730" max="9730" width="28.85546875" style="23" customWidth="1"/>
    <col min="9731" max="9735" width="11.7109375" style="23" customWidth="1"/>
    <col min="9736" max="9736" width="10.7109375" style="23" customWidth="1"/>
    <col min="9737" max="9743" width="11.42578125" style="23"/>
    <col min="9744" max="9744" width="13.85546875" style="23" customWidth="1"/>
    <col min="9745" max="9985" width="11.42578125" style="23"/>
    <col min="9986" max="9986" width="28.85546875" style="23" customWidth="1"/>
    <col min="9987" max="9991" width="11.7109375" style="23" customWidth="1"/>
    <col min="9992" max="9992" width="10.7109375" style="23" customWidth="1"/>
    <col min="9993" max="9999" width="11.42578125" style="23"/>
    <col min="10000" max="10000" width="13.85546875" style="23" customWidth="1"/>
    <col min="10001" max="10241" width="11.42578125" style="23"/>
    <col min="10242" max="10242" width="28.85546875" style="23" customWidth="1"/>
    <col min="10243" max="10247" width="11.7109375" style="23" customWidth="1"/>
    <col min="10248" max="10248" width="10.7109375" style="23" customWidth="1"/>
    <col min="10249" max="10255" width="11.42578125" style="23"/>
    <col min="10256" max="10256" width="13.85546875" style="23" customWidth="1"/>
    <col min="10257" max="10497" width="11.42578125" style="23"/>
    <col min="10498" max="10498" width="28.85546875" style="23" customWidth="1"/>
    <col min="10499" max="10503" width="11.7109375" style="23" customWidth="1"/>
    <col min="10504" max="10504" width="10.7109375" style="23" customWidth="1"/>
    <col min="10505" max="10511" width="11.42578125" style="23"/>
    <col min="10512" max="10512" width="13.85546875" style="23" customWidth="1"/>
    <col min="10513" max="10753" width="11.42578125" style="23"/>
    <col min="10754" max="10754" width="28.85546875" style="23" customWidth="1"/>
    <col min="10755" max="10759" width="11.7109375" style="23" customWidth="1"/>
    <col min="10760" max="10760" width="10.7109375" style="23" customWidth="1"/>
    <col min="10761" max="10767" width="11.42578125" style="23"/>
    <col min="10768" max="10768" width="13.85546875" style="23" customWidth="1"/>
    <col min="10769" max="11009" width="11.42578125" style="23"/>
    <col min="11010" max="11010" width="28.85546875" style="23" customWidth="1"/>
    <col min="11011" max="11015" width="11.7109375" style="23" customWidth="1"/>
    <col min="11016" max="11016" width="10.7109375" style="23" customWidth="1"/>
    <col min="11017" max="11023" width="11.42578125" style="23"/>
    <col min="11024" max="11024" width="13.85546875" style="23" customWidth="1"/>
    <col min="11025" max="11265" width="11.42578125" style="23"/>
    <col min="11266" max="11266" width="28.85546875" style="23" customWidth="1"/>
    <col min="11267" max="11271" width="11.7109375" style="23" customWidth="1"/>
    <col min="11272" max="11272" width="10.7109375" style="23" customWidth="1"/>
    <col min="11273" max="11279" width="11.42578125" style="23"/>
    <col min="11280" max="11280" width="13.85546875" style="23" customWidth="1"/>
    <col min="11281" max="11521" width="11.42578125" style="23"/>
    <col min="11522" max="11522" width="28.85546875" style="23" customWidth="1"/>
    <col min="11523" max="11527" width="11.7109375" style="23" customWidth="1"/>
    <col min="11528" max="11528" width="10.7109375" style="23" customWidth="1"/>
    <col min="11529" max="11535" width="11.42578125" style="23"/>
    <col min="11536" max="11536" width="13.85546875" style="23" customWidth="1"/>
    <col min="11537" max="11777" width="11.42578125" style="23"/>
    <col min="11778" max="11778" width="28.85546875" style="23" customWidth="1"/>
    <col min="11779" max="11783" width="11.7109375" style="23" customWidth="1"/>
    <col min="11784" max="11784" width="10.7109375" style="23" customWidth="1"/>
    <col min="11785" max="11791" width="11.42578125" style="23"/>
    <col min="11792" max="11792" width="13.85546875" style="23" customWidth="1"/>
    <col min="11793" max="12033" width="11.42578125" style="23"/>
    <col min="12034" max="12034" width="28.85546875" style="23" customWidth="1"/>
    <col min="12035" max="12039" width="11.7109375" style="23" customWidth="1"/>
    <col min="12040" max="12040" width="10.7109375" style="23" customWidth="1"/>
    <col min="12041" max="12047" width="11.42578125" style="23"/>
    <col min="12048" max="12048" width="13.85546875" style="23" customWidth="1"/>
    <col min="12049" max="12289" width="11.42578125" style="23"/>
    <col min="12290" max="12290" width="28.85546875" style="23" customWidth="1"/>
    <col min="12291" max="12295" width="11.7109375" style="23" customWidth="1"/>
    <col min="12296" max="12296" width="10.7109375" style="23" customWidth="1"/>
    <col min="12297" max="12303" width="11.42578125" style="23"/>
    <col min="12304" max="12304" width="13.85546875" style="23" customWidth="1"/>
    <col min="12305" max="12545" width="11.42578125" style="23"/>
    <col min="12546" max="12546" width="28.85546875" style="23" customWidth="1"/>
    <col min="12547" max="12551" width="11.7109375" style="23" customWidth="1"/>
    <col min="12552" max="12552" width="10.7109375" style="23" customWidth="1"/>
    <col min="12553" max="12559" width="11.42578125" style="23"/>
    <col min="12560" max="12560" width="13.85546875" style="23" customWidth="1"/>
    <col min="12561" max="12801" width="11.42578125" style="23"/>
    <col min="12802" max="12802" width="28.85546875" style="23" customWidth="1"/>
    <col min="12803" max="12807" width="11.7109375" style="23" customWidth="1"/>
    <col min="12808" max="12808" width="10.7109375" style="23" customWidth="1"/>
    <col min="12809" max="12815" width="11.42578125" style="23"/>
    <col min="12816" max="12816" width="13.85546875" style="23" customWidth="1"/>
    <col min="12817" max="13057" width="11.42578125" style="23"/>
    <col min="13058" max="13058" width="28.85546875" style="23" customWidth="1"/>
    <col min="13059" max="13063" width="11.7109375" style="23" customWidth="1"/>
    <col min="13064" max="13064" width="10.7109375" style="23" customWidth="1"/>
    <col min="13065" max="13071" width="11.42578125" style="23"/>
    <col min="13072" max="13072" width="13.85546875" style="23" customWidth="1"/>
    <col min="13073" max="13313" width="11.42578125" style="23"/>
    <col min="13314" max="13314" width="28.85546875" style="23" customWidth="1"/>
    <col min="13315" max="13319" width="11.7109375" style="23" customWidth="1"/>
    <col min="13320" max="13320" width="10.7109375" style="23" customWidth="1"/>
    <col min="13321" max="13327" width="11.42578125" style="23"/>
    <col min="13328" max="13328" width="13.85546875" style="23" customWidth="1"/>
    <col min="13329" max="13569" width="11.42578125" style="23"/>
    <col min="13570" max="13570" width="28.85546875" style="23" customWidth="1"/>
    <col min="13571" max="13575" width="11.7109375" style="23" customWidth="1"/>
    <col min="13576" max="13576" width="10.7109375" style="23" customWidth="1"/>
    <col min="13577" max="13583" width="11.42578125" style="23"/>
    <col min="13584" max="13584" width="13.85546875" style="23" customWidth="1"/>
    <col min="13585" max="13825" width="11.42578125" style="23"/>
    <col min="13826" max="13826" width="28.85546875" style="23" customWidth="1"/>
    <col min="13827" max="13831" width="11.7109375" style="23" customWidth="1"/>
    <col min="13832" max="13832" width="10.7109375" style="23" customWidth="1"/>
    <col min="13833" max="13839" width="11.42578125" style="23"/>
    <col min="13840" max="13840" width="13.85546875" style="23" customWidth="1"/>
    <col min="13841" max="14081" width="11.42578125" style="23"/>
    <col min="14082" max="14082" width="28.85546875" style="23" customWidth="1"/>
    <col min="14083" max="14087" width="11.7109375" style="23" customWidth="1"/>
    <col min="14088" max="14088" width="10.7109375" style="23" customWidth="1"/>
    <col min="14089" max="14095" width="11.42578125" style="23"/>
    <col min="14096" max="14096" width="13.85546875" style="23" customWidth="1"/>
    <col min="14097" max="14337" width="11.42578125" style="23"/>
    <col min="14338" max="14338" width="28.85546875" style="23" customWidth="1"/>
    <col min="14339" max="14343" width="11.7109375" style="23" customWidth="1"/>
    <col min="14344" max="14344" width="10.7109375" style="23" customWidth="1"/>
    <col min="14345" max="14351" width="11.42578125" style="23"/>
    <col min="14352" max="14352" width="13.85546875" style="23" customWidth="1"/>
    <col min="14353" max="14593" width="11.42578125" style="23"/>
    <col min="14594" max="14594" width="28.85546875" style="23" customWidth="1"/>
    <col min="14595" max="14599" width="11.7109375" style="23" customWidth="1"/>
    <col min="14600" max="14600" width="10.7109375" style="23" customWidth="1"/>
    <col min="14601" max="14607" width="11.42578125" style="23"/>
    <col min="14608" max="14608" width="13.85546875" style="23" customWidth="1"/>
    <col min="14609" max="14849" width="11.42578125" style="23"/>
    <col min="14850" max="14850" width="28.85546875" style="23" customWidth="1"/>
    <col min="14851" max="14855" width="11.7109375" style="23" customWidth="1"/>
    <col min="14856" max="14856" width="10.7109375" style="23" customWidth="1"/>
    <col min="14857" max="14863" width="11.42578125" style="23"/>
    <col min="14864" max="14864" width="13.85546875" style="23" customWidth="1"/>
    <col min="14865" max="15105" width="11.42578125" style="23"/>
    <col min="15106" max="15106" width="28.85546875" style="23" customWidth="1"/>
    <col min="15107" max="15111" width="11.7109375" style="23" customWidth="1"/>
    <col min="15112" max="15112" width="10.7109375" style="23" customWidth="1"/>
    <col min="15113" max="15119" width="11.42578125" style="23"/>
    <col min="15120" max="15120" width="13.85546875" style="23" customWidth="1"/>
    <col min="15121" max="15361" width="11.42578125" style="23"/>
    <col min="15362" max="15362" width="28.85546875" style="23" customWidth="1"/>
    <col min="15363" max="15367" width="11.7109375" style="23" customWidth="1"/>
    <col min="15368" max="15368" width="10.7109375" style="23" customWidth="1"/>
    <col min="15369" max="15375" width="11.42578125" style="23"/>
    <col min="15376" max="15376" width="13.85546875" style="23" customWidth="1"/>
    <col min="15377" max="15617" width="11.42578125" style="23"/>
    <col min="15618" max="15618" width="28.85546875" style="23" customWidth="1"/>
    <col min="15619" max="15623" width="11.7109375" style="23" customWidth="1"/>
    <col min="15624" max="15624" width="10.7109375" style="23" customWidth="1"/>
    <col min="15625" max="15631" width="11.42578125" style="23"/>
    <col min="15632" max="15632" width="13.85546875" style="23" customWidth="1"/>
    <col min="15633" max="15873" width="11.42578125" style="23"/>
    <col min="15874" max="15874" width="28.85546875" style="23" customWidth="1"/>
    <col min="15875" max="15879" width="11.7109375" style="23" customWidth="1"/>
    <col min="15880" max="15880" width="10.7109375" style="23" customWidth="1"/>
    <col min="15881" max="15887" width="11.42578125" style="23"/>
    <col min="15888" max="15888" width="13.85546875" style="23" customWidth="1"/>
    <col min="15889" max="16129" width="11.42578125" style="23"/>
    <col min="16130" max="16130" width="28.85546875" style="23" customWidth="1"/>
    <col min="16131" max="16135" width="11.7109375" style="23" customWidth="1"/>
    <col min="16136" max="16136" width="10.7109375" style="23" customWidth="1"/>
    <col min="16137" max="16143" width="11.42578125" style="23"/>
    <col min="16144" max="16144" width="13.85546875" style="23" customWidth="1"/>
    <col min="16145" max="16384" width="11.42578125" style="23"/>
  </cols>
  <sheetData>
    <row r="7" spans="2:7" ht="25.5" customHeight="1">
      <c r="B7" s="27" t="s">
        <v>236</v>
      </c>
      <c r="C7" s="28"/>
      <c r="D7" s="28"/>
      <c r="E7" s="28"/>
      <c r="F7" s="28"/>
      <c r="G7" s="29"/>
    </row>
    <row r="8" spans="2:7" ht="41.25" customHeight="1">
      <c r="B8" s="30" t="s">
        <v>237</v>
      </c>
      <c r="C8" s="31" t="str">
        <f>actualizaciones!A3</f>
        <v>acumulado julio 2009</v>
      </c>
      <c r="D8" s="32" t="s">
        <v>27</v>
      </c>
      <c r="E8" s="31" t="str">
        <f>actualizaciones!A2</f>
        <v xml:space="preserve">acumulado julio 2010 </v>
      </c>
      <c r="F8" s="32" t="s">
        <v>27</v>
      </c>
      <c r="G8" s="32" t="s">
        <v>28</v>
      </c>
    </row>
    <row r="9" spans="2:7">
      <c r="B9" s="98" t="s">
        <v>238</v>
      </c>
      <c r="C9" s="99"/>
      <c r="D9" s="99"/>
      <c r="E9" s="99"/>
      <c r="F9" s="99"/>
      <c r="G9" s="100"/>
    </row>
    <row r="10" spans="2:7">
      <c r="B10" s="103" t="s">
        <v>239</v>
      </c>
      <c r="C10" s="34">
        <f>GETPIVOTDATA("dato",'[1]tabla dinámica pernocta'!$A$6,"categoría","TOTAL","año",2009)</f>
        <v>224256</v>
      </c>
      <c r="D10" s="35">
        <f>C10/$C$10</f>
        <v>1</v>
      </c>
      <c r="E10" s="34">
        <f>GETPIVOTDATA("dato",'[1]tabla dinámica pernocta'!$A$6,"categoría","TOTAL","año",2010)</f>
        <v>193668</v>
      </c>
      <c r="F10" s="35">
        <f>E10/$E$10</f>
        <v>1</v>
      </c>
      <c r="G10" s="36">
        <f>(E10-C10)/C10</f>
        <v>-0.13639768835616439</v>
      </c>
    </row>
    <row r="11" spans="2:7">
      <c r="B11" s="98" t="s">
        <v>240</v>
      </c>
      <c r="C11" s="107"/>
      <c r="D11" s="99"/>
      <c r="E11" s="107"/>
      <c r="F11" s="99"/>
      <c r="G11" s="326"/>
    </row>
    <row r="12" spans="2:7">
      <c r="B12" s="109" t="s">
        <v>241</v>
      </c>
      <c r="C12" s="329">
        <f>GETPIVOTDATA("dato",'[1]tabla dinámica pernocta'!$A$6,"categoría","Hoteleros","año",2009)</f>
        <v>224256</v>
      </c>
      <c r="D12" s="110">
        <f>C12/$C$10</f>
        <v>1</v>
      </c>
      <c r="E12" s="329">
        <f>GETPIVOTDATA("dato",'[1]tabla dinámica pernocta'!$A$6,"categoría","Hoteleros","año",2010)</f>
        <v>193668</v>
      </c>
      <c r="F12" s="110">
        <f>E12/$E$10</f>
        <v>1</v>
      </c>
      <c r="G12" s="330">
        <f>(E12-C12)/C12</f>
        <v>-0.13639768835616439</v>
      </c>
    </row>
    <row r="13" spans="2:7">
      <c r="B13" s="109" t="s">
        <v>229</v>
      </c>
      <c r="C13" s="331">
        <f>GETPIVOTDATA("dato",'[1]tabla dinámica pernocta'!$A$6,"categoría","4* y 5*","año",2009)</f>
        <v>71618</v>
      </c>
      <c r="D13" s="39">
        <f>C13/$C$10</f>
        <v>0.31935823344748859</v>
      </c>
      <c r="E13" s="331">
        <f>GETPIVOTDATA("dato",'[1]tabla dinámica pernocta'!$A$6,"categoría","4* y 5*","año",2010)</f>
        <v>55034</v>
      </c>
      <c r="F13" s="39">
        <f>E13/$E$10</f>
        <v>0.28416671830142304</v>
      </c>
      <c r="G13" s="332">
        <f>(E13-C13)/C13</f>
        <v>-0.23156189784691</v>
      </c>
    </row>
    <row r="14" spans="2:7">
      <c r="B14" s="109" t="s">
        <v>228</v>
      </c>
      <c r="C14" s="331">
        <f>GETPIVOTDATA("dato",'[1]tabla dinámica pernocta'!$A$6,"categoría","3 *","año",2009)</f>
        <v>57372</v>
      </c>
      <c r="D14" s="39">
        <f>C14/$C$10</f>
        <v>0.2558326198630137</v>
      </c>
      <c r="E14" s="331">
        <f>GETPIVOTDATA("dato",'[1]tabla dinámica pernocta'!$A$6,"categoría","3 *","año",2010)</f>
        <v>58666</v>
      </c>
      <c r="F14" s="39">
        <f>E14/$E$10</f>
        <v>0.30292046182126114</v>
      </c>
      <c r="G14" s="332">
        <f>(E14-C14)/C14</f>
        <v>2.2554556229519625E-2</v>
      </c>
    </row>
    <row r="15" spans="2:7">
      <c r="B15" s="109" t="s">
        <v>227</v>
      </c>
      <c r="C15" s="331">
        <f>GETPIVOTDATA("dato",'[1]tabla dinámica pernocta'!$A$6,"categoría","2*","año",2009)</f>
        <v>75411</v>
      </c>
      <c r="D15" s="39">
        <f>C15/$C$10</f>
        <v>0.33627193921232879</v>
      </c>
      <c r="E15" s="331">
        <f>GETPIVOTDATA("dato",'[1]tabla dinámica pernocta'!$A$6,"categoría","2*","año",2010)</f>
        <v>61775</v>
      </c>
      <c r="F15" s="39">
        <f>E15/$E$10</f>
        <v>0.31897370758204763</v>
      </c>
      <c r="G15" s="332">
        <f>(E15-C15)/C15</f>
        <v>-0.18082242643646151</v>
      </c>
    </row>
    <row r="16" spans="2:7">
      <c r="B16" s="109" t="s">
        <v>226</v>
      </c>
      <c r="C16" s="331">
        <f>GETPIVOTDATA("dato",'[1]tabla dinámica pernocta'!$A$6,"categoría","1*","año",2009)</f>
        <v>19855</v>
      </c>
      <c r="D16" s="39">
        <f>C16/$C$10</f>
        <v>8.853720747716895E-2</v>
      </c>
      <c r="E16" s="331">
        <f>GETPIVOTDATA("dato",'[1]tabla dinámica pernocta'!$A$6,"categoría","1*","año",2010)</f>
        <v>18193</v>
      </c>
      <c r="F16" s="39">
        <f>E16/$E$10</f>
        <v>9.393911229526819E-2</v>
      </c>
      <c r="G16" s="332">
        <f>(E16-C16)/C16</f>
        <v>-8.3706874842608914E-2</v>
      </c>
    </row>
    <row r="17" spans="2:12">
      <c r="B17" s="98" t="s">
        <v>242</v>
      </c>
      <c r="C17" s="107"/>
      <c r="D17" s="333"/>
      <c r="E17" s="107"/>
      <c r="F17" s="333"/>
      <c r="G17" s="326"/>
    </row>
    <row r="18" spans="2:12">
      <c r="B18" s="334" t="s">
        <v>243</v>
      </c>
      <c r="C18" s="112">
        <f>GETPIVOTDATA("dato",'[1]tabla dinámica pernocta'!$A$6,"categoría","Extrahoteleros","año",2009)</f>
        <v>0</v>
      </c>
      <c r="D18" s="110">
        <f>C18/$C$10</f>
        <v>0</v>
      </c>
      <c r="E18" s="112">
        <f>GETPIVOTDATA("dato",'[1]tabla dinámica pernocta'!$A$6,"categoría","Extrahoteleros","año",2010)</f>
        <v>0</v>
      </c>
      <c r="F18" s="110">
        <f>E18/$E$10</f>
        <v>0</v>
      </c>
      <c r="G18" s="328" t="s">
        <v>32</v>
      </c>
    </row>
    <row r="19" spans="2:12">
      <c r="B19" s="42" t="s">
        <v>90</v>
      </c>
      <c r="C19" s="43"/>
      <c r="D19" s="43"/>
      <c r="E19" s="43"/>
      <c r="F19" s="43"/>
      <c r="G19" s="44"/>
    </row>
    <row r="20" spans="2:12" ht="15" customHeight="1" thickBot="1"/>
    <row r="21" spans="2:12" ht="30" customHeight="1" thickBot="1">
      <c r="G21" s="60" t="s">
        <v>50</v>
      </c>
    </row>
    <row r="27" spans="2:12"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</row>
  </sheetData>
  <mergeCells count="1">
    <mergeCell ref="B7:G7"/>
  </mergeCells>
  <hyperlinks>
    <hyperlink ref="G21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5" customHeight="1" thickBot="1"/>
    <row r="30" spans="2:12" ht="30" customHeight="1" thickBot="1">
      <c r="I30" s="60" t="s">
        <v>52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3:L73"/>
  <sheetViews>
    <sheetView showGridLines="0" showRowColHeaders="0" showZeros="0" zoomScaleNormal="100" workbookViewId="0">
      <selection activeCell="I13" sqref="I13"/>
    </sheetView>
  </sheetViews>
  <sheetFormatPr baseColWidth="10" defaultRowHeight="12.75" outlineLevelRow="1"/>
  <cols>
    <col min="1" max="1" width="13.7109375" style="336" customWidth="1"/>
    <col min="2" max="2" width="12.140625" style="336" customWidth="1"/>
    <col min="3" max="3" width="13.5703125" style="336" customWidth="1"/>
    <col min="4" max="18" width="11" style="336" customWidth="1"/>
    <col min="19" max="21" width="10.42578125" style="336" customWidth="1"/>
    <col min="22" max="25" width="9.28515625" style="336" customWidth="1"/>
    <col min="26" max="37" width="7.28515625" style="336" customWidth="1"/>
    <col min="38" max="38" width="11.5703125" style="336" bestFit="1" customWidth="1"/>
    <col min="39" max="258" width="11.42578125" style="336"/>
    <col min="259" max="259" width="13.7109375" style="336" customWidth="1"/>
    <col min="260" max="260" width="12.140625" style="336" customWidth="1"/>
    <col min="261" max="274" width="11" style="336" customWidth="1"/>
    <col min="275" max="277" width="10.42578125" style="336" customWidth="1"/>
    <col min="278" max="279" width="7.28515625" style="336" customWidth="1"/>
    <col min="280" max="280" width="7.85546875" style="336" bestFit="1" customWidth="1"/>
    <col min="281" max="293" width="7.28515625" style="336" customWidth="1"/>
    <col min="294" max="294" width="11.5703125" style="336" bestFit="1" customWidth="1"/>
    <col min="295" max="514" width="11.42578125" style="336"/>
    <col min="515" max="515" width="13.7109375" style="336" customWidth="1"/>
    <col min="516" max="516" width="12.140625" style="336" customWidth="1"/>
    <col min="517" max="530" width="11" style="336" customWidth="1"/>
    <col min="531" max="533" width="10.42578125" style="336" customWidth="1"/>
    <col min="534" max="535" width="7.28515625" style="336" customWidth="1"/>
    <col min="536" max="536" width="7.85546875" style="336" bestFit="1" customWidth="1"/>
    <col min="537" max="549" width="7.28515625" style="336" customWidth="1"/>
    <col min="550" max="550" width="11.5703125" style="336" bestFit="1" customWidth="1"/>
    <col min="551" max="770" width="11.42578125" style="336"/>
    <col min="771" max="771" width="13.7109375" style="336" customWidth="1"/>
    <col min="772" max="772" width="12.140625" style="336" customWidth="1"/>
    <col min="773" max="786" width="11" style="336" customWidth="1"/>
    <col min="787" max="789" width="10.42578125" style="336" customWidth="1"/>
    <col min="790" max="791" width="7.28515625" style="336" customWidth="1"/>
    <col min="792" max="792" width="7.85546875" style="336" bestFit="1" customWidth="1"/>
    <col min="793" max="805" width="7.28515625" style="336" customWidth="1"/>
    <col min="806" max="806" width="11.5703125" style="336" bestFit="1" customWidth="1"/>
    <col min="807" max="1026" width="11.42578125" style="336"/>
    <col min="1027" max="1027" width="13.7109375" style="336" customWidth="1"/>
    <col min="1028" max="1028" width="12.140625" style="336" customWidth="1"/>
    <col min="1029" max="1042" width="11" style="336" customWidth="1"/>
    <col min="1043" max="1045" width="10.42578125" style="336" customWidth="1"/>
    <col min="1046" max="1047" width="7.28515625" style="336" customWidth="1"/>
    <col min="1048" max="1048" width="7.85546875" style="336" bestFit="1" customWidth="1"/>
    <col min="1049" max="1061" width="7.28515625" style="336" customWidth="1"/>
    <col min="1062" max="1062" width="11.5703125" style="336" bestFit="1" customWidth="1"/>
    <col min="1063" max="1282" width="11.42578125" style="336"/>
    <col min="1283" max="1283" width="13.7109375" style="336" customWidth="1"/>
    <col min="1284" max="1284" width="12.140625" style="336" customWidth="1"/>
    <col min="1285" max="1298" width="11" style="336" customWidth="1"/>
    <col min="1299" max="1301" width="10.42578125" style="336" customWidth="1"/>
    <col min="1302" max="1303" width="7.28515625" style="336" customWidth="1"/>
    <col min="1304" max="1304" width="7.85546875" style="336" bestFit="1" customWidth="1"/>
    <col min="1305" max="1317" width="7.28515625" style="336" customWidth="1"/>
    <col min="1318" max="1318" width="11.5703125" style="336" bestFit="1" customWidth="1"/>
    <col min="1319" max="1538" width="11.42578125" style="336"/>
    <col min="1539" max="1539" width="13.7109375" style="336" customWidth="1"/>
    <col min="1540" max="1540" width="12.140625" style="336" customWidth="1"/>
    <col min="1541" max="1554" width="11" style="336" customWidth="1"/>
    <col min="1555" max="1557" width="10.42578125" style="336" customWidth="1"/>
    <col min="1558" max="1559" width="7.28515625" style="336" customWidth="1"/>
    <col min="1560" max="1560" width="7.85546875" style="336" bestFit="1" customWidth="1"/>
    <col min="1561" max="1573" width="7.28515625" style="336" customWidth="1"/>
    <col min="1574" max="1574" width="11.5703125" style="336" bestFit="1" customWidth="1"/>
    <col min="1575" max="1794" width="11.42578125" style="336"/>
    <col min="1795" max="1795" width="13.7109375" style="336" customWidth="1"/>
    <col min="1796" max="1796" width="12.140625" style="336" customWidth="1"/>
    <col min="1797" max="1810" width="11" style="336" customWidth="1"/>
    <col min="1811" max="1813" width="10.42578125" style="336" customWidth="1"/>
    <col min="1814" max="1815" width="7.28515625" style="336" customWidth="1"/>
    <col min="1816" max="1816" width="7.85546875" style="336" bestFit="1" customWidth="1"/>
    <col min="1817" max="1829" width="7.28515625" style="336" customWidth="1"/>
    <col min="1830" max="1830" width="11.5703125" style="336" bestFit="1" customWidth="1"/>
    <col min="1831" max="2050" width="11.42578125" style="336"/>
    <col min="2051" max="2051" width="13.7109375" style="336" customWidth="1"/>
    <col min="2052" max="2052" width="12.140625" style="336" customWidth="1"/>
    <col min="2053" max="2066" width="11" style="336" customWidth="1"/>
    <col min="2067" max="2069" width="10.42578125" style="336" customWidth="1"/>
    <col min="2070" max="2071" width="7.28515625" style="336" customWidth="1"/>
    <col min="2072" max="2072" width="7.85546875" style="336" bestFit="1" customWidth="1"/>
    <col min="2073" max="2085" width="7.28515625" style="336" customWidth="1"/>
    <col min="2086" max="2086" width="11.5703125" style="336" bestFit="1" customWidth="1"/>
    <col min="2087" max="2306" width="11.42578125" style="336"/>
    <col min="2307" max="2307" width="13.7109375" style="336" customWidth="1"/>
    <col min="2308" max="2308" width="12.140625" style="336" customWidth="1"/>
    <col min="2309" max="2322" width="11" style="336" customWidth="1"/>
    <col min="2323" max="2325" width="10.42578125" style="336" customWidth="1"/>
    <col min="2326" max="2327" width="7.28515625" style="336" customWidth="1"/>
    <col min="2328" max="2328" width="7.85546875" style="336" bestFit="1" customWidth="1"/>
    <col min="2329" max="2341" width="7.28515625" style="336" customWidth="1"/>
    <col min="2342" max="2342" width="11.5703125" style="336" bestFit="1" customWidth="1"/>
    <col min="2343" max="2562" width="11.42578125" style="336"/>
    <col min="2563" max="2563" width="13.7109375" style="336" customWidth="1"/>
    <col min="2564" max="2564" width="12.140625" style="336" customWidth="1"/>
    <col min="2565" max="2578" width="11" style="336" customWidth="1"/>
    <col min="2579" max="2581" width="10.42578125" style="336" customWidth="1"/>
    <col min="2582" max="2583" width="7.28515625" style="336" customWidth="1"/>
    <col min="2584" max="2584" width="7.85546875" style="336" bestFit="1" customWidth="1"/>
    <col min="2585" max="2597" width="7.28515625" style="336" customWidth="1"/>
    <col min="2598" max="2598" width="11.5703125" style="336" bestFit="1" customWidth="1"/>
    <col min="2599" max="2818" width="11.42578125" style="336"/>
    <col min="2819" max="2819" width="13.7109375" style="336" customWidth="1"/>
    <col min="2820" max="2820" width="12.140625" style="336" customWidth="1"/>
    <col min="2821" max="2834" width="11" style="336" customWidth="1"/>
    <col min="2835" max="2837" width="10.42578125" style="336" customWidth="1"/>
    <col min="2838" max="2839" width="7.28515625" style="336" customWidth="1"/>
    <col min="2840" max="2840" width="7.85546875" style="336" bestFit="1" customWidth="1"/>
    <col min="2841" max="2853" width="7.28515625" style="336" customWidth="1"/>
    <col min="2854" max="2854" width="11.5703125" style="336" bestFit="1" customWidth="1"/>
    <col min="2855" max="3074" width="11.42578125" style="336"/>
    <col min="3075" max="3075" width="13.7109375" style="336" customWidth="1"/>
    <col min="3076" max="3076" width="12.140625" style="336" customWidth="1"/>
    <col min="3077" max="3090" width="11" style="336" customWidth="1"/>
    <col min="3091" max="3093" width="10.42578125" style="336" customWidth="1"/>
    <col min="3094" max="3095" width="7.28515625" style="336" customWidth="1"/>
    <col min="3096" max="3096" width="7.85546875" style="336" bestFit="1" customWidth="1"/>
    <col min="3097" max="3109" width="7.28515625" style="336" customWidth="1"/>
    <col min="3110" max="3110" width="11.5703125" style="336" bestFit="1" customWidth="1"/>
    <col min="3111" max="3330" width="11.42578125" style="336"/>
    <col min="3331" max="3331" width="13.7109375" style="336" customWidth="1"/>
    <col min="3332" max="3332" width="12.140625" style="336" customWidth="1"/>
    <col min="3333" max="3346" width="11" style="336" customWidth="1"/>
    <col min="3347" max="3349" width="10.42578125" style="336" customWidth="1"/>
    <col min="3350" max="3351" width="7.28515625" style="336" customWidth="1"/>
    <col min="3352" max="3352" width="7.85546875" style="336" bestFit="1" customWidth="1"/>
    <col min="3353" max="3365" width="7.28515625" style="336" customWidth="1"/>
    <col min="3366" max="3366" width="11.5703125" style="336" bestFit="1" customWidth="1"/>
    <col min="3367" max="3586" width="11.42578125" style="336"/>
    <col min="3587" max="3587" width="13.7109375" style="336" customWidth="1"/>
    <col min="3588" max="3588" width="12.140625" style="336" customWidth="1"/>
    <col min="3589" max="3602" width="11" style="336" customWidth="1"/>
    <col min="3603" max="3605" width="10.42578125" style="336" customWidth="1"/>
    <col min="3606" max="3607" width="7.28515625" style="336" customWidth="1"/>
    <col min="3608" max="3608" width="7.85546875" style="336" bestFit="1" customWidth="1"/>
    <col min="3609" max="3621" width="7.28515625" style="336" customWidth="1"/>
    <col min="3622" max="3622" width="11.5703125" style="336" bestFit="1" customWidth="1"/>
    <col min="3623" max="3842" width="11.42578125" style="336"/>
    <col min="3843" max="3843" width="13.7109375" style="336" customWidth="1"/>
    <col min="3844" max="3844" width="12.140625" style="336" customWidth="1"/>
    <col min="3845" max="3858" width="11" style="336" customWidth="1"/>
    <col min="3859" max="3861" width="10.42578125" style="336" customWidth="1"/>
    <col min="3862" max="3863" width="7.28515625" style="336" customWidth="1"/>
    <col min="3864" max="3864" width="7.85546875" style="336" bestFit="1" customWidth="1"/>
    <col min="3865" max="3877" width="7.28515625" style="336" customWidth="1"/>
    <col min="3878" max="3878" width="11.5703125" style="336" bestFit="1" customWidth="1"/>
    <col min="3879" max="4098" width="11.42578125" style="336"/>
    <col min="4099" max="4099" width="13.7109375" style="336" customWidth="1"/>
    <col min="4100" max="4100" width="12.140625" style="336" customWidth="1"/>
    <col min="4101" max="4114" width="11" style="336" customWidth="1"/>
    <col min="4115" max="4117" width="10.42578125" style="336" customWidth="1"/>
    <col min="4118" max="4119" width="7.28515625" style="336" customWidth="1"/>
    <col min="4120" max="4120" width="7.85546875" style="336" bestFit="1" customWidth="1"/>
    <col min="4121" max="4133" width="7.28515625" style="336" customWidth="1"/>
    <col min="4134" max="4134" width="11.5703125" style="336" bestFit="1" customWidth="1"/>
    <col min="4135" max="4354" width="11.42578125" style="336"/>
    <col min="4355" max="4355" width="13.7109375" style="336" customWidth="1"/>
    <col min="4356" max="4356" width="12.140625" style="336" customWidth="1"/>
    <col min="4357" max="4370" width="11" style="336" customWidth="1"/>
    <col min="4371" max="4373" width="10.42578125" style="336" customWidth="1"/>
    <col min="4374" max="4375" width="7.28515625" style="336" customWidth="1"/>
    <col min="4376" max="4376" width="7.85546875" style="336" bestFit="1" customWidth="1"/>
    <col min="4377" max="4389" width="7.28515625" style="336" customWidth="1"/>
    <col min="4390" max="4390" width="11.5703125" style="336" bestFit="1" customWidth="1"/>
    <col min="4391" max="4610" width="11.42578125" style="336"/>
    <col min="4611" max="4611" width="13.7109375" style="336" customWidth="1"/>
    <col min="4612" max="4612" width="12.140625" style="336" customWidth="1"/>
    <col min="4613" max="4626" width="11" style="336" customWidth="1"/>
    <col min="4627" max="4629" width="10.42578125" style="336" customWidth="1"/>
    <col min="4630" max="4631" width="7.28515625" style="336" customWidth="1"/>
    <col min="4632" max="4632" width="7.85546875" style="336" bestFit="1" customWidth="1"/>
    <col min="4633" max="4645" width="7.28515625" style="336" customWidth="1"/>
    <col min="4646" max="4646" width="11.5703125" style="336" bestFit="1" customWidth="1"/>
    <col min="4647" max="4866" width="11.42578125" style="336"/>
    <col min="4867" max="4867" width="13.7109375" style="336" customWidth="1"/>
    <col min="4868" max="4868" width="12.140625" style="336" customWidth="1"/>
    <col min="4869" max="4882" width="11" style="336" customWidth="1"/>
    <col min="4883" max="4885" width="10.42578125" style="336" customWidth="1"/>
    <col min="4886" max="4887" width="7.28515625" style="336" customWidth="1"/>
    <col min="4888" max="4888" width="7.85546875" style="336" bestFit="1" customWidth="1"/>
    <col min="4889" max="4901" width="7.28515625" style="336" customWidth="1"/>
    <col min="4902" max="4902" width="11.5703125" style="336" bestFit="1" customWidth="1"/>
    <col min="4903" max="5122" width="11.42578125" style="336"/>
    <col min="5123" max="5123" width="13.7109375" style="336" customWidth="1"/>
    <col min="5124" max="5124" width="12.140625" style="336" customWidth="1"/>
    <col min="5125" max="5138" width="11" style="336" customWidth="1"/>
    <col min="5139" max="5141" width="10.42578125" style="336" customWidth="1"/>
    <col min="5142" max="5143" width="7.28515625" style="336" customWidth="1"/>
    <col min="5144" max="5144" width="7.85546875" style="336" bestFit="1" customWidth="1"/>
    <col min="5145" max="5157" width="7.28515625" style="336" customWidth="1"/>
    <col min="5158" max="5158" width="11.5703125" style="336" bestFit="1" customWidth="1"/>
    <col min="5159" max="5378" width="11.42578125" style="336"/>
    <col min="5379" max="5379" width="13.7109375" style="336" customWidth="1"/>
    <col min="5380" max="5380" width="12.140625" style="336" customWidth="1"/>
    <col min="5381" max="5394" width="11" style="336" customWidth="1"/>
    <col min="5395" max="5397" width="10.42578125" style="336" customWidth="1"/>
    <col min="5398" max="5399" width="7.28515625" style="336" customWidth="1"/>
    <col min="5400" max="5400" width="7.85546875" style="336" bestFit="1" customWidth="1"/>
    <col min="5401" max="5413" width="7.28515625" style="336" customWidth="1"/>
    <col min="5414" max="5414" width="11.5703125" style="336" bestFit="1" customWidth="1"/>
    <col min="5415" max="5634" width="11.42578125" style="336"/>
    <col min="5635" max="5635" width="13.7109375" style="336" customWidth="1"/>
    <col min="5636" max="5636" width="12.140625" style="336" customWidth="1"/>
    <col min="5637" max="5650" width="11" style="336" customWidth="1"/>
    <col min="5651" max="5653" width="10.42578125" style="336" customWidth="1"/>
    <col min="5654" max="5655" width="7.28515625" style="336" customWidth="1"/>
    <col min="5656" max="5656" width="7.85546875" style="336" bestFit="1" customWidth="1"/>
    <col min="5657" max="5669" width="7.28515625" style="336" customWidth="1"/>
    <col min="5670" max="5670" width="11.5703125" style="336" bestFit="1" customWidth="1"/>
    <col min="5671" max="5890" width="11.42578125" style="336"/>
    <col min="5891" max="5891" width="13.7109375" style="336" customWidth="1"/>
    <col min="5892" max="5892" width="12.140625" style="336" customWidth="1"/>
    <col min="5893" max="5906" width="11" style="336" customWidth="1"/>
    <col min="5907" max="5909" width="10.42578125" style="336" customWidth="1"/>
    <col min="5910" max="5911" width="7.28515625" style="336" customWidth="1"/>
    <col min="5912" max="5912" width="7.85546875" style="336" bestFit="1" customWidth="1"/>
    <col min="5913" max="5925" width="7.28515625" style="336" customWidth="1"/>
    <col min="5926" max="5926" width="11.5703125" style="336" bestFit="1" customWidth="1"/>
    <col min="5927" max="6146" width="11.42578125" style="336"/>
    <col min="6147" max="6147" width="13.7109375" style="336" customWidth="1"/>
    <col min="6148" max="6148" width="12.140625" style="336" customWidth="1"/>
    <col min="6149" max="6162" width="11" style="336" customWidth="1"/>
    <col min="6163" max="6165" width="10.42578125" style="336" customWidth="1"/>
    <col min="6166" max="6167" width="7.28515625" style="336" customWidth="1"/>
    <col min="6168" max="6168" width="7.85546875" style="336" bestFit="1" customWidth="1"/>
    <col min="6169" max="6181" width="7.28515625" style="336" customWidth="1"/>
    <col min="6182" max="6182" width="11.5703125" style="336" bestFit="1" customWidth="1"/>
    <col min="6183" max="6402" width="11.42578125" style="336"/>
    <col min="6403" max="6403" width="13.7109375" style="336" customWidth="1"/>
    <col min="6404" max="6404" width="12.140625" style="336" customWidth="1"/>
    <col min="6405" max="6418" width="11" style="336" customWidth="1"/>
    <col min="6419" max="6421" width="10.42578125" style="336" customWidth="1"/>
    <col min="6422" max="6423" width="7.28515625" style="336" customWidth="1"/>
    <col min="6424" max="6424" width="7.85546875" style="336" bestFit="1" customWidth="1"/>
    <col min="6425" max="6437" width="7.28515625" style="336" customWidth="1"/>
    <col min="6438" max="6438" width="11.5703125" style="336" bestFit="1" customWidth="1"/>
    <col min="6439" max="6658" width="11.42578125" style="336"/>
    <col min="6659" max="6659" width="13.7109375" style="336" customWidth="1"/>
    <col min="6660" max="6660" width="12.140625" style="336" customWidth="1"/>
    <col min="6661" max="6674" width="11" style="336" customWidth="1"/>
    <col min="6675" max="6677" width="10.42578125" style="336" customWidth="1"/>
    <col min="6678" max="6679" width="7.28515625" style="336" customWidth="1"/>
    <col min="6680" max="6680" width="7.85546875" style="336" bestFit="1" customWidth="1"/>
    <col min="6681" max="6693" width="7.28515625" style="336" customWidth="1"/>
    <col min="6694" max="6694" width="11.5703125" style="336" bestFit="1" customWidth="1"/>
    <col min="6695" max="6914" width="11.42578125" style="336"/>
    <col min="6915" max="6915" width="13.7109375" style="336" customWidth="1"/>
    <col min="6916" max="6916" width="12.140625" style="336" customWidth="1"/>
    <col min="6917" max="6930" width="11" style="336" customWidth="1"/>
    <col min="6931" max="6933" width="10.42578125" style="336" customWidth="1"/>
    <col min="6934" max="6935" width="7.28515625" style="336" customWidth="1"/>
    <col min="6936" max="6936" width="7.85546875" style="336" bestFit="1" customWidth="1"/>
    <col min="6937" max="6949" width="7.28515625" style="336" customWidth="1"/>
    <col min="6950" max="6950" width="11.5703125" style="336" bestFit="1" customWidth="1"/>
    <col min="6951" max="7170" width="11.42578125" style="336"/>
    <col min="7171" max="7171" width="13.7109375" style="336" customWidth="1"/>
    <col min="7172" max="7172" width="12.140625" style="336" customWidth="1"/>
    <col min="7173" max="7186" width="11" style="336" customWidth="1"/>
    <col min="7187" max="7189" width="10.42578125" style="336" customWidth="1"/>
    <col min="7190" max="7191" width="7.28515625" style="336" customWidth="1"/>
    <col min="7192" max="7192" width="7.85546875" style="336" bestFit="1" customWidth="1"/>
    <col min="7193" max="7205" width="7.28515625" style="336" customWidth="1"/>
    <col min="7206" max="7206" width="11.5703125" style="336" bestFit="1" customWidth="1"/>
    <col min="7207" max="7426" width="11.42578125" style="336"/>
    <col min="7427" max="7427" width="13.7109375" style="336" customWidth="1"/>
    <col min="7428" max="7428" width="12.140625" style="336" customWidth="1"/>
    <col min="7429" max="7442" width="11" style="336" customWidth="1"/>
    <col min="7443" max="7445" width="10.42578125" style="336" customWidth="1"/>
    <col min="7446" max="7447" width="7.28515625" style="336" customWidth="1"/>
    <col min="7448" max="7448" width="7.85546875" style="336" bestFit="1" customWidth="1"/>
    <col min="7449" max="7461" width="7.28515625" style="336" customWidth="1"/>
    <col min="7462" max="7462" width="11.5703125" style="336" bestFit="1" customWidth="1"/>
    <col min="7463" max="7682" width="11.42578125" style="336"/>
    <col min="7683" max="7683" width="13.7109375" style="336" customWidth="1"/>
    <col min="7684" max="7684" width="12.140625" style="336" customWidth="1"/>
    <col min="7685" max="7698" width="11" style="336" customWidth="1"/>
    <col min="7699" max="7701" width="10.42578125" style="336" customWidth="1"/>
    <col min="7702" max="7703" width="7.28515625" style="336" customWidth="1"/>
    <col min="7704" max="7704" width="7.85546875" style="336" bestFit="1" customWidth="1"/>
    <col min="7705" max="7717" width="7.28515625" style="336" customWidth="1"/>
    <col min="7718" max="7718" width="11.5703125" style="336" bestFit="1" customWidth="1"/>
    <col min="7719" max="7938" width="11.42578125" style="336"/>
    <col min="7939" max="7939" width="13.7109375" style="336" customWidth="1"/>
    <col min="7940" max="7940" width="12.140625" style="336" customWidth="1"/>
    <col min="7941" max="7954" width="11" style="336" customWidth="1"/>
    <col min="7955" max="7957" width="10.42578125" style="336" customWidth="1"/>
    <col min="7958" max="7959" width="7.28515625" style="336" customWidth="1"/>
    <col min="7960" max="7960" width="7.85546875" style="336" bestFit="1" customWidth="1"/>
    <col min="7961" max="7973" width="7.28515625" style="336" customWidth="1"/>
    <col min="7974" max="7974" width="11.5703125" style="336" bestFit="1" customWidth="1"/>
    <col min="7975" max="8194" width="11.42578125" style="336"/>
    <col min="8195" max="8195" width="13.7109375" style="336" customWidth="1"/>
    <col min="8196" max="8196" width="12.140625" style="336" customWidth="1"/>
    <col min="8197" max="8210" width="11" style="336" customWidth="1"/>
    <col min="8211" max="8213" width="10.42578125" style="336" customWidth="1"/>
    <col min="8214" max="8215" width="7.28515625" style="336" customWidth="1"/>
    <col min="8216" max="8216" width="7.85546875" style="336" bestFit="1" customWidth="1"/>
    <col min="8217" max="8229" width="7.28515625" style="336" customWidth="1"/>
    <col min="8230" max="8230" width="11.5703125" style="336" bestFit="1" customWidth="1"/>
    <col min="8231" max="8450" width="11.42578125" style="336"/>
    <col min="8451" max="8451" width="13.7109375" style="336" customWidth="1"/>
    <col min="8452" max="8452" width="12.140625" style="336" customWidth="1"/>
    <col min="8453" max="8466" width="11" style="336" customWidth="1"/>
    <col min="8467" max="8469" width="10.42578125" style="336" customWidth="1"/>
    <col min="8470" max="8471" width="7.28515625" style="336" customWidth="1"/>
    <col min="8472" max="8472" width="7.85546875" style="336" bestFit="1" customWidth="1"/>
    <col min="8473" max="8485" width="7.28515625" style="336" customWidth="1"/>
    <col min="8486" max="8486" width="11.5703125" style="336" bestFit="1" customWidth="1"/>
    <col min="8487" max="8706" width="11.42578125" style="336"/>
    <col min="8707" max="8707" width="13.7109375" style="336" customWidth="1"/>
    <col min="8708" max="8708" width="12.140625" style="336" customWidth="1"/>
    <col min="8709" max="8722" width="11" style="336" customWidth="1"/>
    <col min="8723" max="8725" width="10.42578125" style="336" customWidth="1"/>
    <col min="8726" max="8727" width="7.28515625" style="336" customWidth="1"/>
    <col min="8728" max="8728" width="7.85546875" style="336" bestFit="1" customWidth="1"/>
    <col min="8729" max="8741" width="7.28515625" style="336" customWidth="1"/>
    <col min="8742" max="8742" width="11.5703125" style="336" bestFit="1" customWidth="1"/>
    <col min="8743" max="8962" width="11.42578125" style="336"/>
    <col min="8963" max="8963" width="13.7109375" style="336" customWidth="1"/>
    <col min="8964" max="8964" width="12.140625" style="336" customWidth="1"/>
    <col min="8965" max="8978" width="11" style="336" customWidth="1"/>
    <col min="8979" max="8981" width="10.42578125" style="336" customWidth="1"/>
    <col min="8982" max="8983" width="7.28515625" style="336" customWidth="1"/>
    <col min="8984" max="8984" width="7.85546875" style="336" bestFit="1" customWidth="1"/>
    <col min="8985" max="8997" width="7.28515625" style="336" customWidth="1"/>
    <col min="8998" max="8998" width="11.5703125" style="336" bestFit="1" customWidth="1"/>
    <col min="8999" max="9218" width="11.42578125" style="336"/>
    <col min="9219" max="9219" width="13.7109375" style="336" customWidth="1"/>
    <col min="9220" max="9220" width="12.140625" style="336" customWidth="1"/>
    <col min="9221" max="9234" width="11" style="336" customWidth="1"/>
    <col min="9235" max="9237" width="10.42578125" style="336" customWidth="1"/>
    <col min="9238" max="9239" width="7.28515625" style="336" customWidth="1"/>
    <col min="9240" max="9240" width="7.85546875" style="336" bestFit="1" customWidth="1"/>
    <col min="9241" max="9253" width="7.28515625" style="336" customWidth="1"/>
    <col min="9254" max="9254" width="11.5703125" style="336" bestFit="1" customWidth="1"/>
    <col min="9255" max="9474" width="11.42578125" style="336"/>
    <col min="9475" max="9475" width="13.7109375" style="336" customWidth="1"/>
    <col min="9476" max="9476" width="12.140625" style="336" customWidth="1"/>
    <col min="9477" max="9490" width="11" style="336" customWidth="1"/>
    <col min="9491" max="9493" width="10.42578125" style="336" customWidth="1"/>
    <col min="9494" max="9495" width="7.28515625" style="336" customWidth="1"/>
    <col min="9496" max="9496" width="7.85546875" style="336" bestFit="1" customWidth="1"/>
    <col min="9497" max="9509" width="7.28515625" style="336" customWidth="1"/>
    <col min="9510" max="9510" width="11.5703125" style="336" bestFit="1" customWidth="1"/>
    <col min="9511" max="9730" width="11.42578125" style="336"/>
    <col min="9731" max="9731" width="13.7109375" style="336" customWidth="1"/>
    <col min="9732" max="9732" width="12.140625" style="336" customWidth="1"/>
    <col min="9733" max="9746" width="11" style="336" customWidth="1"/>
    <col min="9747" max="9749" width="10.42578125" style="336" customWidth="1"/>
    <col min="9750" max="9751" width="7.28515625" style="336" customWidth="1"/>
    <col min="9752" max="9752" width="7.85546875" style="336" bestFit="1" customWidth="1"/>
    <col min="9753" max="9765" width="7.28515625" style="336" customWidth="1"/>
    <col min="9766" max="9766" width="11.5703125" style="336" bestFit="1" customWidth="1"/>
    <col min="9767" max="9986" width="11.42578125" style="336"/>
    <col min="9987" max="9987" width="13.7109375" style="336" customWidth="1"/>
    <col min="9988" max="9988" width="12.140625" style="336" customWidth="1"/>
    <col min="9989" max="10002" width="11" style="336" customWidth="1"/>
    <col min="10003" max="10005" width="10.42578125" style="336" customWidth="1"/>
    <col min="10006" max="10007" width="7.28515625" style="336" customWidth="1"/>
    <col min="10008" max="10008" width="7.85546875" style="336" bestFit="1" customWidth="1"/>
    <col min="10009" max="10021" width="7.28515625" style="336" customWidth="1"/>
    <col min="10022" max="10022" width="11.5703125" style="336" bestFit="1" customWidth="1"/>
    <col min="10023" max="10242" width="11.42578125" style="336"/>
    <col min="10243" max="10243" width="13.7109375" style="336" customWidth="1"/>
    <col min="10244" max="10244" width="12.140625" style="336" customWidth="1"/>
    <col min="10245" max="10258" width="11" style="336" customWidth="1"/>
    <col min="10259" max="10261" width="10.42578125" style="336" customWidth="1"/>
    <col min="10262" max="10263" width="7.28515625" style="336" customWidth="1"/>
    <col min="10264" max="10264" width="7.85546875" style="336" bestFit="1" customWidth="1"/>
    <col min="10265" max="10277" width="7.28515625" style="336" customWidth="1"/>
    <col min="10278" max="10278" width="11.5703125" style="336" bestFit="1" customWidth="1"/>
    <col min="10279" max="10498" width="11.42578125" style="336"/>
    <col min="10499" max="10499" width="13.7109375" style="336" customWidth="1"/>
    <col min="10500" max="10500" width="12.140625" style="336" customWidth="1"/>
    <col min="10501" max="10514" width="11" style="336" customWidth="1"/>
    <col min="10515" max="10517" width="10.42578125" style="336" customWidth="1"/>
    <col min="10518" max="10519" width="7.28515625" style="336" customWidth="1"/>
    <col min="10520" max="10520" width="7.85546875" style="336" bestFit="1" customWidth="1"/>
    <col min="10521" max="10533" width="7.28515625" style="336" customWidth="1"/>
    <col min="10534" max="10534" width="11.5703125" style="336" bestFit="1" customWidth="1"/>
    <col min="10535" max="10754" width="11.42578125" style="336"/>
    <col min="10755" max="10755" width="13.7109375" style="336" customWidth="1"/>
    <col min="10756" max="10756" width="12.140625" style="336" customWidth="1"/>
    <col min="10757" max="10770" width="11" style="336" customWidth="1"/>
    <col min="10771" max="10773" width="10.42578125" style="336" customWidth="1"/>
    <col min="10774" max="10775" width="7.28515625" style="336" customWidth="1"/>
    <col min="10776" max="10776" width="7.85546875" style="336" bestFit="1" customWidth="1"/>
    <col min="10777" max="10789" width="7.28515625" style="336" customWidth="1"/>
    <col min="10790" max="10790" width="11.5703125" style="336" bestFit="1" customWidth="1"/>
    <col min="10791" max="11010" width="11.42578125" style="336"/>
    <col min="11011" max="11011" width="13.7109375" style="336" customWidth="1"/>
    <col min="11012" max="11012" width="12.140625" style="336" customWidth="1"/>
    <col min="11013" max="11026" width="11" style="336" customWidth="1"/>
    <col min="11027" max="11029" width="10.42578125" style="336" customWidth="1"/>
    <col min="11030" max="11031" width="7.28515625" style="336" customWidth="1"/>
    <col min="11032" max="11032" width="7.85546875" style="336" bestFit="1" customWidth="1"/>
    <col min="11033" max="11045" width="7.28515625" style="336" customWidth="1"/>
    <col min="11046" max="11046" width="11.5703125" style="336" bestFit="1" customWidth="1"/>
    <col min="11047" max="11266" width="11.42578125" style="336"/>
    <col min="11267" max="11267" width="13.7109375" style="336" customWidth="1"/>
    <col min="11268" max="11268" width="12.140625" style="336" customWidth="1"/>
    <col min="11269" max="11282" width="11" style="336" customWidth="1"/>
    <col min="11283" max="11285" width="10.42578125" style="336" customWidth="1"/>
    <col min="11286" max="11287" width="7.28515625" style="336" customWidth="1"/>
    <col min="11288" max="11288" width="7.85546875" style="336" bestFit="1" customWidth="1"/>
    <col min="11289" max="11301" width="7.28515625" style="336" customWidth="1"/>
    <col min="11302" max="11302" width="11.5703125" style="336" bestFit="1" customWidth="1"/>
    <col min="11303" max="11522" width="11.42578125" style="336"/>
    <col min="11523" max="11523" width="13.7109375" style="336" customWidth="1"/>
    <col min="11524" max="11524" width="12.140625" style="336" customWidth="1"/>
    <col min="11525" max="11538" width="11" style="336" customWidth="1"/>
    <col min="11539" max="11541" width="10.42578125" style="336" customWidth="1"/>
    <col min="11542" max="11543" width="7.28515625" style="336" customWidth="1"/>
    <col min="11544" max="11544" width="7.85546875" style="336" bestFit="1" customWidth="1"/>
    <col min="11545" max="11557" width="7.28515625" style="336" customWidth="1"/>
    <col min="11558" max="11558" width="11.5703125" style="336" bestFit="1" customWidth="1"/>
    <col min="11559" max="11778" width="11.42578125" style="336"/>
    <col min="11779" max="11779" width="13.7109375" style="336" customWidth="1"/>
    <col min="11780" max="11780" width="12.140625" style="336" customWidth="1"/>
    <col min="11781" max="11794" width="11" style="336" customWidth="1"/>
    <col min="11795" max="11797" width="10.42578125" style="336" customWidth="1"/>
    <col min="11798" max="11799" width="7.28515625" style="336" customWidth="1"/>
    <col min="11800" max="11800" width="7.85546875" style="336" bestFit="1" customWidth="1"/>
    <col min="11801" max="11813" width="7.28515625" style="336" customWidth="1"/>
    <col min="11814" max="11814" width="11.5703125" style="336" bestFit="1" customWidth="1"/>
    <col min="11815" max="12034" width="11.42578125" style="336"/>
    <col min="12035" max="12035" width="13.7109375" style="336" customWidth="1"/>
    <col min="12036" max="12036" width="12.140625" style="336" customWidth="1"/>
    <col min="12037" max="12050" width="11" style="336" customWidth="1"/>
    <col min="12051" max="12053" width="10.42578125" style="336" customWidth="1"/>
    <col min="12054" max="12055" width="7.28515625" style="336" customWidth="1"/>
    <col min="12056" max="12056" width="7.85546875" style="336" bestFit="1" customWidth="1"/>
    <col min="12057" max="12069" width="7.28515625" style="336" customWidth="1"/>
    <col min="12070" max="12070" width="11.5703125" style="336" bestFit="1" customWidth="1"/>
    <col min="12071" max="12290" width="11.42578125" style="336"/>
    <col min="12291" max="12291" width="13.7109375" style="336" customWidth="1"/>
    <col min="12292" max="12292" width="12.140625" style="336" customWidth="1"/>
    <col min="12293" max="12306" width="11" style="336" customWidth="1"/>
    <col min="12307" max="12309" width="10.42578125" style="336" customWidth="1"/>
    <col min="12310" max="12311" width="7.28515625" style="336" customWidth="1"/>
    <col min="12312" max="12312" width="7.85546875" style="336" bestFit="1" customWidth="1"/>
    <col min="12313" max="12325" width="7.28515625" style="336" customWidth="1"/>
    <col min="12326" max="12326" width="11.5703125" style="336" bestFit="1" customWidth="1"/>
    <col min="12327" max="12546" width="11.42578125" style="336"/>
    <col min="12547" max="12547" width="13.7109375" style="336" customWidth="1"/>
    <col min="12548" max="12548" width="12.140625" style="336" customWidth="1"/>
    <col min="12549" max="12562" width="11" style="336" customWidth="1"/>
    <col min="12563" max="12565" width="10.42578125" style="336" customWidth="1"/>
    <col min="12566" max="12567" width="7.28515625" style="336" customWidth="1"/>
    <col min="12568" max="12568" width="7.85546875" style="336" bestFit="1" customWidth="1"/>
    <col min="12569" max="12581" width="7.28515625" style="336" customWidth="1"/>
    <col min="12582" max="12582" width="11.5703125" style="336" bestFit="1" customWidth="1"/>
    <col min="12583" max="12802" width="11.42578125" style="336"/>
    <col min="12803" max="12803" width="13.7109375" style="336" customWidth="1"/>
    <col min="12804" max="12804" width="12.140625" style="336" customWidth="1"/>
    <col min="12805" max="12818" width="11" style="336" customWidth="1"/>
    <col min="12819" max="12821" width="10.42578125" style="336" customWidth="1"/>
    <col min="12822" max="12823" width="7.28515625" style="336" customWidth="1"/>
    <col min="12824" max="12824" width="7.85546875" style="336" bestFit="1" customWidth="1"/>
    <col min="12825" max="12837" width="7.28515625" style="336" customWidth="1"/>
    <col min="12838" max="12838" width="11.5703125" style="336" bestFit="1" customWidth="1"/>
    <col min="12839" max="13058" width="11.42578125" style="336"/>
    <col min="13059" max="13059" width="13.7109375" style="336" customWidth="1"/>
    <col min="13060" max="13060" width="12.140625" style="336" customWidth="1"/>
    <col min="13061" max="13074" width="11" style="336" customWidth="1"/>
    <col min="13075" max="13077" width="10.42578125" style="336" customWidth="1"/>
    <col min="13078" max="13079" width="7.28515625" style="336" customWidth="1"/>
    <col min="13080" max="13080" width="7.85546875" style="336" bestFit="1" customWidth="1"/>
    <col min="13081" max="13093" width="7.28515625" style="336" customWidth="1"/>
    <col min="13094" max="13094" width="11.5703125" style="336" bestFit="1" customWidth="1"/>
    <col min="13095" max="13314" width="11.42578125" style="336"/>
    <col min="13315" max="13315" width="13.7109375" style="336" customWidth="1"/>
    <col min="13316" max="13316" width="12.140625" style="336" customWidth="1"/>
    <col min="13317" max="13330" width="11" style="336" customWidth="1"/>
    <col min="13331" max="13333" width="10.42578125" style="336" customWidth="1"/>
    <col min="13334" max="13335" width="7.28515625" style="336" customWidth="1"/>
    <col min="13336" max="13336" width="7.85546875" style="336" bestFit="1" customWidth="1"/>
    <col min="13337" max="13349" width="7.28515625" style="336" customWidth="1"/>
    <col min="13350" max="13350" width="11.5703125" style="336" bestFit="1" customWidth="1"/>
    <col min="13351" max="13570" width="11.42578125" style="336"/>
    <col min="13571" max="13571" width="13.7109375" style="336" customWidth="1"/>
    <col min="13572" max="13572" width="12.140625" style="336" customWidth="1"/>
    <col min="13573" max="13586" width="11" style="336" customWidth="1"/>
    <col min="13587" max="13589" width="10.42578125" style="336" customWidth="1"/>
    <col min="13590" max="13591" width="7.28515625" style="336" customWidth="1"/>
    <col min="13592" max="13592" width="7.85546875" style="336" bestFit="1" customWidth="1"/>
    <col min="13593" max="13605" width="7.28515625" style="336" customWidth="1"/>
    <col min="13606" max="13606" width="11.5703125" style="336" bestFit="1" customWidth="1"/>
    <col min="13607" max="13826" width="11.42578125" style="336"/>
    <col min="13827" max="13827" width="13.7109375" style="336" customWidth="1"/>
    <col min="13828" max="13828" width="12.140625" style="336" customWidth="1"/>
    <col min="13829" max="13842" width="11" style="336" customWidth="1"/>
    <col min="13843" max="13845" width="10.42578125" style="336" customWidth="1"/>
    <col min="13846" max="13847" width="7.28515625" style="336" customWidth="1"/>
    <col min="13848" max="13848" width="7.85546875" style="336" bestFit="1" customWidth="1"/>
    <col min="13849" max="13861" width="7.28515625" style="336" customWidth="1"/>
    <col min="13862" max="13862" width="11.5703125" style="336" bestFit="1" customWidth="1"/>
    <col min="13863" max="14082" width="11.42578125" style="336"/>
    <col min="14083" max="14083" width="13.7109375" style="336" customWidth="1"/>
    <col min="14084" max="14084" width="12.140625" style="336" customWidth="1"/>
    <col min="14085" max="14098" width="11" style="336" customWidth="1"/>
    <col min="14099" max="14101" width="10.42578125" style="336" customWidth="1"/>
    <col min="14102" max="14103" width="7.28515625" style="336" customWidth="1"/>
    <col min="14104" max="14104" width="7.85546875" style="336" bestFit="1" customWidth="1"/>
    <col min="14105" max="14117" width="7.28515625" style="336" customWidth="1"/>
    <col min="14118" max="14118" width="11.5703125" style="336" bestFit="1" customWidth="1"/>
    <col min="14119" max="14338" width="11.42578125" style="336"/>
    <col min="14339" max="14339" width="13.7109375" style="336" customWidth="1"/>
    <col min="14340" max="14340" width="12.140625" style="336" customWidth="1"/>
    <col min="14341" max="14354" width="11" style="336" customWidth="1"/>
    <col min="14355" max="14357" width="10.42578125" style="336" customWidth="1"/>
    <col min="14358" max="14359" width="7.28515625" style="336" customWidth="1"/>
    <col min="14360" max="14360" width="7.85546875" style="336" bestFit="1" customWidth="1"/>
    <col min="14361" max="14373" width="7.28515625" style="336" customWidth="1"/>
    <col min="14374" max="14374" width="11.5703125" style="336" bestFit="1" customWidth="1"/>
    <col min="14375" max="14594" width="11.42578125" style="336"/>
    <col min="14595" max="14595" width="13.7109375" style="336" customWidth="1"/>
    <col min="14596" max="14596" width="12.140625" style="336" customWidth="1"/>
    <col min="14597" max="14610" width="11" style="336" customWidth="1"/>
    <col min="14611" max="14613" width="10.42578125" style="336" customWidth="1"/>
    <col min="14614" max="14615" width="7.28515625" style="336" customWidth="1"/>
    <col min="14616" max="14616" width="7.85546875" style="336" bestFit="1" customWidth="1"/>
    <col min="14617" max="14629" width="7.28515625" style="336" customWidth="1"/>
    <col min="14630" max="14630" width="11.5703125" style="336" bestFit="1" customWidth="1"/>
    <col min="14631" max="14850" width="11.42578125" style="336"/>
    <col min="14851" max="14851" width="13.7109375" style="336" customWidth="1"/>
    <col min="14852" max="14852" width="12.140625" style="336" customWidth="1"/>
    <col min="14853" max="14866" width="11" style="336" customWidth="1"/>
    <col min="14867" max="14869" width="10.42578125" style="336" customWidth="1"/>
    <col min="14870" max="14871" width="7.28515625" style="336" customWidth="1"/>
    <col min="14872" max="14872" width="7.85546875" style="336" bestFit="1" customWidth="1"/>
    <col min="14873" max="14885" width="7.28515625" style="336" customWidth="1"/>
    <col min="14886" max="14886" width="11.5703125" style="336" bestFit="1" customWidth="1"/>
    <col min="14887" max="15106" width="11.42578125" style="336"/>
    <col min="15107" max="15107" width="13.7109375" style="336" customWidth="1"/>
    <col min="15108" max="15108" width="12.140625" style="336" customWidth="1"/>
    <col min="15109" max="15122" width="11" style="336" customWidth="1"/>
    <col min="15123" max="15125" width="10.42578125" style="336" customWidth="1"/>
    <col min="15126" max="15127" width="7.28515625" style="336" customWidth="1"/>
    <col min="15128" max="15128" width="7.85546875" style="336" bestFit="1" customWidth="1"/>
    <col min="15129" max="15141" width="7.28515625" style="336" customWidth="1"/>
    <col min="15142" max="15142" width="11.5703125" style="336" bestFit="1" customWidth="1"/>
    <col min="15143" max="15362" width="11.42578125" style="336"/>
    <col min="15363" max="15363" width="13.7109375" style="336" customWidth="1"/>
    <col min="15364" max="15364" width="12.140625" style="336" customWidth="1"/>
    <col min="15365" max="15378" width="11" style="336" customWidth="1"/>
    <col min="15379" max="15381" width="10.42578125" style="336" customWidth="1"/>
    <col min="15382" max="15383" width="7.28515625" style="336" customWidth="1"/>
    <col min="15384" max="15384" width="7.85546875" style="336" bestFit="1" customWidth="1"/>
    <col min="15385" max="15397" width="7.28515625" style="336" customWidth="1"/>
    <col min="15398" max="15398" width="11.5703125" style="336" bestFit="1" customWidth="1"/>
    <col min="15399" max="15618" width="11.42578125" style="336"/>
    <col min="15619" max="15619" width="13.7109375" style="336" customWidth="1"/>
    <col min="15620" max="15620" width="12.140625" style="336" customWidth="1"/>
    <col min="15621" max="15634" width="11" style="336" customWidth="1"/>
    <col min="15635" max="15637" width="10.42578125" style="336" customWidth="1"/>
    <col min="15638" max="15639" width="7.28515625" style="336" customWidth="1"/>
    <col min="15640" max="15640" width="7.85546875" style="336" bestFit="1" customWidth="1"/>
    <col min="15641" max="15653" width="7.28515625" style="336" customWidth="1"/>
    <col min="15654" max="15654" width="11.5703125" style="336" bestFit="1" customWidth="1"/>
    <col min="15655" max="15874" width="11.42578125" style="336"/>
    <col min="15875" max="15875" width="13.7109375" style="336" customWidth="1"/>
    <col min="15876" max="15876" width="12.140625" style="336" customWidth="1"/>
    <col min="15877" max="15890" width="11" style="336" customWidth="1"/>
    <col min="15891" max="15893" width="10.42578125" style="336" customWidth="1"/>
    <col min="15894" max="15895" width="7.28515625" style="336" customWidth="1"/>
    <col min="15896" max="15896" width="7.85546875" style="336" bestFit="1" customWidth="1"/>
    <col min="15897" max="15909" width="7.28515625" style="336" customWidth="1"/>
    <col min="15910" max="15910" width="11.5703125" style="336" bestFit="1" customWidth="1"/>
    <col min="15911" max="16130" width="11.42578125" style="336"/>
    <col min="16131" max="16131" width="13.7109375" style="336" customWidth="1"/>
    <col min="16132" max="16132" width="12.140625" style="336" customWidth="1"/>
    <col min="16133" max="16146" width="11" style="336" customWidth="1"/>
    <col min="16147" max="16149" width="10.42578125" style="336" customWidth="1"/>
    <col min="16150" max="16151" width="7.28515625" style="336" customWidth="1"/>
    <col min="16152" max="16152" width="7.85546875" style="336" bestFit="1" customWidth="1"/>
    <col min="16153" max="16165" width="7.28515625" style="336" customWidth="1"/>
    <col min="16166" max="16166" width="11.5703125" style="336" bestFit="1" customWidth="1"/>
    <col min="16167" max="16384" width="11.42578125" style="336"/>
  </cols>
  <sheetData>
    <row r="3" spans="2:12">
      <c r="B3" s="335"/>
    </row>
    <row r="4" spans="2:12">
      <c r="B4" s="335"/>
    </row>
    <row r="5" spans="2:12" ht="13.5" thickBot="1">
      <c r="B5" s="335"/>
    </row>
    <row r="6" spans="2:12" ht="25.5" customHeight="1" thickBot="1">
      <c r="B6" s="219" t="s">
        <v>244</v>
      </c>
      <c r="C6" s="220"/>
      <c r="D6" s="220"/>
      <c r="E6" s="220"/>
      <c r="F6" s="220"/>
      <c r="H6" s="60" t="s">
        <v>50</v>
      </c>
    </row>
    <row r="7" spans="2:12" ht="42" customHeight="1">
      <c r="B7" s="298"/>
      <c r="C7" s="299" t="s">
        <v>245</v>
      </c>
      <c r="D7" s="299" t="s">
        <v>197</v>
      </c>
      <c r="E7" s="299" t="s">
        <v>198</v>
      </c>
      <c r="F7" s="299" t="s">
        <v>199</v>
      </c>
    </row>
    <row r="8" spans="2:12" ht="15" hidden="1">
      <c r="B8" s="300" t="s">
        <v>200</v>
      </c>
      <c r="C8" s="52" t="e">
        <f>GETPIVOTDATA("dato",'[1]tabla dinámica pernocta'!$P$5,"categoría","TOTAL","mes",12,"año",2010)</f>
        <v>#REF!</v>
      </c>
      <c r="D8" s="39" t="str">
        <f t="shared" ref="D8:D17" si="0">IFERROR((C8-C9)/C9,"-")</f>
        <v>-</v>
      </c>
      <c r="E8" s="39" t="e">
        <f>C8/C21-1</f>
        <v>#REF!</v>
      </c>
      <c r="F8" s="301" t="e">
        <f>((SUM(C8:C19)/SUM(C21:C32))-1)</f>
        <v>#REF!</v>
      </c>
    </row>
    <row r="9" spans="2:12" ht="15" hidden="1">
      <c r="B9" s="300" t="s">
        <v>201</v>
      </c>
      <c r="C9" s="52" t="e">
        <f>GETPIVOTDATA("dato",'[1]tabla dinámica pernocta'!$P$5,"categoría","TOTAL","mes",11,"año",2010)</f>
        <v>#REF!</v>
      </c>
      <c r="D9" s="39" t="str">
        <f t="shared" si="0"/>
        <v>-</v>
      </c>
      <c r="E9" s="39" t="e">
        <f t="shared" ref="E9:E59" si="1">C9/C22-1</f>
        <v>#REF!</v>
      </c>
      <c r="F9" s="301" t="e">
        <f>((SUM(C9:C19,C21)/SUM(C22:C32,C34))-1)</f>
        <v>#REF!</v>
      </c>
    </row>
    <row r="10" spans="2:12" ht="15" hidden="1">
      <c r="B10" s="300" t="s">
        <v>202</v>
      </c>
      <c r="C10" s="52" t="e">
        <f>GETPIVOTDATA("dato",'[1]tabla dinámica pernocta'!$P$5,"categoría","TOTAL","mes",10,"año",2010)</f>
        <v>#REF!</v>
      </c>
      <c r="D10" s="39" t="str">
        <f t="shared" si="0"/>
        <v>-</v>
      </c>
      <c r="E10" s="39" t="e">
        <f t="shared" si="1"/>
        <v>#REF!</v>
      </c>
      <c r="F10" s="301" t="e">
        <f>((SUM(C10:C19,C21:C22)/SUM(C23:C32,C34:C35))-1)</f>
        <v>#REF!</v>
      </c>
    </row>
    <row r="11" spans="2:12" ht="15" hidden="1">
      <c r="B11" s="300" t="s">
        <v>203</v>
      </c>
      <c r="C11" s="52" t="e">
        <f>GETPIVOTDATA("dato",'[1]tabla dinámica pernocta'!$P$5,"categoría","TOTAL","mes",9,"año",2010)</f>
        <v>#REF!</v>
      </c>
      <c r="D11" s="39" t="str">
        <f t="shared" si="0"/>
        <v>-</v>
      </c>
      <c r="E11" s="39" t="e">
        <f t="shared" si="1"/>
        <v>#REF!</v>
      </c>
      <c r="F11" s="301" t="e">
        <f>((SUM(C11:C19,C21:C23)/SUM(C24:C32,C34:C36))-1)</f>
        <v>#REF!</v>
      </c>
    </row>
    <row r="12" spans="2:12" ht="15" hidden="1">
      <c r="B12" s="300" t="s">
        <v>204</v>
      </c>
      <c r="C12" s="52" t="e">
        <f>GETPIVOTDATA("dato",'[1]tabla dinámica pernocta'!$P$5,"categoría","TOTAL","mes",8,"año",2010)</f>
        <v>#REF!</v>
      </c>
      <c r="D12" s="39" t="str">
        <f t="shared" si="0"/>
        <v>-</v>
      </c>
      <c r="E12" s="39" t="e">
        <f t="shared" si="1"/>
        <v>#REF!</v>
      </c>
      <c r="F12" s="301" t="e">
        <f>((SUM(C12:C19,C21:C24)/SUM(C25:C32,C34:C37))-1)</f>
        <v>#REF!</v>
      </c>
      <c r="G12" s="12"/>
      <c r="H12" s="12"/>
      <c r="I12" s="12"/>
      <c r="J12" s="12"/>
      <c r="K12" s="12"/>
      <c r="L12" s="12"/>
    </row>
    <row r="13" spans="2:12" ht="15">
      <c r="B13" s="300" t="s">
        <v>205</v>
      </c>
      <c r="C13" s="52">
        <f>GETPIVOTDATA("dato",'[1]tabla dinámica pernocta'!$P$5,"categoría","TOTAL","mes",7,"año",2010)</f>
        <v>22934</v>
      </c>
      <c r="D13" s="39">
        <f t="shared" si="0"/>
        <v>-0.12221073984766716</v>
      </c>
      <c r="E13" s="39">
        <f t="shared" si="1"/>
        <v>-0.15869405722670582</v>
      </c>
      <c r="F13" s="301">
        <f>((SUM(C13:C19,C21:C25)/SUM(C26:C32,C34:C38))-1)</f>
        <v>-0.19407603142896479</v>
      </c>
      <c r="G13" s="12"/>
      <c r="H13" s="12"/>
      <c r="I13" s="12"/>
      <c r="J13" s="12"/>
      <c r="K13" s="12"/>
      <c r="L13" s="12"/>
    </row>
    <row r="14" spans="2:12" ht="15">
      <c r="B14" s="300" t="s">
        <v>206</v>
      </c>
      <c r="C14" s="52">
        <f>GETPIVOTDATA("dato",'[1]tabla dinámica pernocta'!$P$5,"categoría","TOTAL","mes",6,"año",2010)</f>
        <v>26127</v>
      </c>
      <c r="D14" s="39">
        <f t="shared" si="0"/>
        <v>3.2035076631379368E-2</v>
      </c>
      <c r="E14" s="39">
        <f t="shared" si="1"/>
        <v>-7.0279695395345509E-2</v>
      </c>
      <c r="F14" s="301">
        <f>((SUM(C14:C19,C21:C26)/SUM(C27:C32,C34:C39))-1)</f>
        <v>-0.21216154477305782</v>
      </c>
      <c r="G14" s="12"/>
      <c r="H14" s="12"/>
      <c r="I14" s="12"/>
      <c r="J14" s="12"/>
      <c r="K14" s="12"/>
      <c r="L14" s="12"/>
    </row>
    <row r="15" spans="2:12" ht="15">
      <c r="B15" s="300" t="s">
        <v>207</v>
      </c>
      <c r="C15" s="52">
        <f>GETPIVOTDATA("dato",'[1]tabla dinámica pernocta'!$P$5,"categoría","TOTAL","mes",5,"año",2010)</f>
        <v>25316</v>
      </c>
      <c r="D15" s="39">
        <f t="shared" si="0"/>
        <v>-8.1088929219600731E-2</v>
      </c>
      <c r="E15" s="39">
        <f t="shared" si="1"/>
        <v>-0.16008095285491519</v>
      </c>
      <c r="F15" s="301">
        <f>((SUM(C15:C19,C21:C27)/SUM(C28:C32,C34:C40))-1)</f>
        <v>-0.22742829093586525</v>
      </c>
      <c r="G15" s="12"/>
      <c r="H15" s="12"/>
      <c r="I15" s="12"/>
      <c r="J15" s="12"/>
      <c r="K15" s="12"/>
      <c r="L15" s="12"/>
    </row>
    <row r="16" spans="2:12" ht="15">
      <c r="B16" s="300" t="s">
        <v>208</v>
      </c>
      <c r="C16" s="52">
        <f>GETPIVOTDATA("dato",'[1]tabla dinámica pernocta'!$P$5,"categoría","TOTAL","mes",4,"año",2010)</f>
        <v>27550</v>
      </c>
      <c r="D16" s="39">
        <f t="shared" si="0"/>
        <v>-3.2144739153346216E-2</v>
      </c>
      <c r="E16" s="39">
        <f t="shared" si="1"/>
        <v>-7.6649797231625127E-2</v>
      </c>
      <c r="F16" s="301">
        <f>((SUM(C16:C19,C21:C28)/SUM(C29:C32,C34:C41))-1)</f>
        <v>-0.24607115758446441</v>
      </c>
      <c r="G16" s="12"/>
      <c r="H16" s="12"/>
      <c r="I16" s="12"/>
      <c r="J16" s="12"/>
      <c r="K16" s="12"/>
      <c r="L16" s="12"/>
    </row>
    <row r="17" spans="2:12" ht="15">
      <c r="B17" s="300" t="s">
        <v>209</v>
      </c>
      <c r="C17" s="52">
        <f>GETPIVOTDATA("dato",'[1]tabla dinámica pernocta'!$P$5,"categoría","TOTAL","mes",3,"año",2010)</f>
        <v>28465</v>
      </c>
      <c r="D17" s="39">
        <f t="shared" si="0"/>
        <v>-0.17804856920100487</v>
      </c>
      <c r="E17" s="39">
        <f t="shared" si="1"/>
        <v>-0.22362535457124155</v>
      </c>
      <c r="F17" s="301">
        <f>((SUM(C17:C19,C21:C29)/SUM(C30:C32,C34:C42))-1)</f>
        <v>-0.26108135267016952</v>
      </c>
      <c r="G17" s="12"/>
      <c r="H17" s="12"/>
      <c r="I17" s="12"/>
      <c r="J17" s="12"/>
      <c r="K17" s="12"/>
      <c r="L17" s="12"/>
    </row>
    <row r="18" spans="2:12" ht="15">
      <c r="B18" s="300" t="s">
        <v>210</v>
      </c>
      <c r="C18" s="52">
        <f>GETPIVOTDATA("dato",'[1]tabla dinámica pernocta'!$P$5,"categoría","TOTAL","mes",2,"año",2010)</f>
        <v>34631</v>
      </c>
      <c r="D18" s="39">
        <f>IFERROR((C18-C19)/C19,"-")</f>
        <v>0.20897189736428695</v>
      </c>
      <c r="E18" s="39">
        <f t="shared" si="1"/>
        <v>-0.11819825325287092</v>
      </c>
      <c r="F18" s="301">
        <f>((SUM(C18:C19,C21:C30)/SUM(C31:C32,C34:C43))-1)</f>
        <v>-0.26157290012553935</v>
      </c>
    </row>
    <row r="19" spans="2:12" ht="15">
      <c r="B19" s="300" t="s">
        <v>211</v>
      </c>
      <c r="C19" s="52">
        <f>GETPIVOTDATA("dato",'[1]tabla dinámica pernocta'!$P$5,"categoría","TOTAL","mes",1,"año",2010)</f>
        <v>28645</v>
      </c>
      <c r="D19" s="39" t="s">
        <v>32</v>
      </c>
      <c r="E19" s="39">
        <f t="shared" si="1"/>
        <v>-0.13141696230934841</v>
      </c>
      <c r="F19" s="301">
        <f>((SUM(C19,C21:C31)/SUM(C32,C34:C44))-1)</f>
        <v>-0.26607463295269163</v>
      </c>
    </row>
    <row r="20" spans="2:12" ht="24">
      <c r="B20" s="337" t="str">
        <f>actualizaciones!A2</f>
        <v xml:space="preserve">acumulado julio 2010 </v>
      </c>
      <c r="C20" s="55">
        <f>GETPIVOTDATA("dato",'[1]tabla dinámica pernocta'!$P$5,"categoría","TOTAL","año",2010)</f>
        <v>193668</v>
      </c>
      <c r="D20" s="338"/>
      <c r="E20" s="338">
        <f>(C19+C18+C17+C16+C15+C14+C13)/(C32+C31+C30+C29+C28+C27+C26)-1</f>
        <v>-0.13639768835616439</v>
      </c>
      <c r="F20" s="338" t="s">
        <v>32</v>
      </c>
    </row>
    <row r="21" spans="2:12" ht="15" hidden="1" outlineLevel="1">
      <c r="B21" s="300" t="s">
        <v>200</v>
      </c>
      <c r="C21" s="52">
        <f>GETPIVOTDATA("dato",'[1]tabla dinámica pernocta'!$P$5,"categoría","TOTAL","mes",12,"año",2009)</f>
        <v>36076</v>
      </c>
      <c r="D21" s="39">
        <f t="shared" ref="D21:D31" si="2">IFERROR((C21-C22)/C22,"-")</f>
        <v>0.30219462893444987</v>
      </c>
      <c r="E21" s="39">
        <f t="shared" si="1"/>
        <v>-5.4810312303500308E-2</v>
      </c>
      <c r="F21" s="301">
        <f>((SUM(C21:C32)/SUM(C34:C45))-1)</f>
        <v>-0.27214579024668051</v>
      </c>
    </row>
    <row r="22" spans="2:12" ht="15" hidden="1" outlineLevel="1">
      <c r="B22" s="300" t="s">
        <v>201</v>
      </c>
      <c r="C22" s="52">
        <f>GETPIVOTDATA("dato",'[1]tabla dinámica pernocta'!$P$5,"categoría","TOTAL","mes",11,"año",2009)</f>
        <v>27704</v>
      </c>
      <c r="D22" s="39">
        <f t="shared" si="2"/>
        <v>-4.3700379703141182E-2</v>
      </c>
      <c r="E22" s="39">
        <f t="shared" si="1"/>
        <v>-0.34725036520427877</v>
      </c>
      <c r="F22" s="301">
        <f>((SUM(C22:C32,C34)/SUM(C35:C45,C47))-1)</f>
        <v>-0.27306694817216548</v>
      </c>
    </row>
    <row r="23" spans="2:12" ht="15" hidden="1" outlineLevel="1">
      <c r="B23" s="300" t="s">
        <v>202</v>
      </c>
      <c r="C23" s="52">
        <f>GETPIVOTDATA("dato",'[1]tabla dinámica pernocta'!$P$5,"categoría","TOTAL","mes",10,"año",2009)</f>
        <v>28970</v>
      </c>
      <c r="D23" s="39">
        <f t="shared" si="2"/>
        <v>0.12021963574494413</v>
      </c>
      <c r="E23" s="39">
        <f t="shared" si="1"/>
        <v>-0.32806049079185418</v>
      </c>
      <c r="F23" s="301">
        <f>((SUM(C23:C32,C34:C35)/SUM(C36:C45,C47:C48))-1)</f>
        <v>-0.2450612539224698</v>
      </c>
    </row>
    <row r="24" spans="2:12" ht="15" hidden="1" outlineLevel="1">
      <c r="B24" s="300" t="s">
        <v>203</v>
      </c>
      <c r="C24" s="52">
        <f>GETPIVOTDATA("dato",'[1]tabla dinámica pernocta'!$P$5,"categoría","TOTAL","mes",9,"año",2009)</f>
        <v>25861</v>
      </c>
      <c r="D24" s="39">
        <f t="shared" si="2"/>
        <v>0.20936213991769548</v>
      </c>
      <c r="E24" s="39">
        <f t="shared" si="1"/>
        <v>-0.24259020618556704</v>
      </c>
      <c r="F24" s="301">
        <f>((SUM(C24:C32,C34:C36)/SUM(C37:C45,C47:C49))-1)</f>
        <v>-0.21784553030557907</v>
      </c>
    </row>
    <row r="25" spans="2:12" ht="15" hidden="1" outlineLevel="1">
      <c r="B25" s="300" t="s">
        <v>204</v>
      </c>
      <c r="C25" s="52">
        <f>GETPIVOTDATA("dato",'[1]tabla dinámica pernocta'!$P$5,"categoría","TOTAL","mes",8,"año",2009)</f>
        <v>21384</v>
      </c>
      <c r="D25" s="39">
        <f t="shared" si="2"/>
        <v>-0.21555392516507704</v>
      </c>
      <c r="E25" s="39">
        <f t="shared" si="1"/>
        <v>-0.32942393928941016</v>
      </c>
      <c r="F25" s="301">
        <f>((SUM(C25:C32,C34:C37)/SUM(C38:C45,C47:C50))-1)</f>
        <v>-0.20577733862935832</v>
      </c>
    </row>
    <row r="26" spans="2:12" ht="15" hidden="1" outlineLevel="1">
      <c r="B26" s="300" t="s">
        <v>205</v>
      </c>
      <c r="C26" s="52">
        <f>GETPIVOTDATA("dato",'[1]tabla dinámica pernocta'!$P$5,"categoría","TOTAL","mes",7,"año",2009)</f>
        <v>27260</v>
      </c>
      <c r="D26" s="39">
        <f t="shared" si="2"/>
        <v>-2.9962280264749841E-2</v>
      </c>
      <c r="E26" s="39">
        <f t="shared" si="1"/>
        <v>-0.35486924624304816</v>
      </c>
      <c r="F26" s="301">
        <f>((SUM(C26:C32,C34:C38)/SUM(C39:C45,C47:C51))-1)</f>
        <v>-0.17733285379040931</v>
      </c>
    </row>
    <row r="27" spans="2:12" ht="15" hidden="1" outlineLevel="1">
      <c r="B27" s="300" t="s">
        <v>206</v>
      </c>
      <c r="C27" s="52">
        <f>GETPIVOTDATA("dato",'[1]tabla dinámica pernocta'!$P$5,"categoría","TOTAL","mes",6,"año",2009)</f>
        <v>28102</v>
      </c>
      <c r="D27" s="39">
        <f t="shared" si="2"/>
        <v>-6.7648717693507179E-2</v>
      </c>
      <c r="E27" s="39">
        <f t="shared" si="1"/>
        <v>-0.28193990188062146</v>
      </c>
      <c r="F27" s="301">
        <f>((SUM(C27:C32,C34:C39)/SUM(C40:C45,C47:C52))-1)</f>
        <v>-0.14701660204791733</v>
      </c>
    </row>
    <row r="28" spans="2:12" ht="15" hidden="1" outlineLevel="1">
      <c r="B28" s="300" t="s">
        <v>207</v>
      </c>
      <c r="C28" s="52">
        <f>GETPIVOTDATA("dato",'[1]tabla dinámica pernocta'!$P$5,"categoría","TOTAL","mes",5,"año",2009)</f>
        <v>30141</v>
      </c>
      <c r="D28" s="39">
        <f t="shared" si="2"/>
        <v>1.018869189261655E-2</v>
      </c>
      <c r="E28" s="39">
        <f t="shared" si="1"/>
        <v>-0.36440892412804182</v>
      </c>
      <c r="F28" s="301">
        <f>((SUM(C28:C32,C34:C40)/SUM(C41:C45,C47:C53))-1)</f>
        <v>-0.13050299552646971</v>
      </c>
    </row>
    <row r="29" spans="2:12" ht="15" hidden="1" outlineLevel="1">
      <c r="B29" s="300" t="s">
        <v>208</v>
      </c>
      <c r="C29" s="52">
        <f>GETPIVOTDATA("dato",'[1]tabla dinámica pernocta'!$P$5,"categoría","TOTAL","mes",4,"año",2009)</f>
        <v>29837</v>
      </c>
      <c r="D29" s="39">
        <f t="shared" si="2"/>
        <v>-0.18620445123281693</v>
      </c>
      <c r="E29" s="39">
        <f t="shared" si="1"/>
        <v>-0.29333049121311161</v>
      </c>
      <c r="F29" s="301">
        <f>((SUM(C29:C32,C34:C41)/SUM(C42:C45,C47:C54))-1)</f>
        <v>-9.0023996848175192E-2</v>
      </c>
    </row>
    <row r="30" spans="2:12" ht="15" hidden="1" outlineLevel="1">
      <c r="B30" s="300" t="s">
        <v>209</v>
      </c>
      <c r="C30" s="52">
        <f>GETPIVOTDATA("dato",'[1]tabla dinámica pernocta'!$P$5,"categoría","TOTAL","mes",3,"año",2009)</f>
        <v>36664</v>
      </c>
      <c r="D30" s="39">
        <f t="shared" si="2"/>
        <v>-6.6432409034196518E-2</v>
      </c>
      <c r="E30" s="39">
        <f t="shared" si="1"/>
        <v>-0.23743760399334446</v>
      </c>
      <c r="F30" s="301">
        <f>((SUM(C30:C32,C34:C42)/SUM(C43:C45,C47:C55))-1)</f>
        <v>-6.9474243081598441E-2</v>
      </c>
    </row>
    <row r="31" spans="2:12" ht="15" hidden="1" outlineLevel="1">
      <c r="B31" s="300" t="s">
        <v>210</v>
      </c>
      <c r="C31" s="52">
        <f>GETPIVOTDATA("dato",'[1]tabla dinámica pernocta'!$P$5,"categoría","TOTAL","mes",2,"año",2009)</f>
        <v>39273</v>
      </c>
      <c r="D31" s="39">
        <f t="shared" si="2"/>
        <v>0.19084872191394525</v>
      </c>
      <c r="E31" s="39">
        <f t="shared" si="1"/>
        <v>-0.1910646975220911</v>
      </c>
      <c r="F31" s="301">
        <f>((SUM(C31:C32,C34:C43)/SUM(C44:C45,C47:C56))-1)</f>
        <v>-4.9590303183545736E-2</v>
      </c>
    </row>
    <row r="32" spans="2:12" ht="15" hidden="1" outlineLevel="1">
      <c r="B32" s="300" t="s">
        <v>211</v>
      </c>
      <c r="C32" s="52">
        <f>GETPIVOTDATA("dato",'[1]tabla dinámica pernocta'!$P$5,"categoría","TOTAL","mes",1,"año",2009)</f>
        <v>32979</v>
      </c>
      <c r="D32" s="39" t="s">
        <v>32</v>
      </c>
      <c r="E32" s="39">
        <f t="shared" si="1"/>
        <v>-0.23347433990330979</v>
      </c>
      <c r="F32" s="301">
        <f>((SUM(C32,C34:C44)/SUM(C45,C47:C57))-1)</f>
        <v>-1.508304713703279E-2</v>
      </c>
    </row>
    <row r="33" spans="2:6" ht="15" collapsed="1">
      <c r="B33" s="305">
        <v>2009</v>
      </c>
      <c r="C33" s="57">
        <f>GETPIVOTDATA("dato",'[1]tabla dinámica pernocta'!$P$5,"categoría","TOTAL","año",2009)</f>
        <v>364251</v>
      </c>
      <c r="D33" s="306"/>
      <c r="E33" s="306">
        <f t="shared" si="1"/>
        <v>-0.27214579024668051</v>
      </c>
      <c r="F33" s="306">
        <f>C33/C46-1</f>
        <v>-0.27214579024668051</v>
      </c>
    </row>
    <row r="34" spans="2:6" ht="15" hidden="1" outlineLevel="1">
      <c r="B34" s="300" t="s">
        <v>200</v>
      </c>
      <c r="C34" s="52">
        <f>GETPIVOTDATA("dato",'[1]tabla dinámica pernocta'!$P$5,"categoría","TOTAL","mes",12,"año",2008)</f>
        <v>38168</v>
      </c>
      <c r="D34" s="39">
        <f t="shared" ref="D34:D44" si="3">IFERROR((C34-C35)/C35,"-")</f>
        <v>-0.10070213467791339</v>
      </c>
      <c r="E34" s="39">
        <f t="shared" si="1"/>
        <v>-8.4261036468330164E-2</v>
      </c>
      <c r="F34" s="301">
        <f>((SUM(C34:C45)/SUM(C47:C58))-1)</f>
        <v>1.3586180496904188E-2</v>
      </c>
    </row>
    <row r="35" spans="2:6" ht="15" hidden="1" outlineLevel="1">
      <c r="B35" s="300" t="s">
        <v>201</v>
      </c>
      <c r="C35" s="52">
        <f>GETPIVOTDATA("dato",'[1]tabla dinámica pernocta'!$P$5,"categoría","TOTAL","mes",11,"año",2008)</f>
        <v>42442</v>
      </c>
      <c r="D35" s="39">
        <f t="shared" si="3"/>
        <v>-1.5586584404137868E-2</v>
      </c>
      <c r="E35" s="39">
        <f t="shared" si="1"/>
        <v>-1.911299082483997E-2</v>
      </c>
      <c r="F35" s="301">
        <f>((SUM(C35:C45,C47)/SUM(C48:C58,C60))-1)</f>
        <v>1.2321648457383372E-2</v>
      </c>
    </row>
    <row r="36" spans="2:6" ht="15" hidden="1" outlineLevel="1">
      <c r="B36" s="300" t="s">
        <v>202</v>
      </c>
      <c r="C36" s="52">
        <f>GETPIVOTDATA("dato",'[1]tabla dinámica pernocta'!$P$5,"categoría","TOTAL","mes",10,"año",2008)</f>
        <v>43114</v>
      </c>
      <c r="D36" s="39">
        <f t="shared" si="3"/>
        <v>0.26271087160262419</v>
      </c>
      <c r="E36" s="39">
        <f t="shared" si="1"/>
        <v>-1.1894666880572058E-2</v>
      </c>
      <c r="F36" s="301">
        <f>((SUM(C36:C45,C47:C48)/SUM(C49:C58,C60:C61))-1)</f>
        <v>8.8698620554577001E-3</v>
      </c>
    </row>
    <row r="37" spans="2:6" ht="15" hidden="1" outlineLevel="1">
      <c r="B37" s="300" t="s">
        <v>203</v>
      </c>
      <c r="C37" s="52">
        <f>GETPIVOTDATA("dato",'[1]tabla dinámica pernocta'!$P$5,"categoría","TOTAL","mes",9,"año",2008)</f>
        <v>34144</v>
      </c>
      <c r="D37" s="39">
        <f t="shared" si="3"/>
        <v>7.0714039323904798E-2</v>
      </c>
      <c r="E37" s="39">
        <f t="shared" si="1"/>
        <v>-7.4562948909066229E-2</v>
      </c>
      <c r="F37" s="301">
        <f>((SUM(C37:C45,C47:C49)/SUM(C50:C58,C60:C62))-1)</f>
        <v>1.6141941296181628E-2</v>
      </c>
    </row>
    <row r="38" spans="2:6" ht="15" hidden="1" outlineLevel="1">
      <c r="B38" s="300" t="s">
        <v>204</v>
      </c>
      <c r="C38" s="52">
        <f>GETPIVOTDATA("dato",'[1]tabla dinámica pernocta'!$P$5,"categoría","TOTAL","mes",8,"año",2008)</f>
        <v>31889</v>
      </c>
      <c r="D38" s="39">
        <f t="shared" si="3"/>
        <v>-0.24532008046385043</v>
      </c>
      <c r="E38" s="39">
        <f t="shared" si="1"/>
        <v>0.17706333973128596</v>
      </c>
      <c r="F38" s="301">
        <f>((SUM(C38:C45,C47:C50)/SUM(C51:C58,C60:C63))-1)</f>
        <v>1.9208432050296986E-2</v>
      </c>
    </row>
    <row r="39" spans="2:6" ht="15" hidden="1" outlineLevel="1">
      <c r="B39" s="300" t="s">
        <v>205</v>
      </c>
      <c r="C39" s="52">
        <f>GETPIVOTDATA("dato",'[1]tabla dinámica pernocta'!$P$5,"categoría","TOTAL","mes",7,"año",2008)</f>
        <v>42255</v>
      </c>
      <c r="D39" s="39">
        <f t="shared" si="3"/>
        <v>7.9696443172526568E-2</v>
      </c>
      <c r="E39" s="39">
        <f t="shared" si="1"/>
        <v>7.318584914656201E-3</v>
      </c>
      <c r="F39" s="301">
        <f>((SUM(C39:C45,C47:C51)/SUM(C52:C58,C60:C64))-1)</f>
        <v>-2.1137247359330757E-3</v>
      </c>
    </row>
    <row r="40" spans="2:6" ht="15" hidden="1" outlineLevel="1">
      <c r="B40" s="300" t="s">
        <v>206</v>
      </c>
      <c r="C40" s="52">
        <f>GETPIVOTDATA("dato",'[1]tabla dinámica pernocta'!$P$5,"categoría","TOTAL","mes",6,"año",2008)</f>
        <v>39136</v>
      </c>
      <c r="D40" s="39">
        <f t="shared" si="3"/>
        <v>-0.17472902872084686</v>
      </c>
      <c r="E40" s="39">
        <f t="shared" si="1"/>
        <v>-7.4230023182097704E-2</v>
      </c>
      <c r="F40" s="301">
        <f>((SUM(C40:C45,C47:C52)/SUM(C53:C58,C60:C65))-1)</f>
        <v>8.3866815567188446E-3</v>
      </c>
    </row>
    <row r="41" spans="2:6" ht="15" hidden="1" outlineLevel="1">
      <c r="B41" s="300" t="s">
        <v>207</v>
      </c>
      <c r="C41" s="52">
        <f>GETPIVOTDATA("dato",'[1]tabla dinámica pernocta'!$P$5,"categoría","TOTAL","mes",5,"año",2008)</f>
        <v>47422</v>
      </c>
      <c r="D41" s="39">
        <f t="shared" si="3"/>
        <v>0.12315854293969969</v>
      </c>
      <c r="E41" s="39">
        <f t="shared" si="1"/>
        <v>8.0227790432801926E-2</v>
      </c>
      <c r="F41" s="301">
        <f>((SUM(C41:C45,C47:C53)/SUM(C54:C58,C60:C66))-1)</f>
        <v>2.9320359914739802E-2</v>
      </c>
    </row>
    <row r="42" spans="2:6" ht="15" hidden="1" outlineLevel="1">
      <c r="B42" s="300" t="s">
        <v>208</v>
      </c>
      <c r="C42" s="52">
        <f>GETPIVOTDATA("dato",'[1]tabla dinámica pernocta'!$P$5,"categoría","TOTAL","mes",4,"año",2008)</f>
        <v>42222</v>
      </c>
      <c r="D42" s="39">
        <f t="shared" si="3"/>
        <v>-0.12183860232945092</v>
      </c>
      <c r="E42" s="39">
        <f t="shared" si="1"/>
        <v>-4.9760313280669766E-2</v>
      </c>
      <c r="F42" s="301">
        <f>((SUM(C42:C45,C47:C54)/SUM(C55:C58,C60:C67))-1)</f>
        <v>4.1941716977376808E-2</v>
      </c>
    </row>
    <row r="43" spans="2:6" ht="15" hidden="1" outlineLevel="1">
      <c r="B43" s="300" t="s">
        <v>209</v>
      </c>
      <c r="C43" s="52">
        <f>GETPIVOTDATA("dato",'[1]tabla dinámica pernocta'!$P$5,"categoría","TOTAL","mes",3,"año",2008)</f>
        <v>48080</v>
      </c>
      <c r="D43" s="39">
        <f t="shared" si="3"/>
        <v>-9.6603431584584652E-3</v>
      </c>
      <c r="E43" s="39">
        <f t="shared" si="1"/>
        <v>-2.9294785084088781E-2</v>
      </c>
      <c r="F43" s="301">
        <f>((SUM(C43:C45,C47:C55)/SUM(C56:C58,C60:C68))-1)</f>
        <v>6.2433437027744842E-2</v>
      </c>
    </row>
    <row r="44" spans="2:6" ht="15" hidden="1" outlineLevel="1">
      <c r="B44" s="300" t="s">
        <v>210</v>
      </c>
      <c r="C44" s="52">
        <f>GETPIVOTDATA("dato",'[1]tabla dinámica pernocta'!$P$5,"categoría","TOTAL","mes",2,"año",2008)</f>
        <v>48549</v>
      </c>
      <c r="D44" s="39">
        <f t="shared" si="3"/>
        <v>0.1284166976571216</v>
      </c>
      <c r="E44" s="39">
        <f t="shared" si="1"/>
        <v>0.20675598419129537</v>
      </c>
      <c r="F44" s="301">
        <f>((SUM(C44:C45,C47:C56)/SUM(C57:C58,C60:C69))-1)</f>
        <v>7.8407062302150221E-2</v>
      </c>
    </row>
    <row r="45" spans="2:6" ht="15" hidden="1" outlineLevel="1">
      <c r="B45" s="300" t="s">
        <v>211</v>
      </c>
      <c r="C45" s="52">
        <f>GETPIVOTDATA("dato",'[1]tabla dinámica pernocta'!$P$5,"categoría","TOTAL","mes",1,"año",2008)</f>
        <v>43024</v>
      </c>
      <c r="D45" s="39" t="s">
        <v>32</v>
      </c>
      <c r="E45" s="39">
        <f t="shared" si="1"/>
        <v>0.10741036266762771</v>
      </c>
      <c r="F45" s="301">
        <f>((SUM(C45,C47:C57)/SUM(C58,C60:C70))-1)</f>
        <v>5.4036546538409391E-2</v>
      </c>
    </row>
    <row r="46" spans="2:6" ht="15" collapsed="1">
      <c r="B46" s="307">
        <v>2008</v>
      </c>
      <c r="C46" s="59">
        <f>GETPIVOTDATA("dato",'[1]tabla dinámica pernocta'!$P$5,"categoría","TOTAL","año",2008)</f>
        <v>500445</v>
      </c>
      <c r="D46" s="309"/>
      <c r="E46" s="309">
        <f t="shared" si="1"/>
        <v>1.3586180496904188E-2</v>
      </c>
      <c r="F46" s="309">
        <f>C46/C59-1</f>
        <v>1.3586180496904188E-2</v>
      </c>
    </row>
    <row r="47" spans="2:6" ht="15" hidden="1" outlineLevel="1">
      <c r="B47" s="300" t="s">
        <v>200</v>
      </c>
      <c r="C47" s="52">
        <f>GETPIVOTDATA("dato",'[1]tabla dinámica pernocta'!$P$5,"categoría","TOTAL","mes",12,"año",2007)</f>
        <v>41680</v>
      </c>
      <c r="D47" s="39">
        <f t="shared" ref="D47:D57" si="4">IFERROR((C47-C48)/C48,"-")</f>
        <v>-3.6723751415563104E-2</v>
      </c>
      <c r="E47" s="39">
        <f t="shared" si="1"/>
        <v>-8.9280251715247116E-2</v>
      </c>
      <c r="F47" s="310" t="s">
        <v>32</v>
      </c>
    </row>
    <row r="48" spans="2:6" ht="15" hidden="1" outlineLevel="1">
      <c r="B48" s="300" t="s">
        <v>201</v>
      </c>
      <c r="C48" s="52">
        <f>GETPIVOTDATA("dato",'[1]tabla dinámica pernocta'!$P$5,"categoría","TOTAL","mes",11,"año",2007)</f>
        <v>43269</v>
      </c>
      <c r="D48" s="39">
        <f t="shared" si="4"/>
        <v>-8.3423097197075601E-3</v>
      </c>
      <c r="E48" s="39">
        <f t="shared" si="1"/>
        <v>-5.5096960167714926E-2</v>
      </c>
      <c r="F48" s="310" t="s">
        <v>32</v>
      </c>
    </row>
    <row r="49" spans="2:6" ht="15" hidden="1" outlineLevel="1">
      <c r="B49" s="300" t="s">
        <v>202</v>
      </c>
      <c r="C49" s="52">
        <f>GETPIVOTDATA("dato",'[1]tabla dinámica pernocta'!$P$5,"categoría","TOTAL","mes",10,"año",2007)</f>
        <v>43633</v>
      </c>
      <c r="D49" s="39">
        <f t="shared" si="4"/>
        <v>0.18262637213714594</v>
      </c>
      <c r="E49" s="39">
        <f t="shared" si="1"/>
        <v>7.5684737322190276E-2</v>
      </c>
      <c r="F49" s="310" t="s">
        <v>32</v>
      </c>
    </row>
    <row r="50" spans="2:6" ht="15" hidden="1" outlineLevel="1">
      <c r="B50" s="300" t="s">
        <v>203</v>
      </c>
      <c r="C50" s="52">
        <f>GETPIVOTDATA("dato",'[1]tabla dinámica pernocta'!$P$5,"categoría","TOTAL","mes",9,"año",2007)</f>
        <v>36895</v>
      </c>
      <c r="D50" s="39">
        <f t="shared" si="4"/>
        <v>0.36184113391407058</v>
      </c>
      <c r="E50" s="39">
        <f t="shared" si="1"/>
        <v>-3.1576460706598808E-2</v>
      </c>
      <c r="F50" s="310" t="s">
        <v>32</v>
      </c>
    </row>
    <row r="51" spans="2:6" ht="15" hidden="1" outlineLevel="1">
      <c r="B51" s="300" t="s">
        <v>204</v>
      </c>
      <c r="C51" s="52">
        <f>GETPIVOTDATA("dato",'[1]tabla dinámica pernocta'!$P$5,"categoría","TOTAL","mes",8,"año",2007)</f>
        <v>27092</v>
      </c>
      <c r="D51" s="39">
        <f t="shared" si="4"/>
        <v>-0.35415276056069417</v>
      </c>
      <c r="E51" s="39">
        <f t="shared" si="1"/>
        <v>-0.1774350255040078</v>
      </c>
      <c r="F51" s="310" t="s">
        <v>32</v>
      </c>
    </row>
    <row r="52" spans="2:6" ht="15" hidden="1" outlineLevel="1">
      <c r="B52" s="300" t="s">
        <v>205</v>
      </c>
      <c r="C52" s="52">
        <f>GETPIVOTDATA("dato",'[1]tabla dinámica pernocta'!$P$5,"categoría","TOTAL","mes",7,"año",2007)</f>
        <v>41948</v>
      </c>
      <c r="D52" s="39">
        <f t="shared" si="4"/>
        <v>-7.7115957799120029E-3</v>
      </c>
      <c r="E52" s="39">
        <f t="shared" si="1"/>
        <v>0.15267091668498578</v>
      </c>
      <c r="F52" s="310" t="s">
        <v>32</v>
      </c>
    </row>
    <row r="53" spans="2:6" ht="15" hidden="1" outlineLevel="1">
      <c r="B53" s="300" t="s">
        <v>206</v>
      </c>
      <c r="C53" s="52">
        <f>GETPIVOTDATA("dato",'[1]tabla dinámica pernocta'!$P$5,"categoría","TOTAL","mes",6,"año",2007)</f>
        <v>42274</v>
      </c>
      <c r="D53" s="39">
        <f t="shared" si="4"/>
        <v>-3.7038724373576311E-2</v>
      </c>
      <c r="E53" s="39">
        <f t="shared" si="1"/>
        <v>0.20168282213820743</v>
      </c>
      <c r="F53" s="310" t="s">
        <v>32</v>
      </c>
    </row>
    <row r="54" spans="2:6" ht="15" hidden="1" outlineLevel="1">
      <c r="B54" s="300" t="s">
        <v>207</v>
      </c>
      <c r="C54" s="52">
        <f>GETPIVOTDATA("dato",'[1]tabla dinámica pernocta'!$P$5,"categoría","TOTAL","mes",5,"año",2007)</f>
        <v>43900</v>
      </c>
      <c r="D54" s="39">
        <f t="shared" si="4"/>
        <v>-1.1995588864132514E-2</v>
      </c>
      <c r="E54" s="39">
        <f t="shared" si="1"/>
        <v>0.27010762643212582</v>
      </c>
      <c r="F54" s="310" t="s">
        <v>32</v>
      </c>
    </row>
    <row r="55" spans="2:6" ht="15" hidden="1" outlineLevel="1">
      <c r="B55" s="300" t="s">
        <v>208</v>
      </c>
      <c r="C55" s="52">
        <f>GETPIVOTDATA("dato",'[1]tabla dinámica pernocta'!$P$5,"categoría","TOTAL","mes",4,"año",2007)</f>
        <v>44433</v>
      </c>
      <c r="D55" s="39">
        <f t="shared" si="4"/>
        <v>-0.10292544063313884</v>
      </c>
      <c r="E55" s="39">
        <f t="shared" si="1"/>
        <v>0.19408239499072866</v>
      </c>
      <c r="F55" s="310" t="s">
        <v>32</v>
      </c>
    </row>
    <row r="56" spans="2:6" ht="15" hidden="1" outlineLevel="1">
      <c r="B56" s="300" t="s">
        <v>209</v>
      </c>
      <c r="C56" s="52">
        <f>GETPIVOTDATA("dato",'[1]tabla dinámica pernocta'!$P$5,"categoría","TOTAL","mes",3,"año",2007)</f>
        <v>49531</v>
      </c>
      <c r="D56" s="39">
        <f t="shared" si="4"/>
        <v>0.23116502199796177</v>
      </c>
      <c r="E56" s="39">
        <f t="shared" si="1"/>
        <v>0.12983872807317676</v>
      </c>
      <c r="F56" s="310" t="s">
        <v>32</v>
      </c>
    </row>
    <row r="57" spans="2:6" ht="15" hidden="1" outlineLevel="1">
      <c r="B57" s="300" t="s">
        <v>210</v>
      </c>
      <c r="C57" s="52">
        <f>GETPIVOTDATA("dato",'[1]tabla dinámica pernocta'!$P$5,"categoría","TOTAL","mes",2,"año",2007)</f>
        <v>40231</v>
      </c>
      <c r="D57" s="39">
        <f t="shared" si="4"/>
        <v>3.5520321227252835E-2</v>
      </c>
      <c r="E57" s="39">
        <f t="shared" si="1"/>
        <v>-6.8575926654782071E-2</v>
      </c>
      <c r="F57" s="310" t="s">
        <v>32</v>
      </c>
    </row>
    <row r="58" spans="2:6" ht="15" hidden="1" outlineLevel="1">
      <c r="B58" s="300" t="s">
        <v>211</v>
      </c>
      <c r="C58" s="52">
        <f>GETPIVOTDATA("dato",'[1]tabla dinámica pernocta'!$P$5,"categoría","TOTAL","mes",1,"año",2007)</f>
        <v>38851</v>
      </c>
      <c r="D58" s="39" t="s">
        <v>32</v>
      </c>
      <c r="E58" s="39">
        <f t="shared" si="1"/>
        <v>0.14889401466761298</v>
      </c>
      <c r="F58" s="310" t="s">
        <v>32</v>
      </c>
    </row>
    <row r="59" spans="2:6" ht="15" collapsed="1">
      <c r="B59" s="307">
        <v>2007</v>
      </c>
      <c r="C59" s="59">
        <f>GETPIVOTDATA("dato",'[1]tabla dinámica pernocta'!$P$5,"categoría","TOTAL","año",2007)</f>
        <v>493737</v>
      </c>
      <c r="D59" s="309"/>
      <c r="E59" s="309">
        <f t="shared" si="1"/>
        <v>5.6463157083892268E-2</v>
      </c>
      <c r="F59" s="309">
        <f>C59/C72-1</f>
        <v>5.6463157083892268E-2</v>
      </c>
    </row>
    <row r="60" spans="2:6" ht="15" hidden="1" outlineLevel="1">
      <c r="B60" s="300" t="s">
        <v>200</v>
      </c>
      <c r="C60" s="52">
        <f>GETPIVOTDATA("dato",'[1]tabla dinámica pernocta'!$P$5,"categoría","TOTAL","mes",12,"año",2006)</f>
        <v>45766</v>
      </c>
      <c r="D60" s="39">
        <f t="shared" ref="D60:D70" si="5">IFERROR((C60-C61)/C61,"-")</f>
        <v>-5.677847658979734E-4</v>
      </c>
      <c r="E60" s="310" t="s">
        <v>32</v>
      </c>
      <c r="F60" s="301" t="s">
        <v>32</v>
      </c>
    </row>
    <row r="61" spans="2:6" ht="15" hidden="1" outlineLevel="1">
      <c r="B61" s="300" t="s">
        <v>201</v>
      </c>
      <c r="C61" s="52">
        <f>GETPIVOTDATA("dato",'[1]tabla dinámica pernocta'!$P$5,"categoría","TOTAL","mes",11,"año",2006)</f>
        <v>45792</v>
      </c>
      <c r="D61" s="39">
        <f t="shared" si="5"/>
        <v>0.12891058353672066</v>
      </c>
      <c r="E61" s="310" t="s">
        <v>32</v>
      </c>
      <c r="F61" s="301" t="s">
        <v>32</v>
      </c>
    </row>
    <row r="62" spans="2:6" ht="15" hidden="1" outlineLevel="1">
      <c r="B62" s="300" t="s">
        <v>202</v>
      </c>
      <c r="C62" s="52">
        <f>GETPIVOTDATA("dato",'[1]tabla dinámica pernocta'!$P$5,"categoría","TOTAL","mes",10,"año",2006)</f>
        <v>40563</v>
      </c>
      <c r="D62" s="39">
        <f t="shared" si="5"/>
        <v>6.4701559136962572E-2</v>
      </c>
      <c r="E62" s="310" t="s">
        <v>32</v>
      </c>
      <c r="F62" s="301" t="s">
        <v>32</v>
      </c>
    </row>
    <row r="63" spans="2:6" ht="15" hidden="1" outlineLevel="1">
      <c r="B63" s="300" t="s">
        <v>203</v>
      </c>
      <c r="C63" s="52">
        <f>GETPIVOTDATA("dato",'[1]tabla dinámica pernocta'!$P$5,"categoría","TOTAL","mes",9,"año",2006)</f>
        <v>38098</v>
      </c>
      <c r="D63" s="39">
        <f t="shared" si="5"/>
        <v>0.15672820014573718</v>
      </c>
      <c r="E63" s="310" t="s">
        <v>32</v>
      </c>
      <c r="F63" s="301" t="s">
        <v>32</v>
      </c>
    </row>
    <row r="64" spans="2:6" ht="15" hidden="1" outlineLevel="1">
      <c r="B64" s="300" t="s">
        <v>204</v>
      </c>
      <c r="C64" s="52">
        <f>GETPIVOTDATA("dato",'[1]tabla dinámica pernocta'!$P$5,"categoría","TOTAL","mes",8,"año",2006)</f>
        <v>32936</v>
      </c>
      <c r="D64" s="39">
        <f t="shared" si="5"/>
        <v>-9.4965926577269724E-2</v>
      </c>
      <c r="E64" s="310" t="s">
        <v>32</v>
      </c>
      <c r="F64" s="301" t="s">
        <v>32</v>
      </c>
    </row>
    <row r="65" spans="2:6" ht="15" hidden="1" outlineLevel="1">
      <c r="B65" s="300" t="s">
        <v>205</v>
      </c>
      <c r="C65" s="52">
        <f>GETPIVOTDATA("dato",'[1]tabla dinámica pernocta'!$P$5,"categoría","TOTAL","mes",7,"año",2006)</f>
        <v>36392</v>
      </c>
      <c r="D65" s="39">
        <f t="shared" si="5"/>
        <v>3.4480798203473662E-2</v>
      </c>
      <c r="E65" s="310" t="s">
        <v>32</v>
      </c>
      <c r="F65" s="301" t="s">
        <v>32</v>
      </c>
    </row>
    <row r="66" spans="2:6" ht="15" hidden="1" outlineLevel="1">
      <c r="B66" s="300" t="s">
        <v>206</v>
      </c>
      <c r="C66" s="52">
        <f>GETPIVOTDATA("dato",'[1]tabla dinámica pernocta'!$P$5,"categoría","TOTAL","mes",6,"año",2006)</f>
        <v>35179</v>
      </c>
      <c r="D66" s="39">
        <f t="shared" si="5"/>
        <v>1.7793079504686959E-2</v>
      </c>
      <c r="E66" s="310" t="s">
        <v>32</v>
      </c>
      <c r="F66" s="301" t="s">
        <v>32</v>
      </c>
    </row>
    <row r="67" spans="2:6" ht="15" hidden="1" outlineLevel="1">
      <c r="B67" s="300" t="s">
        <v>207</v>
      </c>
      <c r="C67" s="52">
        <f>GETPIVOTDATA("dato",'[1]tabla dinámica pernocta'!$P$5,"categoría","TOTAL","mes",5,"año",2006)</f>
        <v>34564</v>
      </c>
      <c r="D67" s="39">
        <f t="shared" si="5"/>
        <v>-7.1134879471124124E-2</v>
      </c>
      <c r="E67" s="310" t="s">
        <v>32</v>
      </c>
      <c r="F67" s="301" t="s">
        <v>32</v>
      </c>
    </row>
    <row r="68" spans="2:6" ht="15" hidden="1" outlineLevel="1">
      <c r="B68" s="300" t="s">
        <v>208</v>
      </c>
      <c r="C68" s="52">
        <f>GETPIVOTDATA("dato",'[1]tabla dinámica pernocta'!$P$5,"categoría","TOTAL","mes",4,"año",2006)</f>
        <v>37211</v>
      </c>
      <c r="D68" s="39">
        <f t="shared" si="5"/>
        <v>-0.15118958005428956</v>
      </c>
      <c r="E68" s="310" t="s">
        <v>32</v>
      </c>
      <c r="F68" s="301" t="s">
        <v>32</v>
      </c>
    </row>
    <row r="69" spans="2:6" ht="15" hidden="1" outlineLevel="1">
      <c r="B69" s="300" t="s">
        <v>209</v>
      </c>
      <c r="C69" s="52">
        <f>GETPIVOTDATA("dato",'[1]tabla dinámica pernocta'!$P$5,"categoría","TOTAL","mes",3,"año",2006)</f>
        <v>43839</v>
      </c>
      <c r="D69" s="39">
        <f t="shared" si="5"/>
        <v>1.4956127150232677E-2</v>
      </c>
      <c r="E69" s="310" t="s">
        <v>32</v>
      </c>
      <c r="F69" s="301" t="s">
        <v>32</v>
      </c>
    </row>
    <row r="70" spans="2:6" ht="15" hidden="1" outlineLevel="1">
      <c r="B70" s="300" t="s">
        <v>210</v>
      </c>
      <c r="C70" s="52">
        <f>GETPIVOTDATA("dato",'[1]tabla dinámica pernocta'!$P$5,"categoría","TOTAL","mes",2,"año",2006)</f>
        <v>43193</v>
      </c>
      <c r="D70" s="39">
        <f t="shared" si="5"/>
        <v>0.27729477170570144</v>
      </c>
      <c r="E70" s="310" t="s">
        <v>32</v>
      </c>
      <c r="F70" s="301" t="s">
        <v>32</v>
      </c>
    </row>
    <row r="71" spans="2:6" ht="15" hidden="1" outlineLevel="1">
      <c r="B71" s="300" t="s">
        <v>211</v>
      </c>
      <c r="C71" s="52">
        <f>GETPIVOTDATA("dato",'[1]tabla dinámica pernocta'!$P$5,"categoría","TOTAL","mes",1,"año",2006)</f>
        <v>33816</v>
      </c>
      <c r="D71" s="310" t="s">
        <v>32</v>
      </c>
      <c r="E71" s="310" t="s">
        <v>32</v>
      </c>
      <c r="F71" s="301" t="s">
        <v>32</v>
      </c>
    </row>
    <row r="72" spans="2:6" ht="15" collapsed="1">
      <c r="B72" s="307">
        <v>2006</v>
      </c>
      <c r="C72" s="59">
        <f>GETPIVOTDATA("dato",'[1]tabla dinámica pernocta'!$P$5,"categoría","TOTAL","año",2006)</f>
        <v>467349</v>
      </c>
      <c r="D72" s="309"/>
      <c r="E72" s="311" t="s">
        <v>32</v>
      </c>
      <c r="F72" s="311" t="s">
        <v>32</v>
      </c>
    </row>
    <row r="73" spans="2:6">
      <c r="B73" s="312" t="s">
        <v>212</v>
      </c>
      <c r="C73" s="313"/>
      <c r="D73" s="313"/>
      <c r="E73" s="313"/>
      <c r="F73" s="313"/>
    </row>
  </sheetData>
  <mergeCells count="2">
    <mergeCell ref="B6:F6"/>
    <mergeCell ref="B73:F73"/>
  </mergeCells>
  <hyperlinks>
    <hyperlink ref="H6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5" customHeight="1" thickBot="1"/>
    <row r="30" spans="2:12" ht="30" customHeight="1" thickBot="1">
      <c r="I30" s="60" t="s">
        <v>52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36">
    <tabColor theme="4" tint="-0.499984740745262"/>
    <pageSetUpPr autoPageBreaks="0" fitToPage="1"/>
  </sheetPr>
  <dimension ref="B7:H80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2" width="11.42578125" style="2"/>
    <col min="3" max="3" width="12" style="2" bestFit="1" customWidth="1"/>
    <col min="4" max="4" width="11.42578125" style="2"/>
    <col min="5" max="5" width="45.140625" style="2" customWidth="1"/>
    <col min="6" max="6" width="38.42578125" style="2" customWidth="1"/>
    <col min="7" max="258" width="11.42578125" style="2"/>
    <col min="259" max="259" width="12" style="2" bestFit="1" customWidth="1"/>
    <col min="260" max="260" width="11.42578125" style="2"/>
    <col min="261" max="261" width="45.140625" style="2" customWidth="1"/>
    <col min="262" max="262" width="11.85546875" style="2" customWidth="1"/>
    <col min="263" max="514" width="11.42578125" style="2"/>
    <col min="515" max="515" width="12" style="2" bestFit="1" customWidth="1"/>
    <col min="516" max="516" width="11.42578125" style="2"/>
    <col min="517" max="517" width="45.140625" style="2" customWidth="1"/>
    <col min="518" max="518" width="11.85546875" style="2" customWidth="1"/>
    <col min="519" max="770" width="11.42578125" style="2"/>
    <col min="771" max="771" width="12" style="2" bestFit="1" customWidth="1"/>
    <col min="772" max="772" width="11.42578125" style="2"/>
    <col min="773" max="773" width="45.140625" style="2" customWidth="1"/>
    <col min="774" max="774" width="11.85546875" style="2" customWidth="1"/>
    <col min="775" max="1026" width="11.42578125" style="2"/>
    <col min="1027" max="1027" width="12" style="2" bestFit="1" customWidth="1"/>
    <col min="1028" max="1028" width="11.42578125" style="2"/>
    <col min="1029" max="1029" width="45.140625" style="2" customWidth="1"/>
    <col min="1030" max="1030" width="11.85546875" style="2" customWidth="1"/>
    <col min="1031" max="1282" width="11.42578125" style="2"/>
    <col min="1283" max="1283" width="12" style="2" bestFit="1" customWidth="1"/>
    <col min="1284" max="1284" width="11.42578125" style="2"/>
    <col min="1285" max="1285" width="45.140625" style="2" customWidth="1"/>
    <col min="1286" max="1286" width="11.85546875" style="2" customWidth="1"/>
    <col min="1287" max="1538" width="11.42578125" style="2"/>
    <col min="1539" max="1539" width="12" style="2" bestFit="1" customWidth="1"/>
    <col min="1540" max="1540" width="11.42578125" style="2"/>
    <col min="1541" max="1541" width="45.140625" style="2" customWidth="1"/>
    <col min="1542" max="1542" width="11.85546875" style="2" customWidth="1"/>
    <col min="1543" max="1794" width="11.42578125" style="2"/>
    <col min="1795" max="1795" width="12" style="2" bestFit="1" customWidth="1"/>
    <col min="1796" max="1796" width="11.42578125" style="2"/>
    <col min="1797" max="1797" width="45.140625" style="2" customWidth="1"/>
    <col min="1798" max="1798" width="11.85546875" style="2" customWidth="1"/>
    <col min="1799" max="2050" width="11.42578125" style="2"/>
    <col min="2051" max="2051" width="12" style="2" bestFit="1" customWidth="1"/>
    <col min="2052" max="2052" width="11.42578125" style="2"/>
    <col min="2053" max="2053" width="45.140625" style="2" customWidth="1"/>
    <col min="2054" max="2054" width="11.85546875" style="2" customWidth="1"/>
    <col min="2055" max="2306" width="11.42578125" style="2"/>
    <col min="2307" max="2307" width="12" style="2" bestFit="1" customWidth="1"/>
    <col min="2308" max="2308" width="11.42578125" style="2"/>
    <col min="2309" max="2309" width="45.140625" style="2" customWidth="1"/>
    <col min="2310" max="2310" width="11.85546875" style="2" customWidth="1"/>
    <col min="2311" max="2562" width="11.42578125" style="2"/>
    <col min="2563" max="2563" width="12" style="2" bestFit="1" customWidth="1"/>
    <col min="2564" max="2564" width="11.42578125" style="2"/>
    <col min="2565" max="2565" width="45.140625" style="2" customWidth="1"/>
    <col min="2566" max="2566" width="11.85546875" style="2" customWidth="1"/>
    <col min="2567" max="2818" width="11.42578125" style="2"/>
    <col min="2819" max="2819" width="12" style="2" bestFit="1" customWidth="1"/>
    <col min="2820" max="2820" width="11.42578125" style="2"/>
    <col min="2821" max="2821" width="45.140625" style="2" customWidth="1"/>
    <col min="2822" max="2822" width="11.85546875" style="2" customWidth="1"/>
    <col min="2823" max="3074" width="11.42578125" style="2"/>
    <col min="3075" max="3075" width="12" style="2" bestFit="1" customWidth="1"/>
    <col min="3076" max="3076" width="11.42578125" style="2"/>
    <col min="3077" max="3077" width="45.140625" style="2" customWidth="1"/>
    <col min="3078" max="3078" width="11.85546875" style="2" customWidth="1"/>
    <col min="3079" max="3330" width="11.42578125" style="2"/>
    <col min="3331" max="3331" width="12" style="2" bestFit="1" customWidth="1"/>
    <col min="3332" max="3332" width="11.42578125" style="2"/>
    <col min="3333" max="3333" width="45.140625" style="2" customWidth="1"/>
    <col min="3334" max="3334" width="11.85546875" style="2" customWidth="1"/>
    <col min="3335" max="3586" width="11.42578125" style="2"/>
    <col min="3587" max="3587" width="12" style="2" bestFit="1" customWidth="1"/>
    <col min="3588" max="3588" width="11.42578125" style="2"/>
    <col min="3589" max="3589" width="45.140625" style="2" customWidth="1"/>
    <col min="3590" max="3590" width="11.85546875" style="2" customWidth="1"/>
    <col min="3591" max="3842" width="11.42578125" style="2"/>
    <col min="3843" max="3843" width="12" style="2" bestFit="1" customWidth="1"/>
    <col min="3844" max="3844" width="11.42578125" style="2"/>
    <col min="3845" max="3845" width="45.140625" style="2" customWidth="1"/>
    <col min="3846" max="3846" width="11.85546875" style="2" customWidth="1"/>
    <col min="3847" max="4098" width="11.42578125" style="2"/>
    <col min="4099" max="4099" width="12" style="2" bestFit="1" customWidth="1"/>
    <col min="4100" max="4100" width="11.42578125" style="2"/>
    <col min="4101" max="4101" width="45.140625" style="2" customWidth="1"/>
    <col min="4102" max="4102" width="11.85546875" style="2" customWidth="1"/>
    <col min="4103" max="4354" width="11.42578125" style="2"/>
    <col min="4355" max="4355" width="12" style="2" bestFit="1" customWidth="1"/>
    <col min="4356" max="4356" width="11.42578125" style="2"/>
    <col min="4357" max="4357" width="45.140625" style="2" customWidth="1"/>
    <col min="4358" max="4358" width="11.85546875" style="2" customWidth="1"/>
    <col min="4359" max="4610" width="11.42578125" style="2"/>
    <col min="4611" max="4611" width="12" style="2" bestFit="1" customWidth="1"/>
    <col min="4612" max="4612" width="11.42578125" style="2"/>
    <col min="4613" max="4613" width="45.140625" style="2" customWidth="1"/>
    <col min="4614" max="4614" width="11.85546875" style="2" customWidth="1"/>
    <col min="4615" max="4866" width="11.42578125" style="2"/>
    <col min="4867" max="4867" width="12" style="2" bestFit="1" customWidth="1"/>
    <col min="4868" max="4868" width="11.42578125" style="2"/>
    <col min="4869" max="4869" width="45.140625" style="2" customWidth="1"/>
    <col min="4870" max="4870" width="11.85546875" style="2" customWidth="1"/>
    <col min="4871" max="5122" width="11.42578125" style="2"/>
    <col min="5123" max="5123" width="12" style="2" bestFit="1" customWidth="1"/>
    <col min="5124" max="5124" width="11.42578125" style="2"/>
    <col min="5125" max="5125" width="45.140625" style="2" customWidth="1"/>
    <col min="5126" max="5126" width="11.85546875" style="2" customWidth="1"/>
    <col min="5127" max="5378" width="11.42578125" style="2"/>
    <col min="5379" max="5379" width="12" style="2" bestFit="1" customWidth="1"/>
    <col min="5380" max="5380" width="11.42578125" style="2"/>
    <col min="5381" max="5381" width="45.140625" style="2" customWidth="1"/>
    <col min="5382" max="5382" width="11.85546875" style="2" customWidth="1"/>
    <col min="5383" max="5634" width="11.42578125" style="2"/>
    <col min="5635" max="5635" width="12" style="2" bestFit="1" customWidth="1"/>
    <col min="5636" max="5636" width="11.42578125" style="2"/>
    <col min="5637" max="5637" width="45.140625" style="2" customWidth="1"/>
    <col min="5638" max="5638" width="11.85546875" style="2" customWidth="1"/>
    <col min="5639" max="5890" width="11.42578125" style="2"/>
    <col min="5891" max="5891" width="12" style="2" bestFit="1" customWidth="1"/>
    <col min="5892" max="5892" width="11.42578125" style="2"/>
    <col min="5893" max="5893" width="45.140625" style="2" customWidth="1"/>
    <col min="5894" max="5894" width="11.85546875" style="2" customWidth="1"/>
    <col min="5895" max="6146" width="11.42578125" style="2"/>
    <col min="6147" max="6147" width="12" style="2" bestFit="1" customWidth="1"/>
    <col min="6148" max="6148" width="11.42578125" style="2"/>
    <col min="6149" max="6149" width="45.140625" style="2" customWidth="1"/>
    <col min="6150" max="6150" width="11.85546875" style="2" customWidth="1"/>
    <col min="6151" max="6402" width="11.42578125" style="2"/>
    <col min="6403" max="6403" width="12" style="2" bestFit="1" customWidth="1"/>
    <col min="6404" max="6404" width="11.42578125" style="2"/>
    <col min="6405" max="6405" width="45.140625" style="2" customWidth="1"/>
    <col min="6406" max="6406" width="11.85546875" style="2" customWidth="1"/>
    <col min="6407" max="6658" width="11.42578125" style="2"/>
    <col min="6659" max="6659" width="12" style="2" bestFit="1" customWidth="1"/>
    <col min="6660" max="6660" width="11.42578125" style="2"/>
    <col min="6661" max="6661" width="45.140625" style="2" customWidth="1"/>
    <col min="6662" max="6662" width="11.85546875" style="2" customWidth="1"/>
    <col min="6663" max="6914" width="11.42578125" style="2"/>
    <col min="6915" max="6915" width="12" style="2" bestFit="1" customWidth="1"/>
    <col min="6916" max="6916" width="11.42578125" style="2"/>
    <col min="6917" max="6917" width="45.140625" style="2" customWidth="1"/>
    <col min="6918" max="6918" width="11.85546875" style="2" customWidth="1"/>
    <col min="6919" max="7170" width="11.42578125" style="2"/>
    <col min="7171" max="7171" width="12" style="2" bestFit="1" customWidth="1"/>
    <col min="7172" max="7172" width="11.42578125" style="2"/>
    <col min="7173" max="7173" width="45.140625" style="2" customWidth="1"/>
    <col min="7174" max="7174" width="11.85546875" style="2" customWidth="1"/>
    <col min="7175" max="7426" width="11.42578125" style="2"/>
    <col min="7427" max="7427" width="12" style="2" bestFit="1" customWidth="1"/>
    <col min="7428" max="7428" width="11.42578125" style="2"/>
    <col min="7429" max="7429" width="45.140625" style="2" customWidth="1"/>
    <col min="7430" max="7430" width="11.85546875" style="2" customWidth="1"/>
    <col min="7431" max="7682" width="11.42578125" style="2"/>
    <col min="7683" max="7683" width="12" style="2" bestFit="1" customWidth="1"/>
    <col min="7684" max="7684" width="11.42578125" style="2"/>
    <col min="7685" max="7685" width="45.140625" style="2" customWidth="1"/>
    <col min="7686" max="7686" width="11.85546875" style="2" customWidth="1"/>
    <col min="7687" max="7938" width="11.42578125" style="2"/>
    <col min="7939" max="7939" width="12" style="2" bestFit="1" customWidth="1"/>
    <col min="7940" max="7940" width="11.42578125" style="2"/>
    <col min="7941" max="7941" width="45.140625" style="2" customWidth="1"/>
    <col min="7942" max="7942" width="11.85546875" style="2" customWidth="1"/>
    <col min="7943" max="8194" width="11.42578125" style="2"/>
    <col min="8195" max="8195" width="12" style="2" bestFit="1" customWidth="1"/>
    <col min="8196" max="8196" width="11.42578125" style="2"/>
    <col min="8197" max="8197" width="45.140625" style="2" customWidth="1"/>
    <col min="8198" max="8198" width="11.85546875" style="2" customWidth="1"/>
    <col min="8199" max="8450" width="11.42578125" style="2"/>
    <col min="8451" max="8451" width="12" style="2" bestFit="1" customWidth="1"/>
    <col min="8452" max="8452" width="11.42578125" style="2"/>
    <col min="8453" max="8453" width="45.140625" style="2" customWidth="1"/>
    <col min="8454" max="8454" width="11.85546875" style="2" customWidth="1"/>
    <col min="8455" max="8706" width="11.42578125" style="2"/>
    <col min="8707" max="8707" width="12" style="2" bestFit="1" customWidth="1"/>
    <col min="8708" max="8708" width="11.42578125" style="2"/>
    <col min="8709" max="8709" width="45.140625" style="2" customWidth="1"/>
    <col min="8710" max="8710" width="11.85546875" style="2" customWidth="1"/>
    <col min="8711" max="8962" width="11.42578125" style="2"/>
    <col min="8963" max="8963" width="12" style="2" bestFit="1" customWidth="1"/>
    <col min="8964" max="8964" width="11.42578125" style="2"/>
    <col min="8965" max="8965" width="45.140625" style="2" customWidth="1"/>
    <col min="8966" max="8966" width="11.85546875" style="2" customWidth="1"/>
    <col min="8967" max="9218" width="11.42578125" style="2"/>
    <col min="9219" max="9219" width="12" style="2" bestFit="1" customWidth="1"/>
    <col min="9220" max="9220" width="11.42578125" style="2"/>
    <col min="9221" max="9221" width="45.140625" style="2" customWidth="1"/>
    <col min="9222" max="9222" width="11.85546875" style="2" customWidth="1"/>
    <col min="9223" max="9474" width="11.42578125" style="2"/>
    <col min="9475" max="9475" width="12" style="2" bestFit="1" customWidth="1"/>
    <col min="9476" max="9476" width="11.42578125" style="2"/>
    <col min="9477" max="9477" width="45.140625" style="2" customWidth="1"/>
    <col min="9478" max="9478" width="11.85546875" style="2" customWidth="1"/>
    <col min="9479" max="9730" width="11.42578125" style="2"/>
    <col min="9731" max="9731" width="12" style="2" bestFit="1" customWidth="1"/>
    <col min="9732" max="9732" width="11.42578125" style="2"/>
    <col min="9733" max="9733" width="45.140625" style="2" customWidth="1"/>
    <col min="9734" max="9734" width="11.85546875" style="2" customWidth="1"/>
    <col min="9735" max="9986" width="11.42578125" style="2"/>
    <col min="9987" max="9987" width="12" style="2" bestFit="1" customWidth="1"/>
    <col min="9988" max="9988" width="11.42578125" style="2"/>
    <col min="9989" max="9989" width="45.140625" style="2" customWidth="1"/>
    <col min="9990" max="9990" width="11.85546875" style="2" customWidth="1"/>
    <col min="9991" max="10242" width="11.42578125" style="2"/>
    <col min="10243" max="10243" width="12" style="2" bestFit="1" customWidth="1"/>
    <col min="10244" max="10244" width="11.42578125" style="2"/>
    <col min="10245" max="10245" width="45.140625" style="2" customWidth="1"/>
    <col min="10246" max="10246" width="11.85546875" style="2" customWidth="1"/>
    <col min="10247" max="10498" width="11.42578125" style="2"/>
    <col min="10499" max="10499" width="12" style="2" bestFit="1" customWidth="1"/>
    <col min="10500" max="10500" width="11.42578125" style="2"/>
    <col min="10501" max="10501" width="45.140625" style="2" customWidth="1"/>
    <col min="10502" max="10502" width="11.85546875" style="2" customWidth="1"/>
    <col min="10503" max="10754" width="11.42578125" style="2"/>
    <col min="10755" max="10755" width="12" style="2" bestFit="1" customWidth="1"/>
    <col min="10756" max="10756" width="11.42578125" style="2"/>
    <col min="10757" max="10757" width="45.140625" style="2" customWidth="1"/>
    <col min="10758" max="10758" width="11.85546875" style="2" customWidth="1"/>
    <col min="10759" max="11010" width="11.42578125" style="2"/>
    <col min="11011" max="11011" width="12" style="2" bestFit="1" customWidth="1"/>
    <col min="11012" max="11012" width="11.42578125" style="2"/>
    <col min="11013" max="11013" width="45.140625" style="2" customWidth="1"/>
    <col min="11014" max="11014" width="11.85546875" style="2" customWidth="1"/>
    <col min="11015" max="11266" width="11.42578125" style="2"/>
    <col min="11267" max="11267" width="12" style="2" bestFit="1" customWidth="1"/>
    <col min="11268" max="11268" width="11.42578125" style="2"/>
    <col min="11269" max="11269" width="45.140625" style="2" customWidth="1"/>
    <col min="11270" max="11270" width="11.85546875" style="2" customWidth="1"/>
    <col min="11271" max="11522" width="11.42578125" style="2"/>
    <col min="11523" max="11523" width="12" style="2" bestFit="1" customWidth="1"/>
    <col min="11524" max="11524" width="11.42578125" style="2"/>
    <col min="11525" max="11525" width="45.140625" style="2" customWidth="1"/>
    <col min="11526" max="11526" width="11.85546875" style="2" customWidth="1"/>
    <col min="11527" max="11778" width="11.42578125" style="2"/>
    <col min="11779" max="11779" width="12" style="2" bestFit="1" customWidth="1"/>
    <col min="11780" max="11780" width="11.42578125" style="2"/>
    <col min="11781" max="11781" width="45.140625" style="2" customWidth="1"/>
    <col min="11782" max="11782" width="11.85546875" style="2" customWidth="1"/>
    <col min="11783" max="12034" width="11.42578125" style="2"/>
    <col min="12035" max="12035" width="12" style="2" bestFit="1" customWidth="1"/>
    <col min="12036" max="12036" width="11.42578125" style="2"/>
    <col min="12037" max="12037" width="45.140625" style="2" customWidth="1"/>
    <col min="12038" max="12038" width="11.85546875" style="2" customWidth="1"/>
    <col min="12039" max="12290" width="11.42578125" style="2"/>
    <col min="12291" max="12291" width="12" style="2" bestFit="1" customWidth="1"/>
    <col min="12292" max="12292" width="11.42578125" style="2"/>
    <col min="12293" max="12293" width="45.140625" style="2" customWidth="1"/>
    <col min="12294" max="12294" width="11.85546875" style="2" customWidth="1"/>
    <col min="12295" max="12546" width="11.42578125" style="2"/>
    <col min="12547" max="12547" width="12" style="2" bestFit="1" customWidth="1"/>
    <col min="12548" max="12548" width="11.42578125" style="2"/>
    <col min="12549" max="12549" width="45.140625" style="2" customWidth="1"/>
    <col min="12550" max="12550" width="11.85546875" style="2" customWidth="1"/>
    <col min="12551" max="12802" width="11.42578125" style="2"/>
    <col min="12803" max="12803" width="12" style="2" bestFit="1" customWidth="1"/>
    <col min="12804" max="12804" width="11.42578125" style="2"/>
    <col min="12805" max="12805" width="45.140625" style="2" customWidth="1"/>
    <col min="12806" max="12806" width="11.85546875" style="2" customWidth="1"/>
    <col min="12807" max="13058" width="11.42578125" style="2"/>
    <col min="13059" max="13059" width="12" style="2" bestFit="1" customWidth="1"/>
    <col min="13060" max="13060" width="11.42578125" style="2"/>
    <col min="13061" max="13061" width="45.140625" style="2" customWidth="1"/>
    <col min="13062" max="13062" width="11.85546875" style="2" customWidth="1"/>
    <col min="13063" max="13314" width="11.42578125" style="2"/>
    <col min="13315" max="13315" width="12" style="2" bestFit="1" customWidth="1"/>
    <col min="13316" max="13316" width="11.42578125" style="2"/>
    <col min="13317" max="13317" width="45.140625" style="2" customWidth="1"/>
    <col min="13318" max="13318" width="11.85546875" style="2" customWidth="1"/>
    <col min="13319" max="13570" width="11.42578125" style="2"/>
    <col min="13571" max="13571" width="12" style="2" bestFit="1" customWidth="1"/>
    <col min="13572" max="13572" width="11.42578125" style="2"/>
    <col min="13573" max="13573" width="45.140625" style="2" customWidth="1"/>
    <col min="13574" max="13574" width="11.85546875" style="2" customWidth="1"/>
    <col min="13575" max="13826" width="11.42578125" style="2"/>
    <col min="13827" max="13827" width="12" style="2" bestFit="1" customWidth="1"/>
    <col min="13828" max="13828" width="11.42578125" style="2"/>
    <col min="13829" max="13829" width="45.140625" style="2" customWidth="1"/>
    <col min="13830" max="13830" width="11.85546875" style="2" customWidth="1"/>
    <col min="13831" max="14082" width="11.42578125" style="2"/>
    <col min="14083" max="14083" width="12" style="2" bestFit="1" customWidth="1"/>
    <col min="14084" max="14084" width="11.42578125" style="2"/>
    <col min="14085" max="14085" width="45.140625" style="2" customWidth="1"/>
    <col min="14086" max="14086" width="11.85546875" style="2" customWidth="1"/>
    <col min="14087" max="14338" width="11.42578125" style="2"/>
    <col min="14339" max="14339" width="12" style="2" bestFit="1" customWidth="1"/>
    <col min="14340" max="14340" width="11.42578125" style="2"/>
    <col min="14341" max="14341" width="45.140625" style="2" customWidth="1"/>
    <col min="14342" max="14342" width="11.85546875" style="2" customWidth="1"/>
    <col min="14343" max="14594" width="11.42578125" style="2"/>
    <col min="14595" max="14595" width="12" style="2" bestFit="1" customWidth="1"/>
    <col min="14596" max="14596" width="11.42578125" style="2"/>
    <col min="14597" max="14597" width="45.140625" style="2" customWidth="1"/>
    <col min="14598" max="14598" width="11.85546875" style="2" customWidth="1"/>
    <col min="14599" max="14850" width="11.42578125" style="2"/>
    <col min="14851" max="14851" width="12" style="2" bestFit="1" customWidth="1"/>
    <col min="14852" max="14852" width="11.42578125" style="2"/>
    <col min="14853" max="14853" width="45.140625" style="2" customWidth="1"/>
    <col min="14854" max="14854" width="11.85546875" style="2" customWidth="1"/>
    <col min="14855" max="15106" width="11.42578125" style="2"/>
    <col min="15107" max="15107" width="12" style="2" bestFit="1" customWidth="1"/>
    <col min="15108" max="15108" width="11.42578125" style="2"/>
    <col min="15109" max="15109" width="45.140625" style="2" customWidth="1"/>
    <col min="15110" max="15110" width="11.85546875" style="2" customWidth="1"/>
    <col min="15111" max="15362" width="11.42578125" style="2"/>
    <col min="15363" max="15363" width="12" style="2" bestFit="1" customWidth="1"/>
    <col min="15364" max="15364" width="11.42578125" style="2"/>
    <col min="15365" max="15365" width="45.140625" style="2" customWidth="1"/>
    <col min="15366" max="15366" width="11.85546875" style="2" customWidth="1"/>
    <col min="15367" max="15618" width="11.42578125" style="2"/>
    <col min="15619" max="15619" width="12" style="2" bestFit="1" customWidth="1"/>
    <col min="15620" max="15620" width="11.42578125" style="2"/>
    <col min="15621" max="15621" width="45.140625" style="2" customWidth="1"/>
    <col min="15622" max="15622" width="11.85546875" style="2" customWidth="1"/>
    <col min="15623" max="15874" width="11.42578125" style="2"/>
    <col min="15875" max="15875" width="12" style="2" bestFit="1" customWidth="1"/>
    <col min="15876" max="15876" width="11.42578125" style="2"/>
    <col min="15877" max="15877" width="45.140625" style="2" customWidth="1"/>
    <col min="15878" max="15878" width="11.85546875" style="2" customWidth="1"/>
    <col min="15879" max="16130" width="11.42578125" style="2"/>
    <col min="16131" max="16131" width="12" style="2" bestFit="1" customWidth="1"/>
    <col min="16132" max="16132" width="11.42578125" style="2"/>
    <col min="16133" max="16133" width="45.140625" style="2" customWidth="1"/>
    <col min="16134" max="16134" width="11.85546875" style="2" customWidth="1"/>
    <col min="16135" max="16384" width="11.42578125" style="2"/>
  </cols>
  <sheetData>
    <row r="7" spans="3:6" ht="15" customHeight="1"/>
    <row r="8" spans="3:6" ht="30" customHeight="1">
      <c r="C8" s="14" t="s">
        <v>3</v>
      </c>
      <c r="D8" s="14"/>
      <c r="E8" s="14"/>
      <c r="F8" s="14"/>
    </row>
    <row r="9" spans="3:6" ht="24.95" customHeight="1">
      <c r="C9" s="15"/>
      <c r="D9" s="1"/>
      <c r="E9" s="1"/>
      <c r="F9" s="1"/>
    </row>
    <row r="10" spans="3:6" ht="20.100000000000001" customHeight="1">
      <c r="C10" s="15"/>
      <c r="D10" s="24" t="s">
        <v>19</v>
      </c>
      <c r="E10" s="25"/>
      <c r="F10" s="25"/>
    </row>
    <row r="11" spans="3:6" ht="20.100000000000001" customHeight="1">
      <c r="C11" s="15"/>
      <c r="D11" s="1"/>
      <c r="E11" s="1"/>
      <c r="F11" s="1"/>
    </row>
    <row r="12" spans="3:6" ht="20.100000000000001" customHeight="1">
      <c r="C12" s="1"/>
      <c r="D12" s="16" t="s">
        <v>10</v>
      </c>
      <c r="E12" s="6"/>
      <c r="F12" s="6"/>
    </row>
    <row r="13" spans="3:6" ht="18" customHeight="1">
      <c r="C13" s="1"/>
      <c r="D13" s="1"/>
      <c r="E13" s="17"/>
      <c r="F13" s="1"/>
    </row>
    <row r="14" spans="3:6" ht="18" customHeight="1">
      <c r="C14" s="1"/>
      <c r="D14" s="1"/>
      <c r="E14" s="18" t="s">
        <v>246</v>
      </c>
      <c r="F14" s="1"/>
    </row>
    <row r="15" spans="3:6" ht="18" customHeight="1">
      <c r="C15" s="1"/>
      <c r="D15" s="1"/>
      <c r="E15" s="18" t="s">
        <v>215</v>
      </c>
      <c r="F15" s="1"/>
    </row>
    <row r="16" spans="3:6" ht="18" customHeight="1">
      <c r="C16" s="1"/>
      <c r="D16" s="1"/>
      <c r="E16" s="18" t="s">
        <v>216</v>
      </c>
      <c r="F16" s="1"/>
    </row>
    <row r="17" spans="2:8" ht="18" customHeight="1">
      <c r="C17" s="1"/>
      <c r="D17" s="1"/>
      <c r="E17" s="18" t="s">
        <v>217</v>
      </c>
      <c r="F17" s="1"/>
    </row>
    <row r="18" spans="2:8" ht="18" customHeight="1">
      <c r="C18" s="1"/>
      <c r="D18" s="1"/>
      <c r="E18" s="18" t="s">
        <v>247</v>
      </c>
      <c r="F18" s="1"/>
    </row>
    <row r="19" spans="2:8" ht="20.100000000000001" customHeight="1">
      <c r="C19" s="1"/>
      <c r="D19" s="1"/>
      <c r="E19" s="17"/>
      <c r="F19" s="1"/>
    </row>
    <row r="20" spans="2:8" ht="20.100000000000001" customHeight="1">
      <c r="C20" s="15"/>
      <c r="D20" s="24" t="str">
        <f>actualizaciones!A2</f>
        <v xml:space="preserve">acumulado julio 2010 </v>
      </c>
      <c r="E20" s="25"/>
      <c r="F20" s="25"/>
    </row>
    <row r="21" spans="2:8" ht="20.100000000000001" customHeight="1">
      <c r="C21" s="15"/>
      <c r="D21" s="1"/>
      <c r="E21" s="1"/>
      <c r="F21" s="1"/>
    </row>
    <row r="22" spans="2:8" ht="18" customHeight="1">
      <c r="C22" s="1"/>
      <c r="D22" s="16" t="s">
        <v>10</v>
      </c>
      <c r="E22" s="6"/>
      <c r="F22" s="6"/>
    </row>
    <row r="23" spans="2:8" ht="18" customHeight="1">
      <c r="C23" s="1"/>
      <c r="D23" s="1"/>
      <c r="E23" s="17"/>
      <c r="F23" s="1"/>
    </row>
    <row r="24" spans="2:8" ht="18" customHeight="1">
      <c r="C24" s="1"/>
      <c r="D24" s="1"/>
      <c r="E24" s="18" t="s">
        <v>11</v>
      </c>
      <c r="F24" s="1"/>
    </row>
    <row r="25" spans="2:8" ht="18" customHeight="1">
      <c r="C25" s="1"/>
      <c r="D25" s="1"/>
      <c r="E25" s="18" t="s">
        <v>219</v>
      </c>
      <c r="F25" s="1"/>
    </row>
    <row r="26" spans="2:8" ht="18" customHeight="1">
      <c r="C26" s="1"/>
      <c r="D26" s="1"/>
      <c r="E26" s="18" t="s">
        <v>13</v>
      </c>
      <c r="F26" s="1"/>
    </row>
    <row r="27" spans="2:8" ht="18" customHeight="1">
      <c r="C27" s="1"/>
      <c r="D27" s="1"/>
      <c r="E27" s="17"/>
      <c r="F27" s="1"/>
    </row>
    <row r="28" spans="2:8" ht="20.100000000000001" customHeight="1">
      <c r="C28" s="1"/>
      <c r="D28" s="16" t="s">
        <v>17</v>
      </c>
      <c r="E28" s="6"/>
      <c r="F28" s="6"/>
    </row>
    <row r="29" spans="2:8" ht="18" customHeight="1">
      <c r="C29" s="1"/>
      <c r="D29" s="1"/>
      <c r="E29" s="17"/>
      <c r="F29" s="1"/>
    </row>
    <row r="30" spans="2:8" ht="18" customHeight="1">
      <c r="B30" s="12"/>
      <c r="C30" s="1"/>
      <c r="D30" s="1"/>
      <c r="E30" s="18" t="s">
        <v>221</v>
      </c>
      <c r="F30" s="1"/>
      <c r="G30" s="12"/>
      <c r="H30" s="12"/>
    </row>
    <row r="31" spans="2:8" ht="18" customHeight="1">
      <c r="C31" s="1"/>
      <c r="D31" s="1"/>
      <c r="E31" s="18" t="s">
        <v>222</v>
      </c>
      <c r="F31" s="1"/>
    </row>
    <row r="32" spans="2:8" ht="18" customHeight="1">
      <c r="C32" s="1"/>
      <c r="D32" s="1"/>
      <c r="E32" s="18" t="s">
        <v>248</v>
      </c>
      <c r="F32" s="1"/>
    </row>
    <row r="33" spans="3:6" ht="18" customHeight="1">
      <c r="C33" s="1"/>
      <c r="D33" s="1"/>
      <c r="E33" s="316"/>
      <c r="F33" s="1"/>
    </row>
    <row r="34" spans="3:6" ht="20.100000000000001" customHeight="1">
      <c r="C34" s="21"/>
    </row>
    <row r="35" spans="3:6" ht="20.100000000000001" customHeight="1"/>
    <row r="36" spans="3:6" ht="20.100000000000001" customHeight="1">
      <c r="C36" s="11" t="s">
        <v>249</v>
      </c>
      <c r="D36" s="11"/>
      <c r="E36" s="11"/>
      <c r="F36" s="11"/>
    </row>
    <row r="37" spans="3:6" ht="15" customHeight="1"/>
    <row r="38" spans="3:6" ht="15" customHeight="1">
      <c r="E38" s="22"/>
    </row>
    <row r="39" spans="3:6" ht="15" customHeight="1"/>
    <row r="40" spans="3:6" ht="15" customHeight="1"/>
    <row r="41" spans="3:6" ht="15" customHeight="1">
      <c r="C41" s="12"/>
      <c r="D41" s="12"/>
      <c r="E41" s="12"/>
      <c r="F41" s="12"/>
    </row>
    <row r="42" spans="3:6" ht="15" customHeight="1"/>
    <row r="43" spans="3:6" ht="15" customHeight="1"/>
    <row r="44" spans="3:6" ht="15" customHeight="1"/>
    <row r="45" spans="3:6" ht="15" customHeight="1"/>
    <row r="46" spans="3:6" ht="15" customHeight="1"/>
    <row r="47" spans="3:6" ht="15" customHeight="1"/>
    <row r="48" spans="3: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</sheetData>
  <mergeCells count="2">
    <mergeCell ref="C8:F8"/>
    <mergeCell ref="C36:F36"/>
  </mergeCells>
  <hyperlinks>
    <hyperlink ref="E15" location="'Tablas evol IO zona'!A1" tooltip="Zonas y tipología de establecimiento" display="Evolución anual por zona turística y tipología de establecimiento"/>
    <hyperlink ref="E17" location="'tablas evol IO CAT '!A1" tooltip="Tipología y categoría de establecimiento" display="Evolución anual por tipología y categoría de los establecimientos"/>
    <hyperlink ref="E24" location="'IO Tipología'!A1" tooltip="Tipología de establecimiento" display="Tipología de establecimiento"/>
    <hyperlink ref="E25" location="'IO zona y Tipología '!A1" tooltip="Zonas y tipología de establecimiento" display="Zona turística y tipología de establecimiento"/>
    <hyperlink ref="E26" location="'IO tipología y categoría'!A1" tooltip="Tipología y categoría de establecimiento" display="Tipología y categoría de establecimiento"/>
    <hyperlink ref="E30" location="'gráfica IO zonas y tipologí '!A1" tooltip="Gráfica zona y tipología" display="Zona turística y tipología alojativa"/>
    <hyperlink ref="E31" location="'gráfica IO tipología'!A1" tooltip="Gráfica tipología y categoría alojativa" display="Tipología y categoría alojativa"/>
    <hyperlink ref="E32" location="'gráfica IO mensual'!A1" tooltip="Gráfica evolución mensual" display="Evolución mensual"/>
    <hyperlink ref="E14" location="'IO evolución mensual'!A1" tooltip="Evolución mensual IO" display="Evolución mensual"/>
    <hyperlink ref="E16" location="'evolución IO zona'!A1" tooltip="Variación interanual por zona turística y tipología de establecimiento" display="Variación interanual por zona turística y tipología de establecimiento"/>
    <hyperlink ref="E18" location="'evolución IO CAT '!A1" tooltip="Variación interanual por tipología y categoría de los establecimientos" display="Variación interanual por tipología y categoría de los establecimientos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C1:J70"/>
  <sheetViews>
    <sheetView showGridLines="0" showRowColHeaders="0" zoomScaleNormal="100" workbookViewId="0">
      <selection activeCell="I13" sqref="I13"/>
    </sheetView>
  </sheetViews>
  <sheetFormatPr baseColWidth="10" defaultRowHeight="15" outlineLevelRow="1"/>
  <cols>
    <col min="4" max="6" width="14.42578125" customWidth="1"/>
    <col min="9" max="9" width="13.28515625" customWidth="1"/>
  </cols>
  <sheetData>
    <row r="1" spans="3:10" ht="17.25" customHeight="1"/>
    <row r="2" spans="3:10" ht="40.5" customHeight="1"/>
    <row r="3" spans="3:10" ht="41.25" customHeight="1">
      <c r="C3" s="47" t="s">
        <v>34</v>
      </c>
      <c r="D3" s="47"/>
      <c r="E3" s="47"/>
      <c r="F3" s="47"/>
    </row>
    <row r="4" spans="3:10" ht="30" customHeight="1">
      <c r="C4" s="48"/>
      <c r="D4" s="49" t="s">
        <v>35</v>
      </c>
      <c r="E4" s="49" t="s">
        <v>36</v>
      </c>
      <c r="F4" s="49" t="s">
        <v>37</v>
      </c>
      <c r="H4" s="50"/>
      <c r="I4" s="50"/>
      <c r="J4" s="50"/>
    </row>
    <row r="5" spans="3:10" hidden="1">
      <c r="C5" s="51" t="s">
        <v>38</v>
      </c>
      <c r="D5" s="52" t="e">
        <f>GETPIVOTDATA("dato",'[1]Turistas alojados tipologia'!$A$4,"categoría","Hoteleros","mes",12,"año",2010)</f>
        <v>#REF!</v>
      </c>
      <c r="E5" s="52" t="e">
        <f>GETPIVOTDATA("dato",'[1]Turistas alojados tipologia'!$A$4,"categoría","EXTRAHOTELEROS","mes",12,"año",2010)</f>
        <v>#REF!</v>
      </c>
      <c r="F5" s="52" t="e">
        <f>GETPIVOTDATA("dato",'[1]Turistas alojados tipologia'!$A$4,"categoría","TOTAL","mes",12,"año",2010)</f>
        <v>#REF!</v>
      </c>
    </row>
    <row r="6" spans="3:10" hidden="1">
      <c r="C6" s="51" t="s">
        <v>39</v>
      </c>
      <c r="D6" s="52" t="e">
        <f>GETPIVOTDATA("dato",'[1]Turistas alojados tipologia'!$A$4,"categoría","Hoteleros","mes",11,"año",2010)</f>
        <v>#REF!</v>
      </c>
      <c r="E6" s="52" t="e">
        <f>GETPIVOTDATA("dato",'[1]Turistas alojados tipologia'!$A$4,"categoría","EXTRAHOTELEROS","mes",11,"año",2010)</f>
        <v>#REF!</v>
      </c>
      <c r="F6" s="52" t="e">
        <f>GETPIVOTDATA("dato",'[1]Turistas alojados tipologia'!$A$4,"categoría","TOTAL","mes",11,"año",2010)</f>
        <v>#REF!</v>
      </c>
    </row>
    <row r="7" spans="3:10" hidden="1">
      <c r="C7" s="51" t="s">
        <v>40</v>
      </c>
      <c r="D7" s="52" t="e">
        <f>GETPIVOTDATA("dato",'[1]Turistas alojados tipologia'!$A$4,"categoría","Hoteleros","mes",10,"año",2010)</f>
        <v>#REF!</v>
      </c>
      <c r="E7" s="52" t="e">
        <f>GETPIVOTDATA("dato",'[1]Turistas alojados tipologia'!$A$4,"categoría","EXTRAHOTELEROS","mes",10,"año",2010)</f>
        <v>#REF!</v>
      </c>
      <c r="F7" s="52" t="e">
        <f>GETPIVOTDATA("dato",'[1]Turistas alojados tipologia'!$A$4,"categoría","TOTAL","mes",10,"año",2010)</f>
        <v>#REF!</v>
      </c>
    </row>
    <row r="8" spans="3:10" hidden="1">
      <c r="C8" s="51" t="s">
        <v>41</v>
      </c>
      <c r="D8" s="52" t="e">
        <f>GETPIVOTDATA("dato",'[1]Turistas alojados tipologia'!$A$4,"categoría","Hoteleros","mes",9,"año",2010)</f>
        <v>#REF!</v>
      </c>
      <c r="E8" s="52" t="e">
        <f>GETPIVOTDATA("dato",'[1]Turistas alojados tipologia'!$A$4,"categoría","EXTRAHOTELEROS","mes",9,"año",2010)</f>
        <v>#REF!</v>
      </c>
      <c r="F8" s="52" t="e">
        <f>GETPIVOTDATA("dato",'[1]Turistas alojados tipologia'!$A$4,"categoría","TOTAL","mes",9,"año",2010)</f>
        <v>#REF!</v>
      </c>
    </row>
    <row r="9" spans="3:10" hidden="1">
      <c r="C9" s="51" t="s">
        <v>42</v>
      </c>
      <c r="D9" s="52" t="e">
        <f>GETPIVOTDATA("dato",'[1]Turistas alojados tipologia'!$A$4,"categoría","Hoteleros","mes",8,"año",2010)</f>
        <v>#REF!</v>
      </c>
      <c r="E9" s="52" t="e">
        <f>GETPIVOTDATA("dato",'[1]Turistas alojados tipologia'!$A$4,"categoría","EXTRAHOTELEROS","mes",8,"año",2010)</f>
        <v>#REF!</v>
      </c>
      <c r="F9" s="52" t="e">
        <f>GETPIVOTDATA("dato",'[1]Turistas alojados tipologia'!$A$4,"categoría","TOTAL","mes",8,"año",2010)</f>
        <v>#REF!</v>
      </c>
    </row>
    <row r="10" spans="3:10">
      <c r="C10" s="51" t="s">
        <v>43</v>
      </c>
      <c r="D10" s="52">
        <f>GETPIVOTDATA("dato",'[1]Turistas alojados tipologia'!$A$4,"categoría","Hoteleros","mes",7,"año",2010)</f>
        <v>10611</v>
      </c>
      <c r="E10" s="52">
        <f>GETPIVOTDATA("dato",'[1]Turistas alojados tipologia'!$A$4,"categoría","EXTRAHOTELEROS","mes",7,"año",2010)</f>
        <v>0</v>
      </c>
      <c r="F10" s="52">
        <f>GETPIVOTDATA("dato",'[1]Turistas alojados tipologia'!$A$4,"categoría","TOTAL","mes",7,"año",2010)</f>
        <v>10611</v>
      </c>
    </row>
    <row r="11" spans="3:10">
      <c r="C11" s="51" t="s">
        <v>44</v>
      </c>
      <c r="D11" s="52">
        <f>GETPIVOTDATA("dato",'[1]Turistas alojados tipologia'!$A$4,"categoría","Hoteleros","mes",6,"año",2010)</f>
        <v>12682</v>
      </c>
      <c r="E11" s="52">
        <f>GETPIVOTDATA("dato",'[1]Turistas alojados tipologia'!$A$4,"categoría","EXTRAHOTELEROS","mes",6,"año",2010)</f>
        <v>0</v>
      </c>
      <c r="F11" s="52">
        <f>GETPIVOTDATA("dato",'[1]Turistas alojados tipologia'!$A$4,"categoría","TOTAL","mes",6,"año",2010)</f>
        <v>12682</v>
      </c>
      <c r="H11" s="53"/>
      <c r="I11" s="53"/>
      <c r="J11" s="53"/>
    </row>
    <row r="12" spans="3:10">
      <c r="C12" s="51" t="s">
        <v>45</v>
      </c>
      <c r="D12" s="52">
        <f>GETPIVOTDATA("dato",'[1]Turistas alojados tipologia'!$A$4,"categoría","Hoteleros","mes",5,"año",2010)</f>
        <v>12407</v>
      </c>
      <c r="E12" s="52">
        <f>GETPIVOTDATA("dato",'[1]Turistas alojados tipologia'!$A$4,"categoría","EXTRAHOTELEROS","mes",5,"año",2010)</f>
        <v>0</v>
      </c>
      <c r="F12" s="52">
        <f>GETPIVOTDATA("dato",'[1]Turistas alojados tipologia'!$A$4,"categoría","TOTAL","mes",5,"año",2010)</f>
        <v>12407</v>
      </c>
    </row>
    <row r="13" spans="3:10">
      <c r="C13" s="51" t="s">
        <v>46</v>
      </c>
      <c r="D13" s="52">
        <f>GETPIVOTDATA("dato",'[1]Turistas alojados tipologia'!$A$4,"categoría","Hoteleros","mes",4,"año",2010)</f>
        <v>12595</v>
      </c>
      <c r="E13" s="52">
        <f>GETPIVOTDATA("dato",'[1]Turistas alojados tipologia'!$A$4,"categoría","EXTRAHOTELEROS","mes",4,"año",2010)</f>
        <v>0</v>
      </c>
      <c r="F13" s="52">
        <f>GETPIVOTDATA("dato",'[1]Turistas alojados tipologia'!$A$4,"categoría","TOTAL","mes",4,"año",2010)</f>
        <v>12595</v>
      </c>
    </row>
    <row r="14" spans="3:10">
      <c r="C14" s="51" t="s">
        <v>47</v>
      </c>
      <c r="D14" s="52">
        <f>GETPIVOTDATA("dato",'[1]Turistas alojados tipologia'!$A$4,"categoría","Hoteleros","mes",3,"año",2010)</f>
        <v>14574</v>
      </c>
      <c r="E14" s="52">
        <f>GETPIVOTDATA("dato",'[1]Turistas alojados tipologia'!$A$4,"categoría","EXTRAHOTELEROS","mes",3,"año",2010)</f>
        <v>0</v>
      </c>
      <c r="F14" s="52">
        <f>GETPIVOTDATA("dato",'[1]Turistas alojados tipologia'!$A$4,"categoría","TOTAL","mes",3,"año",2010)</f>
        <v>14574</v>
      </c>
    </row>
    <row r="15" spans="3:10">
      <c r="C15" s="51" t="s">
        <v>48</v>
      </c>
      <c r="D15" s="52">
        <f>GETPIVOTDATA("dato",'[1]Turistas alojados tipologia'!$A$4,"categoría","Hoteleros","mes",2,"año",2010)</f>
        <v>16759</v>
      </c>
      <c r="E15" s="52">
        <f>GETPIVOTDATA("dato",'[1]Turistas alojados tipologia'!$A$4,"categoría","EXTRAHOTELEROS","mes",2,"año",2010)</f>
        <v>0</v>
      </c>
      <c r="F15" s="52">
        <f>GETPIVOTDATA("dato",'[1]Turistas alojados tipologia'!$A$4,"categoría","TOTAL","mes",2,"año",2010)</f>
        <v>16759</v>
      </c>
    </row>
    <row r="16" spans="3:10">
      <c r="C16" s="51" t="s">
        <v>49</v>
      </c>
      <c r="D16" s="52">
        <f>GETPIVOTDATA("dato",'[1]Turistas alojados tipologia'!$A$4,"categoría","Hoteleros","mes",1,"año",2010)</f>
        <v>13188</v>
      </c>
      <c r="E16" s="52">
        <f>GETPIVOTDATA("dato",'[1]Turistas alojados tipologia'!$A$4,"categoría","EXTRAHOTELEROS","mes",1,"año",2010)</f>
        <v>0</v>
      </c>
      <c r="F16" s="52">
        <f>GETPIVOTDATA("dato",'[1]Turistas alojados tipologia'!$A$4,"categoría","TOTAL","mes",1,"año",2010)</f>
        <v>13188</v>
      </c>
    </row>
    <row r="17" spans="3:10" ht="30">
      <c r="C17" s="54" t="str">
        <f>actualizaciones!A2</f>
        <v xml:space="preserve">acumulado julio 2010 </v>
      </c>
      <c r="D17" s="55">
        <f>GETPIVOTDATA("dato",'[1]Turistas alojados tipologia'!$A$4,"categoría","Hoteleros","año",2010)</f>
        <v>92816</v>
      </c>
      <c r="E17" s="55">
        <f>GETPIVOTDATA("dato",'[1]Turistas alojados tipologia'!$A$4,"categoría","EXTRAHOTELEROS","año",2010)</f>
        <v>0</v>
      </c>
      <c r="F17" s="55">
        <f>GETPIVOTDATA("dato",'[1]Turistas alojados tipologia'!$A$4,"categoría","TOTAL","año",2010)</f>
        <v>92816</v>
      </c>
    </row>
    <row r="18" spans="3:10" hidden="1" outlineLevel="1">
      <c r="C18" s="51" t="s">
        <v>38</v>
      </c>
      <c r="D18" s="52">
        <f>GETPIVOTDATA("dato",'[1]Turistas alojados tipologia'!$A$4,"categoría","Hoteleros","mes",12,"año",2009)</f>
        <v>13086</v>
      </c>
      <c r="E18" s="52">
        <f>GETPIVOTDATA("dato",'[1]Turistas alojados tipologia'!$A$4,"categoría","EXTRAHOTELEROS","mes",12,"año",2009)</f>
        <v>0</v>
      </c>
      <c r="F18" s="52">
        <f>GETPIVOTDATA("dato",'[1]Turistas alojados tipologia'!$A$4,"categoría","TOTAL","mes",12,"año",2009)</f>
        <v>13086</v>
      </c>
      <c r="H18" s="53"/>
      <c r="I18" s="53"/>
      <c r="J18" s="53"/>
    </row>
    <row r="19" spans="3:10" hidden="1" outlineLevel="1">
      <c r="C19" s="51" t="s">
        <v>39</v>
      </c>
      <c r="D19" s="52">
        <f>GETPIVOTDATA("dato",'[1]Turistas alojados tipologia'!$A$4,"categoría","Hoteleros","mes",11,"año",2009)</f>
        <v>13990</v>
      </c>
      <c r="E19" s="52">
        <f>GETPIVOTDATA("dato",'[1]Turistas alojados tipologia'!$A$4,"categoría","EXTRAHOTELEROS","mes",11,"año",2009)</f>
        <v>0</v>
      </c>
      <c r="F19" s="52">
        <f>GETPIVOTDATA("dato",'[1]Turistas alojados tipologia'!$A$4,"categoría","TOTAL","mes",11,"año",2009)</f>
        <v>13990</v>
      </c>
    </row>
    <row r="20" spans="3:10" hidden="1" outlineLevel="1">
      <c r="C20" s="51" t="s">
        <v>40</v>
      </c>
      <c r="D20" s="52">
        <f>GETPIVOTDATA("dato",'[1]Turistas alojados tipologia'!$A$4,"categoría","Hoteleros","mes",10,"año",2009)</f>
        <v>12809</v>
      </c>
      <c r="E20" s="52">
        <f>GETPIVOTDATA("dato",'[1]Turistas alojados tipologia'!$A$4,"categoría","EXTRAHOTELEROS","mes",10,"año",2009)</f>
        <v>0</v>
      </c>
      <c r="F20" s="52">
        <f>GETPIVOTDATA("dato",'[1]Turistas alojados tipologia'!$A$4,"categoría","TOTAL","mes",10,"año",2009)</f>
        <v>12809</v>
      </c>
    </row>
    <row r="21" spans="3:10" hidden="1" outlineLevel="1">
      <c r="C21" s="51" t="s">
        <v>41</v>
      </c>
      <c r="D21" s="52">
        <f>GETPIVOTDATA("dato",'[1]Turistas alojados tipologia'!$A$4,"categoría","Hoteleros","mes",9,"año",2009)</f>
        <v>11123</v>
      </c>
      <c r="E21" s="52">
        <f>GETPIVOTDATA("dato",'[1]Turistas alojados tipologia'!$A$4,"categoría","EXTRAHOTELEROS","mes",9,"año",2009)</f>
        <v>0</v>
      </c>
      <c r="F21" s="52">
        <f>GETPIVOTDATA("dato",'[1]Turistas alojados tipologia'!$A$4,"categoría","TOTAL","mes",9,"año",2009)</f>
        <v>11123</v>
      </c>
    </row>
    <row r="22" spans="3:10" hidden="1" outlineLevel="1">
      <c r="C22" s="51" t="s">
        <v>42</v>
      </c>
      <c r="D22" s="52">
        <f>GETPIVOTDATA("dato",'[1]Turistas alojados tipologia'!$A$4,"categoría","Hoteleros","mes",8,"año",2009)</f>
        <v>7777</v>
      </c>
      <c r="E22" s="52">
        <f>GETPIVOTDATA("dato",'[1]Turistas alojados tipologia'!$A$4,"categoría","EXTRAHOTELEROS","mes",8,"año",2009)</f>
        <v>0</v>
      </c>
      <c r="F22" s="52">
        <f>GETPIVOTDATA("dato",'[1]Turistas alojados tipologia'!$A$4,"categoría","TOTAL","mes",8,"año",2009)</f>
        <v>7777</v>
      </c>
    </row>
    <row r="23" spans="3:10" hidden="1" outlineLevel="1">
      <c r="C23" s="51" t="s">
        <v>43</v>
      </c>
      <c r="D23" s="52">
        <f>GETPIVOTDATA("dato",'[1]Turistas alojados tipologia'!$A$4,"categoría","Hoteleros","mes",7,"año",2009)</f>
        <v>11890</v>
      </c>
      <c r="E23" s="52">
        <f>GETPIVOTDATA("dato",'[1]Turistas alojados tipologia'!$A$4,"categoría","EXTRAHOTELEROS","mes",7,"año",2009)</f>
        <v>0</v>
      </c>
      <c r="F23" s="52">
        <f>GETPIVOTDATA("dato",'[1]Turistas alojados tipologia'!$A$4,"categoría","TOTAL","mes",7,"año",2009)</f>
        <v>11890</v>
      </c>
    </row>
    <row r="24" spans="3:10" hidden="1" outlineLevel="1">
      <c r="C24" s="51" t="s">
        <v>44</v>
      </c>
      <c r="D24" s="52">
        <f>GETPIVOTDATA("dato",'[1]Turistas alojados tipologia'!$A$4,"categoría","Hoteleros","mes",6,"año",2009)</f>
        <v>12750</v>
      </c>
      <c r="E24" s="52">
        <f>GETPIVOTDATA("dato",'[1]Turistas alojados tipologia'!$A$4,"categoría","EXTRAHOTELEROS","mes",6,"año",2009)</f>
        <v>0</v>
      </c>
      <c r="F24" s="52">
        <f>GETPIVOTDATA("dato",'[1]Turistas alojados tipologia'!$A$4,"categoría","TOTAL","mes",6,"año",2009)</f>
        <v>12750</v>
      </c>
    </row>
    <row r="25" spans="3:10" hidden="1" outlineLevel="1">
      <c r="C25" s="51" t="s">
        <v>45</v>
      </c>
      <c r="D25" s="52">
        <f>GETPIVOTDATA("dato",'[1]Turistas alojados tipologia'!$A$4,"categoría","Hoteleros","mes",5,"año",2009)</f>
        <v>13474</v>
      </c>
      <c r="E25" s="52">
        <f>GETPIVOTDATA("dato",'[1]Turistas alojados tipologia'!$A$4,"categoría","EXTRAHOTELEROS","mes",5,"año",2009)</f>
        <v>0</v>
      </c>
      <c r="F25" s="52">
        <f>GETPIVOTDATA("dato",'[1]Turistas alojados tipologia'!$A$4,"categoría","TOTAL","mes",5,"año",2009)</f>
        <v>13474</v>
      </c>
    </row>
    <row r="26" spans="3:10" hidden="1" outlineLevel="1">
      <c r="C26" s="51" t="s">
        <v>46</v>
      </c>
      <c r="D26" s="52">
        <f>GETPIVOTDATA("dato",'[1]Turistas alojados tipologia'!$A$4,"categoría","Hoteleros","mes",4,"año",2009)</f>
        <v>13079</v>
      </c>
      <c r="E26" s="52">
        <f>GETPIVOTDATA("dato",'[1]Turistas alojados tipologia'!$A$4,"categoría","EXTRAHOTELEROS","mes",4,"año",2009)</f>
        <v>0</v>
      </c>
      <c r="F26" s="52">
        <f>GETPIVOTDATA("dato",'[1]Turistas alojados tipologia'!$A$4,"categoría","TOTAL","mes",4,"año",2009)</f>
        <v>13079</v>
      </c>
    </row>
    <row r="27" spans="3:10" hidden="1" outlineLevel="1">
      <c r="C27" s="51" t="s">
        <v>47</v>
      </c>
      <c r="D27" s="52">
        <f>GETPIVOTDATA("dato",'[1]Turistas alojados tipologia'!$A$4,"categoría","Hoteleros","mes",3,"año",2009)</f>
        <v>15653</v>
      </c>
      <c r="E27" s="52">
        <f>GETPIVOTDATA("dato",'[1]Turistas alojados tipologia'!$A$4,"categoría","EXTRAHOTELEROS","mes",3,"año",2009)</f>
        <v>0</v>
      </c>
      <c r="F27" s="52">
        <f>GETPIVOTDATA("dato",'[1]Turistas alojados tipologia'!$A$4,"categoría","TOTAL","mes",3,"año",2009)</f>
        <v>15653</v>
      </c>
    </row>
    <row r="28" spans="3:10" hidden="1" outlineLevel="1">
      <c r="C28" s="51" t="s">
        <v>48</v>
      </c>
      <c r="D28" s="52">
        <f>GETPIVOTDATA("dato",'[1]Turistas alojados tipologia'!$A$4,"categoría","Hoteleros","mes",2,"año",2009)</f>
        <v>15172</v>
      </c>
      <c r="E28" s="52">
        <f>GETPIVOTDATA("dato",'[1]Turistas alojados tipologia'!$A$4,"categoría","EXTRAHOTELEROS","mes",2,"año",2009)</f>
        <v>0</v>
      </c>
      <c r="F28" s="52">
        <f>GETPIVOTDATA("dato",'[1]Turistas alojados tipologia'!$A$4,"categoría","TOTAL","mes",2,"año",2009)</f>
        <v>15172</v>
      </c>
    </row>
    <row r="29" spans="3:10" hidden="1" outlineLevel="1">
      <c r="C29" s="51" t="s">
        <v>49</v>
      </c>
      <c r="D29" s="52">
        <f>GETPIVOTDATA("dato",'[1]Turistas alojados tipologia'!$A$4,"categoría","Hoteleros","mes",1,"año",2009)</f>
        <v>13570</v>
      </c>
      <c r="E29" s="52">
        <f>GETPIVOTDATA("dato",'[1]Turistas alojados tipologia'!$A$4,"categoría","EXTRAHOTELEROS","mes",1,"año",2009)</f>
        <v>0</v>
      </c>
      <c r="F29" s="52">
        <f>GETPIVOTDATA("dato",'[1]Turistas alojados tipologia'!$A$4,"categoría","TOTAL","mes",1,"año",2009)</f>
        <v>13570</v>
      </c>
    </row>
    <row r="30" spans="3:10" collapsed="1">
      <c r="C30" s="56">
        <v>2009</v>
      </c>
      <c r="D30" s="57">
        <f>GETPIVOTDATA("dato",'[1]Turistas alojados tipologia'!$A$4,"categoría","Hoteleros","año",2009)</f>
        <v>154373</v>
      </c>
      <c r="E30" s="57">
        <f>GETPIVOTDATA("dato",'[1]Turistas alojados tipologia'!$A$4,"categoría","EXTRAHOTELEROS","año",2009)</f>
        <v>0</v>
      </c>
      <c r="F30" s="57">
        <f>GETPIVOTDATA("dato",'[1]Turistas alojados tipologia'!$A$4,"categoría","TOTAL","año",2009)</f>
        <v>154373</v>
      </c>
    </row>
    <row r="31" spans="3:10" hidden="1" outlineLevel="1">
      <c r="C31" s="51" t="s">
        <v>38</v>
      </c>
      <c r="D31" s="52">
        <f>GETPIVOTDATA("dato",'[1]Turistas alojados tipologia'!$A$4,"categoría","Hoteleros","mes",12,"año",2008)</f>
        <v>16132</v>
      </c>
      <c r="E31" s="52">
        <f>GETPIVOTDATA("dato",'[1]Turistas alojados tipologia'!$A$4,"categoría","EXTRAHOTELEROS","mes",12,"año",2008)</f>
        <v>0</v>
      </c>
      <c r="F31" s="52">
        <f>GETPIVOTDATA("dato",'[1]Turistas alojados tipologia'!$A$4,"categoría","TOTAL","mes",12,"año",2008)</f>
        <v>16132</v>
      </c>
    </row>
    <row r="32" spans="3:10" hidden="1" outlineLevel="1">
      <c r="C32" s="51" t="s">
        <v>39</v>
      </c>
      <c r="D32" s="52">
        <f>GETPIVOTDATA("dato",'[1]Turistas alojados tipologia'!$A$4,"categoría","Hoteleros","mes",11,"año",2008)</f>
        <v>17843</v>
      </c>
      <c r="E32" s="52">
        <f>GETPIVOTDATA("dato",'[1]Turistas alojados tipologia'!$A$4,"categoría","EXTRAHOTELEROS","mes",11,"año",2008)</f>
        <v>0</v>
      </c>
      <c r="F32" s="52">
        <f>GETPIVOTDATA("dato",'[1]Turistas alojados tipologia'!$A$4,"categoría","TOTAL","mes",11,"año",2008)</f>
        <v>17843</v>
      </c>
    </row>
    <row r="33" spans="3:6" hidden="1" outlineLevel="1">
      <c r="C33" s="51" t="s">
        <v>40</v>
      </c>
      <c r="D33" s="52">
        <f>GETPIVOTDATA("dato",'[1]Turistas alojados tipologia'!$A$4,"categoría","Hoteleros","mes",10,"año",2008)</f>
        <v>18706</v>
      </c>
      <c r="E33" s="52">
        <f>GETPIVOTDATA("dato",'[1]Turistas alojados tipologia'!$A$4,"categoría","EXTRAHOTELEROS","mes",10,"año",2008)</f>
        <v>0</v>
      </c>
      <c r="F33" s="52">
        <f>GETPIVOTDATA("dato",'[1]Turistas alojados tipologia'!$A$4,"categoría","TOTAL","mes",10,"año",2008)</f>
        <v>18706</v>
      </c>
    </row>
    <row r="34" spans="3:6" hidden="1" outlineLevel="1">
      <c r="C34" s="51" t="s">
        <v>41</v>
      </c>
      <c r="D34" s="52">
        <f>GETPIVOTDATA("dato",'[1]Turistas alojados tipologia'!$A$4,"categoría","Hoteleros","mes",9,"año",2008)</f>
        <v>15134</v>
      </c>
      <c r="E34" s="52">
        <f>GETPIVOTDATA("dato",'[1]Turistas alojados tipologia'!$A$4,"categoría","EXTRAHOTELEROS","mes",9,"año",2008)</f>
        <v>0</v>
      </c>
      <c r="F34" s="52">
        <f>GETPIVOTDATA("dato",'[1]Turistas alojados tipologia'!$A$4,"categoría","TOTAL","mes",9,"año",2008)</f>
        <v>15134</v>
      </c>
    </row>
    <row r="35" spans="3:6" ht="13.5" hidden="1" customHeight="1" outlineLevel="1">
      <c r="C35" s="51" t="s">
        <v>42</v>
      </c>
      <c r="D35" s="52">
        <f>GETPIVOTDATA("dato",'[1]Turistas alojados tipologia'!$A$4,"categoría","Hoteleros","mes",8,"año",2008)</f>
        <v>12308</v>
      </c>
      <c r="E35" s="52">
        <f>GETPIVOTDATA("dato",'[1]Turistas alojados tipologia'!$A$4,"categoría","EXTRAHOTELEROS","mes",8,"año",2008)</f>
        <v>0</v>
      </c>
      <c r="F35" s="52">
        <f>GETPIVOTDATA("dato",'[1]Turistas alojados tipologia'!$A$4,"categoría","TOTAL","mes",8,"año",2008)</f>
        <v>12308</v>
      </c>
    </row>
    <row r="36" spans="3:6" ht="13.5" hidden="1" customHeight="1" outlineLevel="1">
      <c r="C36" s="51" t="s">
        <v>43</v>
      </c>
      <c r="D36" s="52">
        <f>GETPIVOTDATA("dato",'[1]Turistas alojados tipologia'!$A$4,"categoría","Hoteleros","mes",7,"año",2008)</f>
        <v>16337</v>
      </c>
      <c r="E36" s="52">
        <f>GETPIVOTDATA("dato",'[1]Turistas alojados tipologia'!$A$4,"categoría","EXTRAHOTELEROS","mes",7,"año",2008)</f>
        <v>0</v>
      </c>
      <c r="F36" s="52">
        <f>GETPIVOTDATA("dato",'[1]Turistas alojados tipologia'!$A$4,"categoría","TOTAL","mes",7,"año",2008)</f>
        <v>16337</v>
      </c>
    </row>
    <row r="37" spans="3:6" hidden="1" outlineLevel="1">
      <c r="C37" s="51" t="s">
        <v>44</v>
      </c>
      <c r="D37" s="52">
        <f>GETPIVOTDATA("dato",'[1]Turistas alojados tipologia'!$A$4,"categoría","Hoteleros","mes",6,"año",2008)</f>
        <v>15440</v>
      </c>
      <c r="E37" s="52">
        <f>GETPIVOTDATA("dato",'[1]Turistas alojados tipologia'!$A$4,"categoría","EXTRAHOTELEROS","mes",6,"año",2008)</f>
        <v>0</v>
      </c>
      <c r="F37" s="52">
        <f>GETPIVOTDATA("dato",'[1]Turistas alojados tipologia'!$A$4,"categoría","TOTAL","mes",6,"año",2008)</f>
        <v>15440</v>
      </c>
    </row>
    <row r="38" spans="3:6" hidden="1" outlineLevel="1">
      <c r="C38" s="51" t="s">
        <v>45</v>
      </c>
      <c r="D38" s="52">
        <f>GETPIVOTDATA("dato",'[1]Turistas alojados tipologia'!$A$4,"categoría","Hoteleros","mes",5,"año",2008)</f>
        <v>17437</v>
      </c>
      <c r="E38" s="52">
        <f>GETPIVOTDATA("dato",'[1]Turistas alojados tipologia'!$A$4,"categoría","EXTRAHOTELEROS","mes",5,"año",2008)</f>
        <v>0</v>
      </c>
      <c r="F38" s="52">
        <f>GETPIVOTDATA("dato",'[1]Turistas alojados tipologia'!$A$4,"categoría","TOTAL","mes",5,"año",2008)</f>
        <v>17437</v>
      </c>
    </row>
    <row r="39" spans="3:6" hidden="1" outlineLevel="1">
      <c r="C39" s="51" t="s">
        <v>46</v>
      </c>
      <c r="D39" s="52">
        <f>GETPIVOTDATA("dato",'[1]Turistas alojados tipologia'!$A$4,"categoría","Hoteleros","mes",4,"año",2008)</f>
        <v>17593</v>
      </c>
      <c r="E39" s="52">
        <f>GETPIVOTDATA("dato",'[1]Turistas alojados tipologia'!$A$4,"categoría","EXTRAHOTELEROS","mes",4,"año",2008)</f>
        <v>0</v>
      </c>
      <c r="F39" s="52">
        <f>GETPIVOTDATA("dato",'[1]Turistas alojados tipologia'!$A$4,"categoría","TOTAL","mes",4,"año",2008)</f>
        <v>17593</v>
      </c>
    </row>
    <row r="40" spans="3:6" hidden="1" outlineLevel="1">
      <c r="C40" s="51" t="s">
        <v>47</v>
      </c>
      <c r="D40" s="52">
        <f>GETPIVOTDATA("dato",'[1]Turistas alojados tipologia'!$A$4,"categoría","Hoteleros","mes",3,"año",2008)</f>
        <v>16551</v>
      </c>
      <c r="E40" s="52">
        <f>GETPIVOTDATA("dato",'[1]Turistas alojados tipologia'!$A$4,"categoría","EXTRAHOTELEROS","mes",3,"año",2008)</f>
        <v>0</v>
      </c>
      <c r="F40" s="52">
        <f>GETPIVOTDATA("dato",'[1]Turistas alojados tipologia'!$A$4,"categoría","TOTAL","mes",3,"año",2008)</f>
        <v>16551</v>
      </c>
    </row>
    <row r="41" spans="3:6" hidden="1" outlineLevel="1">
      <c r="C41" s="51" t="s">
        <v>48</v>
      </c>
      <c r="D41" s="52">
        <f>GETPIVOTDATA("dato",'[1]Turistas alojados tipologia'!$A$4,"categoría","Hoteleros","mes",2,"año",2008)</f>
        <v>19355</v>
      </c>
      <c r="E41" s="52">
        <f>GETPIVOTDATA("dato",'[1]Turistas alojados tipologia'!$A$4,"categoría","EXTRAHOTELEROS","mes",2,"año",2008)</f>
        <v>0</v>
      </c>
      <c r="F41" s="52">
        <f>GETPIVOTDATA("dato",'[1]Turistas alojados tipologia'!$A$4,"categoría","TOTAL","mes",2,"año",2008)</f>
        <v>19355</v>
      </c>
    </row>
    <row r="42" spans="3:6" hidden="1" outlineLevel="1">
      <c r="C42" s="51" t="s">
        <v>49</v>
      </c>
      <c r="D42" s="52">
        <f>GETPIVOTDATA("dato",'[1]Turistas alojados tipologia'!$A$4,"categoría","Hoteleros","mes",1,"año",2008)</f>
        <v>16982</v>
      </c>
      <c r="E42" s="52">
        <f>GETPIVOTDATA("dato",'[1]Turistas alojados tipologia'!$A$4,"categoría","EXTRAHOTELEROS","mes",1,"año",2008)</f>
        <v>0</v>
      </c>
      <c r="F42" s="52">
        <f>GETPIVOTDATA("dato",'[1]Turistas alojados tipologia'!$A$4,"categoría","TOTAL","mes",1,"año",2008)</f>
        <v>16982</v>
      </c>
    </row>
    <row r="43" spans="3:6" collapsed="1">
      <c r="C43" s="58">
        <v>2008</v>
      </c>
      <c r="D43" s="59">
        <f>GETPIVOTDATA("dato",'[1]Turistas alojados tipologia'!$A$4,"categoría","Hoteleros","año",2008)</f>
        <v>199818</v>
      </c>
      <c r="E43" s="59">
        <f>GETPIVOTDATA("dato",'[1]Turistas alojados tipologia'!$A$4,"categoría","EXTRAHOTELEROS","año",2008)</f>
        <v>0</v>
      </c>
      <c r="F43" s="59">
        <f>GETPIVOTDATA("dato",'[1]Turistas alojados tipologia'!$A$4,"categoría","TOTAL","año",2008)</f>
        <v>199818</v>
      </c>
    </row>
    <row r="44" spans="3:6" hidden="1" outlineLevel="1">
      <c r="C44" s="51" t="s">
        <v>38</v>
      </c>
      <c r="D44" s="52">
        <f>GETPIVOTDATA("dato",'[1]Turistas alojados tipologia'!$A$4,"categoría","Hoteleros","mes",12,"año",2007)</f>
        <v>16894</v>
      </c>
      <c r="E44" s="52">
        <f>GETPIVOTDATA("dato",'[1]Turistas alojados tipologia'!$A$4,"categoría","EXTRAHOTELEROS","mes",12,"año",2007)</f>
        <v>0</v>
      </c>
      <c r="F44" s="52">
        <f>GETPIVOTDATA("dato",'[1]Turistas alojados tipologia'!$A$4,"categoría","TOTAL","mes",12,"año",2007)</f>
        <v>16894</v>
      </c>
    </row>
    <row r="45" spans="3:6" hidden="1" outlineLevel="1">
      <c r="C45" s="51" t="s">
        <v>39</v>
      </c>
      <c r="D45" s="52">
        <f>GETPIVOTDATA("dato",'[1]Turistas alojados tipologia'!$A$4,"categoría","Hoteleros","mes",11,"año",2007)</f>
        <v>18909</v>
      </c>
      <c r="E45" s="52">
        <f>GETPIVOTDATA("dato",'[1]Turistas alojados tipologia'!$A$4,"categoría","EXTRAHOTELEROS","mes",11,"año",2007)</f>
        <v>0</v>
      </c>
      <c r="F45" s="52">
        <f>GETPIVOTDATA("dato",'[1]Turistas alojados tipologia'!$A$4,"categoría","TOTAL","mes",11,"año",2007)</f>
        <v>18909</v>
      </c>
    </row>
    <row r="46" spans="3:6" hidden="1" outlineLevel="1">
      <c r="C46" s="51" t="s">
        <v>40</v>
      </c>
      <c r="D46" s="52">
        <f>GETPIVOTDATA("dato",'[1]Turistas alojados tipologia'!$A$4,"categoría","Hoteleros","mes",10,"año",2007)</f>
        <v>17346</v>
      </c>
      <c r="E46" s="52">
        <f>GETPIVOTDATA("dato",'[1]Turistas alojados tipologia'!$A$4,"categoría","EXTRAHOTELEROS","mes",10,"año",2007)</f>
        <v>0</v>
      </c>
      <c r="F46" s="52">
        <f>GETPIVOTDATA("dato",'[1]Turistas alojados tipologia'!$A$4,"categoría","TOTAL","mes",10,"año",2007)</f>
        <v>17346</v>
      </c>
    </row>
    <row r="47" spans="3:6" hidden="1" outlineLevel="1">
      <c r="C47" s="51" t="s">
        <v>41</v>
      </c>
      <c r="D47" s="52">
        <f>GETPIVOTDATA("dato",'[1]Turistas alojados tipologia'!$A$4,"categoría","Hoteleros","mes",9,"año",2007)</f>
        <v>14065</v>
      </c>
      <c r="E47" s="52">
        <f>GETPIVOTDATA("dato",'[1]Turistas alojados tipologia'!$A$4,"categoría","EXTRAHOTELEROS","mes",9,"año",2007)</f>
        <v>0</v>
      </c>
      <c r="F47" s="52">
        <f>GETPIVOTDATA("dato",'[1]Turistas alojados tipologia'!$A$4,"categoría","TOTAL","mes",9,"año",2007)</f>
        <v>14065</v>
      </c>
    </row>
    <row r="48" spans="3:6" hidden="1" outlineLevel="1">
      <c r="C48" s="51" t="s">
        <v>42</v>
      </c>
      <c r="D48" s="52">
        <f>GETPIVOTDATA("dato",'[1]Turistas alojados tipologia'!$A$4,"categoría","Hoteleros","mes",8,"año",2007)</f>
        <v>9967</v>
      </c>
      <c r="E48" s="52">
        <f>GETPIVOTDATA("dato",'[1]Turistas alojados tipologia'!$A$4,"categoría","EXTRAHOTELEROS","mes",8,"año",2007)</f>
        <v>0</v>
      </c>
      <c r="F48" s="52">
        <f>GETPIVOTDATA("dato",'[1]Turistas alojados tipologia'!$A$4,"categoría","TOTAL","mes",8,"año",2007)</f>
        <v>9967</v>
      </c>
    </row>
    <row r="49" spans="3:8" hidden="1" outlineLevel="1">
      <c r="C49" s="51" t="s">
        <v>43</v>
      </c>
      <c r="D49" s="52">
        <f>GETPIVOTDATA("dato",'[1]Turistas alojados tipologia'!$A$4,"categoría","Hoteleros","mes",7,"año",2007)</f>
        <v>14360</v>
      </c>
      <c r="E49" s="52">
        <f>GETPIVOTDATA("dato",'[1]Turistas alojados tipologia'!$A$4,"categoría","EXTRAHOTELEROS","mes",7,"año",2007)</f>
        <v>0</v>
      </c>
      <c r="F49" s="52">
        <f>GETPIVOTDATA("dato",'[1]Turistas alojados tipologia'!$A$4,"categoría","TOTAL","mes",7,"año",2007)</f>
        <v>14360</v>
      </c>
    </row>
    <row r="50" spans="3:8" hidden="1" outlineLevel="1">
      <c r="C50" s="51" t="s">
        <v>44</v>
      </c>
      <c r="D50" s="52">
        <f>GETPIVOTDATA("dato",'[1]Turistas alojados tipologia'!$A$4,"categoría","Hoteleros","mes",6,"año",2007)</f>
        <v>13171</v>
      </c>
      <c r="E50" s="52">
        <f>GETPIVOTDATA("dato",'[1]Turistas alojados tipologia'!$A$4,"categoría","EXTRAHOTELEROS","mes",6,"año",2007)</f>
        <v>0</v>
      </c>
      <c r="F50" s="52">
        <f>GETPIVOTDATA("dato",'[1]Turistas alojados tipologia'!$A$4,"categoría","TOTAL","mes",6,"año",2007)</f>
        <v>13171</v>
      </c>
    </row>
    <row r="51" spans="3:8" ht="16.5" hidden="1" outlineLevel="1" thickBot="1">
      <c r="C51" s="51" t="s">
        <v>45</v>
      </c>
      <c r="D51" s="52">
        <f>GETPIVOTDATA("dato",'[1]Turistas alojados tipologia'!$A$4,"categoría","Hoteleros","mes",5,"año",2007)</f>
        <v>14726</v>
      </c>
      <c r="E51" s="52">
        <f>GETPIVOTDATA("dato",'[1]Turistas alojados tipologia'!$A$4,"categoría","EXTRAHOTELEROS","mes",5,"año",2007)</f>
        <v>0</v>
      </c>
      <c r="F51" s="52">
        <f>GETPIVOTDATA("dato",'[1]Turistas alojados tipologia'!$A$4,"categoría","TOTAL","mes",5,"año",2007)</f>
        <v>14726</v>
      </c>
      <c r="H51" s="60" t="s">
        <v>50</v>
      </c>
    </row>
    <row r="52" spans="3:8" hidden="1" outlineLevel="1">
      <c r="C52" s="51" t="s">
        <v>46</v>
      </c>
      <c r="D52" s="52">
        <f>GETPIVOTDATA("dato",'[1]Turistas alojados tipologia'!$A$4,"categoría","Hoteleros","mes",4,"año",2007)</f>
        <v>15492</v>
      </c>
      <c r="E52" s="52">
        <f>GETPIVOTDATA("dato",'[1]Turistas alojados tipologia'!$A$4,"categoría","EXTRAHOTELEROS","mes",4,"año",2007)</f>
        <v>0</v>
      </c>
      <c r="F52" s="52">
        <f>GETPIVOTDATA("dato",'[1]Turistas alojados tipologia'!$A$4,"categoría","TOTAL","mes",4,"año",2007)</f>
        <v>15492</v>
      </c>
    </row>
    <row r="53" spans="3:8" hidden="1" outlineLevel="1">
      <c r="C53" s="51" t="s">
        <v>47</v>
      </c>
      <c r="D53" s="52">
        <f>GETPIVOTDATA("dato",'[1]Turistas alojados tipologia'!$A$4,"categoría","Hoteleros","mes",3,"año",2007)</f>
        <v>19006</v>
      </c>
      <c r="E53" s="52">
        <f>GETPIVOTDATA("dato",'[1]Turistas alojados tipologia'!$A$4,"categoría","EXTRAHOTELEROS","mes",3,"año",2007)</f>
        <v>0</v>
      </c>
      <c r="F53" s="52">
        <f>GETPIVOTDATA("dato",'[1]Turistas alojados tipologia'!$A$4,"categoría","TOTAL","mes",3,"año",2007)</f>
        <v>19006</v>
      </c>
    </row>
    <row r="54" spans="3:8" hidden="1" outlineLevel="1">
      <c r="C54" s="51" t="s">
        <v>48</v>
      </c>
      <c r="D54" s="52">
        <f>GETPIVOTDATA("dato",'[1]Turistas alojados tipologia'!$A$4,"categoría","Hoteleros","mes",2,"año",2007)</f>
        <v>15222</v>
      </c>
      <c r="E54" s="52">
        <f>GETPIVOTDATA("dato",'[1]Turistas alojados tipologia'!$A$4,"categoría","EXTRAHOTELEROS","mes",2,"año",2007)</f>
        <v>0</v>
      </c>
      <c r="F54" s="52">
        <f>GETPIVOTDATA("dato",'[1]Turistas alojados tipologia'!$A$4,"categoría","TOTAL","mes",2,"año",2007)</f>
        <v>15222</v>
      </c>
    </row>
    <row r="55" spans="3:8" hidden="1" outlineLevel="1">
      <c r="C55" s="51" t="s">
        <v>49</v>
      </c>
      <c r="D55" s="52">
        <f>GETPIVOTDATA("dato",'[1]Turistas alojados tipologia'!$A$4,"categoría","Hoteleros","mes",1,"año",2007)</f>
        <v>14507</v>
      </c>
      <c r="E55" s="52">
        <f>GETPIVOTDATA("dato",'[1]Turistas alojados tipologia'!$A$4,"categoría","EXTRAHOTELEROS","mes",1,"año",2007)</f>
        <v>0</v>
      </c>
      <c r="F55" s="52">
        <f>GETPIVOTDATA("dato",'[1]Turistas alojados tipologia'!$A$4,"categoría","TOTAL","mes",1,"año",2007)</f>
        <v>14507</v>
      </c>
    </row>
    <row r="56" spans="3:8" collapsed="1">
      <c r="C56" s="58">
        <v>2007</v>
      </c>
      <c r="D56" s="59">
        <f>GETPIVOTDATA("dato",'[1]Turistas alojados tipologia'!$A$4,"categoría","Hoteleros","año",2007)</f>
        <v>183665</v>
      </c>
      <c r="E56" s="59">
        <f>GETPIVOTDATA("dato",'[1]Turistas alojados tipologia'!$A$4,"categoría","EXTRAHOTELEROS","año",2007)</f>
        <v>0</v>
      </c>
      <c r="F56" s="59">
        <f>GETPIVOTDATA("dato",'[1]Turistas alojados tipologia'!$A$4,"categoría","TOTAL","año",2007)</f>
        <v>183665</v>
      </c>
    </row>
    <row r="57" spans="3:8" hidden="1" outlineLevel="1">
      <c r="C57" s="51" t="s">
        <v>38</v>
      </c>
      <c r="D57" s="52">
        <f>GETPIVOTDATA("dato",'[1]Turistas alojados tipologia'!$A$4,"categoría","Hoteleros","mes",12,"año",2006)</f>
        <v>16829</v>
      </c>
      <c r="E57" s="52">
        <f>GETPIVOTDATA("dato",'[1]Turistas alojados tipologia'!$A$4,"categoría","EXTRAHOTELEROS","mes",12,"año",2006)</f>
        <v>0</v>
      </c>
      <c r="F57" s="52">
        <f>GETPIVOTDATA("dato",'[1]Turistas alojados tipologia'!$A$4,"categoría","TOTAL","mes",12,"año",2006)</f>
        <v>16829</v>
      </c>
    </row>
    <row r="58" spans="3:8" hidden="1" outlineLevel="1">
      <c r="C58" s="51" t="s">
        <v>39</v>
      </c>
      <c r="D58" s="52">
        <f>GETPIVOTDATA("dato",'[1]Turistas alojados tipologia'!$A$4,"categoría","Hoteleros","mes",11,"año",2006)</f>
        <v>18087</v>
      </c>
      <c r="E58" s="52">
        <f>GETPIVOTDATA("dato",'[1]Turistas alojados tipologia'!$A$4,"categoría","EXTRAHOTELEROS","mes",11,"año",2006)</f>
        <v>0</v>
      </c>
      <c r="F58" s="52">
        <f>GETPIVOTDATA("dato",'[1]Turistas alojados tipologia'!$A$4,"categoría","TOTAL","mes",11,"año",2006)</f>
        <v>18087</v>
      </c>
    </row>
    <row r="59" spans="3:8" hidden="1" outlineLevel="1">
      <c r="C59" s="51" t="s">
        <v>40</v>
      </c>
      <c r="D59" s="52">
        <f>GETPIVOTDATA("dato",'[1]Turistas alojados tipologia'!$A$4,"categoría","Hoteleros","mes",10,"año",2006)</f>
        <v>15731</v>
      </c>
      <c r="E59" s="52">
        <f>GETPIVOTDATA("dato",'[1]Turistas alojados tipologia'!$A$4,"categoría","EXTRAHOTELEROS","mes",10,"año",2006)</f>
        <v>0</v>
      </c>
      <c r="F59" s="52">
        <f>GETPIVOTDATA("dato",'[1]Turistas alojados tipologia'!$A$4,"categoría","TOTAL","mes",10,"año",2006)</f>
        <v>15731</v>
      </c>
    </row>
    <row r="60" spans="3:8" hidden="1" outlineLevel="1">
      <c r="C60" s="51" t="s">
        <v>41</v>
      </c>
      <c r="D60" s="52">
        <f>GETPIVOTDATA("dato",'[1]Turistas alojados tipologia'!$A$4,"categoría","Hoteleros","mes",9,"año",2006)</f>
        <v>14403</v>
      </c>
      <c r="E60" s="52">
        <f>GETPIVOTDATA("dato",'[1]Turistas alojados tipologia'!$A$4,"categoría","EXTRAHOTELEROS","mes",9,"año",2006)</f>
        <v>0</v>
      </c>
      <c r="F60" s="52">
        <f>GETPIVOTDATA("dato",'[1]Turistas alojados tipologia'!$A$4,"categoría","TOTAL","mes",9,"año",2006)</f>
        <v>14403</v>
      </c>
    </row>
    <row r="61" spans="3:8" hidden="1" outlineLevel="1">
      <c r="C61" s="51" t="s">
        <v>42</v>
      </c>
      <c r="D61" s="52">
        <f>GETPIVOTDATA("dato",'[1]Turistas alojados tipologia'!$A$4,"categoría","Hoteleros","mes",8,"año",2006)</f>
        <v>11231</v>
      </c>
      <c r="E61" s="52">
        <f>GETPIVOTDATA("dato",'[1]Turistas alojados tipologia'!$A$4,"categoría","EXTRAHOTELEROS","mes",8,"año",2006)</f>
        <v>0</v>
      </c>
      <c r="F61" s="52">
        <f>GETPIVOTDATA("dato",'[1]Turistas alojados tipologia'!$A$4,"categoría","TOTAL","mes",8,"año",2006)</f>
        <v>11231</v>
      </c>
    </row>
    <row r="62" spans="3:8" hidden="1" outlineLevel="1">
      <c r="C62" s="51" t="s">
        <v>43</v>
      </c>
      <c r="D62" s="52">
        <f>GETPIVOTDATA("dato",'[1]Turistas alojados tipologia'!$A$4,"categoría","Hoteleros","mes",7,"año",2006)</f>
        <v>14758</v>
      </c>
      <c r="E62" s="52">
        <f>GETPIVOTDATA("dato",'[1]Turistas alojados tipologia'!$A$4,"categoría","EXTRAHOTELEROS","mes",7,"año",2006)</f>
        <v>0</v>
      </c>
      <c r="F62" s="52">
        <f>GETPIVOTDATA("dato",'[1]Turistas alojados tipologia'!$A$4,"categoría","TOTAL","mes",7,"año",2006)</f>
        <v>14758</v>
      </c>
    </row>
    <row r="63" spans="3:8" hidden="1" outlineLevel="1">
      <c r="C63" s="51" t="s">
        <v>44</v>
      </c>
      <c r="D63" s="52">
        <f>GETPIVOTDATA("dato",'[1]Turistas alojados tipologia'!$A$4,"categoría","Hoteleros","mes",6,"año",2006)</f>
        <v>15747</v>
      </c>
      <c r="E63" s="52">
        <f>GETPIVOTDATA("dato",'[1]Turistas alojados tipologia'!$A$4,"categoría","EXTRAHOTELEROS","mes",6,"año",2006)</f>
        <v>0</v>
      </c>
      <c r="F63" s="52">
        <f>GETPIVOTDATA("dato",'[1]Turistas alojados tipologia'!$A$4,"categoría","TOTAL","mes",6,"año",2006)</f>
        <v>15747</v>
      </c>
    </row>
    <row r="64" spans="3:8" hidden="1" outlineLevel="1">
      <c r="C64" s="51" t="s">
        <v>45</v>
      </c>
      <c r="D64" s="52">
        <f>GETPIVOTDATA("dato",'[1]Turistas alojados tipologia'!$A$4,"categoría","Hoteleros","mes",5,"año",2006)</f>
        <v>14751</v>
      </c>
      <c r="E64" s="52">
        <f>GETPIVOTDATA("dato",'[1]Turistas alojados tipologia'!$A$4,"categoría","EXTRAHOTELEROS","mes",5,"año",2006)</f>
        <v>0</v>
      </c>
      <c r="F64" s="52">
        <f>GETPIVOTDATA("dato",'[1]Turistas alojados tipologia'!$A$4,"categoría","TOTAL","mes",5,"año",2006)</f>
        <v>14751</v>
      </c>
    </row>
    <row r="65" spans="3:6" hidden="1" outlineLevel="1">
      <c r="C65" s="51" t="s">
        <v>46</v>
      </c>
      <c r="D65" s="52">
        <f>GETPIVOTDATA("dato",'[1]Turistas alojados tipologia'!$A$4,"categoría","Hoteleros","mes",4,"año",2006)</f>
        <v>13849</v>
      </c>
      <c r="E65" s="52">
        <f>GETPIVOTDATA("dato",'[1]Turistas alojados tipologia'!$A$4,"categoría","EXTRAHOTELEROS","mes",4,"año",2006)</f>
        <v>0</v>
      </c>
      <c r="F65" s="52">
        <f>GETPIVOTDATA("dato",'[1]Turistas alojados tipologia'!$A$4,"categoría","TOTAL","mes",4,"año",2006)</f>
        <v>13849</v>
      </c>
    </row>
    <row r="66" spans="3:6" hidden="1" outlineLevel="1">
      <c r="C66" s="51" t="s">
        <v>47</v>
      </c>
      <c r="D66" s="52">
        <f>GETPIVOTDATA("dato",'[1]Turistas alojados tipologia'!$A$4,"categoría","Hoteleros","mes",3,"año",2006)</f>
        <v>17429</v>
      </c>
      <c r="E66" s="52">
        <f>GETPIVOTDATA("dato",'[1]Turistas alojados tipologia'!$A$4,"categoría","EXTRAHOTELEROS","mes",3,"año",2006)</f>
        <v>0</v>
      </c>
      <c r="F66" s="52">
        <f>GETPIVOTDATA("dato",'[1]Turistas alojados tipologia'!$A$4,"categoría","TOTAL","mes",3,"año",2006)</f>
        <v>17429</v>
      </c>
    </row>
    <row r="67" spans="3:6" hidden="1" outlineLevel="1">
      <c r="C67" s="51" t="s">
        <v>48</v>
      </c>
      <c r="D67" s="52">
        <f>GETPIVOTDATA("dato",'[1]Turistas alojados tipologia'!$A$4,"categoría","Hoteleros","mes",2,"año",2006)</f>
        <v>15692</v>
      </c>
      <c r="E67" s="52">
        <f>GETPIVOTDATA("dato",'[1]Turistas alojados tipologia'!$A$4,"categoría","EXTRAHOTELEROS","mes",2,"año",2006)</f>
        <v>0</v>
      </c>
      <c r="F67" s="52">
        <f>GETPIVOTDATA("dato",'[1]Turistas alojados tipologia'!$A$4,"categoría","TOTAL","mes",2,"año",2006)</f>
        <v>15692</v>
      </c>
    </row>
    <row r="68" spans="3:6" hidden="1" outlineLevel="1">
      <c r="C68" s="51" t="s">
        <v>49</v>
      </c>
      <c r="D68" s="52">
        <f>GETPIVOTDATA("dato",'[1]Turistas alojados tipologia'!$A$4,"categoría","Hoteleros","mes",1,"año",2006)</f>
        <v>14266</v>
      </c>
      <c r="E68" s="52">
        <f>GETPIVOTDATA("dato",'[1]Turistas alojados tipologia'!$A$4,"categoría","EXTRAHOTELEROS","mes",1,"año",2006)</f>
        <v>0</v>
      </c>
      <c r="F68" s="52">
        <f>GETPIVOTDATA("dato",'[1]Turistas alojados tipologia'!$A$4,"categoría","TOTAL","mes",1,"año",2006)</f>
        <v>14266</v>
      </c>
    </row>
    <row r="69" spans="3:6" collapsed="1">
      <c r="C69" s="58">
        <v>2006</v>
      </c>
      <c r="D69" s="59">
        <f>GETPIVOTDATA("dato",'[1]Turistas alojados tipologia'!$A$4,"categoría","Hoteleros","año",2006)</f>
        <v>182773</v>
      </c>
      <c r="E69" s="59">
        <f>GETPIVOTDATA("dato",'[1]Turistas alojados tipologia'!$A$4,"categoría","EXTRAHOTELEROS","año",2006)</f>
        <v>0</v>
      </c>
      <c r="F69" s="59">
        <f>GETPIVOTDATA("dato",'[1]Turistas alojados tipologia'!$A$4,"categoría","TOTAL","año",2006)</f>
        <v>182773</v>
      </c>
    </row>
    <row r="70" spans="3:6" ht="27" customHeight="1">
      <c r="C70" s="61" t="s">
        <v>51</v>
      </c>
      <c r="D70" s="62"/>
      <c r="E70" s="62"/>
      <c r="F70" s="63"/>
    </row>
  </sheetData>
  <mergeCells count="2">
    <mergeCell ref="C3:F3"/>
    <mergeCell ref="C70:F70"/>
  </mergeCells>
  <hyperlinks>
    <hyperlink ref="H51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2:I71"/>
  <sheetViews>
    <sheetView showGridLines="0" showRowColHeaders="0" zoomScaleNormal="100" workbookViewId="0">
      <selection activeCell="I13" sqref="I13"/>
    </sheetView>
  </sheetViews>
  <sheetFormatPr baseColWidth="10" defaultRowHeight="15" outlineLevelRow="1"/>
  <cols>
    <col min="1" max="1" width="14.7109375" style="120" customWidth="1"/>
    <col min="2" max="4" width="11.42578125" style="120"/>
    <col min="5" max="5" width="13.85546875" style="120" customWidth="1"/>
    <col min="6" max="7" width="11.42578125" style="120"/>
    <col min="8" max="8" width="14.28515625" style="120" customWidth="1"/>
    <col min="9" max="16384" width="11.42578125" style="120"/>
  </cols>
  <sheetData>
    <row r="2" spans="3:9" ht="44.25" customHeight="1"/>
    <row r="3" spans="3:9" ht="27" customHeight="1">
      <c r="C3" s="121" t="s">
        <v>250</v>
      </c>
      <c r="D3" s="121"/>
      <c r="E3" s="121"/>
      <c r="F3" s="121"/>
      <c r="G3" s="121"/>
      <c r="H3" s="121"/>
      <c r="I3" s="121"/>
    </row>
    <row r="4" spans="3:9" ht="15" customHeight="1">
      <c r="C4" s="122"/>
      <c r="D4" s="123" t="s">
        <v>89</v>
      </c>
      <c r="E4" s="124"/>
      <c r="F4" s="124"/>
      <c r="G4" s="123" t="s">
        <v>92</v>
      </c>
      <c r="H4" s="124"/>
      <c r="I4" s="124"/>
    </row>
    <row r="5" spans="3:9" ht="30">
      <c r="C5" s="126"/>
      <c r="D5" s="127" t="s">
        <v>93</v>
      </c>
      <c r="E5" s="127" t="s">
        <v>94</v>
      </c>
      <c r="F5" s="127" t="s">
        <v>70</v>
      </c>
      <c r="G5" s="127" t="s">
        <v>95</v>
      </c>
      <c r="H5" s="127" t="s">
        <v>94</v>
      </c>
      <c r="I5" s="127" t="s">
        <v>37</v>
      </c>
    </row>
    <row r="6" spans="3:9" hidden="1">
      <c r="C6" s="51" t="s">
        <v>38</v>
      </c>
      <c r="D6" s="339">
        <f>GETPIVOTDATA("dato",'[1]tabla dinámica IO men'!$A$96,"categoría","Hoteleros","mes",12,"año",2010)</f>
        <v>0</v>
      </c>
      <c r="E6" s="339">
        <f>GETPIVOTDATA("dato",'[1]tabla dinámica IO men'!$A$96,"categoría","extrahoteleros","mes",12,"año",2010)</f>
        <v>0</v>
      </c>
      <c r="F6" s="339">
        <f>GETPIVOTDATA("dato",'[1]tabla dinámica IO men'!$A$96,"categoría","total","mes",12,"año",2010)</f>
        <v>0</v>
      </c>
      <c r="G6" s="339">
        <f>GETPIVOTDATA("Suma de TOTAL hotelero",'[1]tabla dinámica IO men'!$A$2,"MES","12","AÑO",2010)</f>
        <v>0</v>
      </c>
      <c r="H6" s="339">
        <f>GETPIVOTDATA("Suma de extrahoteleros",'[1]tabla dinámica IO men'!$A$2,"MES","12","AÑO",2010)</f>
        <v>0</v>
      </c>
      <c r="I6" s="339">
        <f>GETPIVOTDATA("Suma de TOTAL general",'[1]tabla dinámica IO men'!$A$2,"MES","12","AÑO",2010)</f>
        <v>0</v>
      </c>
    </row>
    <row r="7" spans="3:9" hidden="1">
      <c r="C7" s="51" t="s">
        <v>39</v>
      </c>
      <c r="D7" s="339">
        <f>GETPIVOTDATA("dato",'[1]tabla dinámica IO men'!$A$96,"categoría","Hoteleros","mes",11,"año",2010)</f>
        <v>0</v>
      </c>
      <c r="E7" s="339">
        <f>GETPIVOTDATA("dato",'[1]tabla dinámica IO men'!$A$96,"categoría","extrahoteleros","mes",11,"año",2010)</f>
        <v>0</v>
      </c>
      <c r="F7" s="339">
        <f>GETPIVOTDATA("dato",'[1]tabla dinámica IO men'!$A$96,"categoría","total","mes",11,"año",2010)</f>
        <v>0</v>
      </c>
      <c r="G7" s="339">
        <f>GETPIVOTDATA("Suma de TOTAL hotelero",'[1]tabla dinámica IO men'!$A$2,"MES","11","AÑO",2010)</f>
        <v>0</v>
      </c>
      <c r="H7" s="339">
        <f>GETPIVOTDATA("Suma de extrahoteleros",'[1]tabla dinámica IO men'!$A$2,"MES","11","AÑO",2010)</f>
        <v>0</v>
      </c>
      <c r="I7" s="339">
        <f>GETPIVOTDATA("Suma de TOTAL general",'[1]tabla dinámica IO men'!$A$2,"MES","11","AÑO",2010)</f>
        <v>0</v>
      </c>
    </row>
    <row r="8" spans="3:9" hidden="1">
      <c r="C8" s="51" t="s">
        <v>40</v>
      </c>
      <c r="D8" s="339">
        <f>GETPIVOTDATA("dato",'[1]tabla dinámica IO men'!$A$96,"categoría","Hoteleros","mes",10,"año",2010)</f>
        <v>0</v>
      </c>
      <c r="E8" s="339">
        <f>GETPIVOTDATA("dato",'[1]tabla dinámica IO men'!$A$96,"categoría","extrahoteleros","mes",10,"año",2010)</f>
        <v>0</v>
      </c>
      <c r="F8" s="339">
        <f>GETPIVOTDATA("dato",'[1]tabla dinámica IO men'!$A$96,"categoría","total","mes",10,"año",2010)</f>
        <v>0</v>
      </c>
      <c r="G8" s="339">
        <f>GETPIVOTDATA("Suma de TOTAL hotelero",'[1]tabla dinámica IO men'!$A$2,"MES","10","AÑO",2010)</f>
        <v>0</v>
      </c>
      <c r="H8" s="339">
        <f>GETPIVOTDATA("Suma de extrahoteleros",'[1]tabla dinámica IO men'!$A$2,"MES","10","AÑO",2010)</f>
        <v>0</v>
      </c>
      <c r="I8" s="339">
        <f>GETPIVOTDATA("Suma de TOTAL general",'[1]tabla dinámica IO men'!$A$2,"MES","10","AÑO",2010)</f>
        <v>0</v>
      </c>
    </row>
    <row r="9" spans="3:9" hidden="1">
      <c r="C9" s="51" t="s">
        <v>41</v>
      </c>
      <c r="D9" s="339">
        <f>GETPIVOTDATA("dato",'[1]tabla dinámica IO men'!$A$96,"categoría","Hoteleros","mes",9,"año",2010)</f>
        <v>0</v>
      </c>
      <c r="E9" s="339">
        <f>GETPIVOTDATA("dato",'[1]tabla dinámica IO men'!$A$96,"categoría","extrahoteleros","mes",9,"año",2010)</f>
        <v>0</v>
      </c>
      <c r="F9" s="339">
        <f>GETPIVOTDATA("dato",'[1]tabla dinámica IO men'!$A$96,"categoría","total","mes",9,"año",2010)</f>
        <v>0</v>
      </c>
      <c r="G9" s="339">
        <f>GETPIVOTDATA("Suma de TOTAL hotelero",'[1]tabla dinámica IO men'!$A$2,"MES","9","AÑO",2010)</f>
        <v>0</v>
      </c>
      <c r="H9" s="339">
        <f>GETPIVOTDATA("Suma de extrahoteleros",'[1]tabla dinámica IO men'!$A$2,"MES","9","AÑO",2010)</f>
        <v>0</v>
      </c>
      <c r="I9" s="339">
        <f>GETPIVOTDATA("Suma de TOTAL general",'[1]tabla dinámica IO men'!$A$2,"MES","9","AÑO",2010)</f>
        <v>0</v>
      </c>
    </row>
    <row r="10" spans="3:9" hidden="1">
      <c r="C10" s="51" t="s">
        <v>42</v>
      </c>
      <c r="D10" s="339">
        <f>GETPIVOTDATA("dato",'[1]tabla dinámica IO men'!$A$96,"categoría","Hoteleros","mes",8,"año",2010)</f>
        <v>0</v>
      </c>
      <c r="E10" s="339">
        <f>GETPIVOTDATA("dato",'[1]tabla dinámica IO men'!$A$96,"categoría","extrahoteleros","mes",8,"año",2010)</f>
        <v>0</v>
      </c>
      <c r="F10" s="339">
        <f>GETPIVOTDATA("dato",'[1]tabla dinámica IO men'!$A$96,"categoría","total","mes",8,"año",2010)</f>
        <v>0</v>
      </c>
      <c r="G10" s="339">
        <f>GETPIVOTDATA("Suma de TOTAL hotelero",'[1]tabla dinámica IO men'!$A$2,"MES","8","AÑO",2010)</f>
        <v>0</v>
      </c>
      <c r="H10" s="339">
        <f>GETPIVOTDATA("Suma de extrahoteleros",'[1]tabla dinámica IO men'!$A$2,"MES","8","AÑO",2010)</f>
        <v>0</v>
      </c>
      <c r="I10" s="339">
        <f>GETPIVOTDATA("Suma de TOTAL general",'[1]tabla dinámica IO men'!$A$2,"MES","8","AÑO",2010)</f>
        <v>0</v>
      </c>
    </row>
    <row r="11" spans="3:9">
      <c r="C11" s="51" t="s">
        <v>43</v>
      </c>
      <c r="D11" s="339">
        <f>GETPIVOTDATA("dato",'[1]tabla dinámica IO men'!$A$96,"categoría","Hoteleros","mes",7,"año",2010)</f>
        <v>38</v>
      </c>
      <c r="E11" s="339"/>
      <c r="F11" s="339">
        <f>GETPIVOTDATA("dato",'[1]tabla dinámica IO men'!$A$96,"categoría","total","mes",7,"año",2010)</f>
        <v>38</v>
      </c>
      <c r="G11" s="339">
        <f>GETPIVOTDATA("Suma de TOTAL hotelero",'[1]tabla dinámica IO men'!$A$2,"MES","7","AÑO",2010)</f>
        <v>69.497909001516803</v>
      </c>
      <c r="H11" s="339">
        <f>GETPIVOTDATA("Suma de extrahoteleros",'[1]tabla dinámica IO men'!$A$2,"MES","7","AÑO",2010)</f>
        <v>50.674079070869361</v>
      </c>
      <c r="I11" s="339">
        <f>GETPIVOTDATA("Suma de TOTAL general",'[1]tabla dinámica IO men'!$A$2,"MES","7","AÑO",2010)</f>
        <v>59.913948047662259</v>
      </c>
    </row>
    <row r="12" spans="3:9">
      <c r="C12" s="51" t="s">
        <v>44</v>
      </c>
      <c r="D12" s="339">
        <f>GETPIVOTDATA("dato",'[1]tabla dinámica IO men'!$A$96,"categoría","Hoteleros","mes",6,"año",2010)</f>
        <v>34.78</v>
      </c>
      <c r="E12" s="339"/>
      <c r="F12" s="339">
        <f>GETPIVOTDATA("dato",'[1]tabla dinámica IO men'!$A$96,"categoría","total","mes",6,"año",2010)</f>
        <v>34.78</v>
      </c>
      <c r="G12" s="339">
        <f>GETPIVOTDATA("Suma de TOTAL hotelero",'[1]tabla dinámica IO men'!$A$2,"MES","6","AÑO",2010)</f>
        <v>60.247435704848954</v>
      </c>
      <c r="H12" s="339">
        <f>GETPIVOTDATA("Suma de extrahoteleros",'[1]tabla dinámica IO men'!$A$2,"MES","6","AÑO",2010)</f>
        <v>39.683073628774395</v>
      </c>
      <c r="I12" s="339">
        <f>GETPIVOTDATA("Suma de TOTAL general",'[1]tabla dinámica IO men'!$A$2,"MES","6","AÑO",2010)</f>
        <v>49.642168960120578</v>
      </c>
    </row>
    <row r="13" spans="3:9">
      <c r="C13" s="51" t="s">
        <v>45</v>
      </c>
      <c r="D13" s="339">
        <f>GETPIVOTDATA("dato",'[1]tabla dinámica IO men'!$A$96,"categoría","Hoteleros","mes",5,"año",2010)</f>
        <v>32.613624652169435</v>
      </c>
      <c r="E13" s="339"/>
      <c r="F13" s="339">
        <f>GETPIVOTDATA("dato",'[1]tabla dinámica IO men'!$A$96,"categoría","total","mes",5,"año",2010)</f>
        <v>32.613624652169435</v>
      </c>
      <c r="G13" s="339">
        <f>GETPIVOTDATA("Suma de TOTAL hotelero",'[1]tabla dinámica IO men'!$A$2,"MES","5","AÑO",2010)</f>
        <v>55.604857813059709</v>
      </c>
      <c r="H13" s="339">
        <f>GETPIVOTDATA("Suma de extrahoteleros",'[1]tabla dinámica IO men'!$A$2,"MES","5","AÑO",2010)</f>
        <v>33.843419783284723</v>
      </c>
      <c r="I13" s="339">
        <f>GETPIVOTDATA("Suma de TOTAL general",'[1]tabla dinámica IO men'!$A$2,"MES","5","AÑO",2010)</f>
        <v>44.382245888562132</v>
      </c>
    </row>
    <row r="14" spans="3:9">
      <c r="C14" s="51" t="s">
        <v>46</v>
      </c>
      <c r="D14" s="339">
        <f>GETPIVOTDATA("dato",'[1]tabla dinámica IO men'!$A$96,"categoría","Hoteleros","mes",4,"año",2010)</f>
        <v>36.674653887113948</v>
      </c>
      <c r="E14" s="339"/>
      <c r="F14" s="339">
        <f>GETPIVOTDATA("dato",'[1]tabla dinámica IO men'!$A$96,"categoría","total","mes",4,"año",2010)</f>
        <v>36.674653887113948</v>
      </c>
      <c r="G14" s="339">
        <f>GETPIVOTDATA("Suma de TOTAL hotelero",'[1]tabla dinámica IO men'!$A$2,"MES","4","AÑO",2010)</f>
        <v>60.733987358593033</v>
      </c>
      <c r="H14" s="339">
        <f>GETPIVOTDATA("Suma de extrahoteleros",'[1]tabla dinámica IO men'!$A$2,"MES","4","AÑO",2010)</f>
        <v>40.7950287194178</v>
      </c>
      <c r="I14" s="339">
        <f>GETPIVOTDATA("Suma de TOTAL general",'[1]tabla dinámica IO men'!$A$2,"MES","4","AÑO",2010)</f>
        <v>50.451248015728673</v>
      </c>
    </row>
    <row r="15" spans="3:9">
      <c r="C15" s="51" t="s">
        <v>47</v>
      </c>
      <c r="D15" s="339">
        <f>GETPIVOTDATA("dato",'[1]tabla dinámica IO men'!$A$96,"categoría","Hoteleros","mes",3,"año",2010)</f>
        <v>36.670359682572403</v>
      </c>
      <c r="E15" s="339"/>
      <c r="F15" s="339">
        <f>GETPIVOTDATA("dato",'[1]tabla dinámica IO men'!$A$96,"categoría","total","mes",3,"año",2010)</f>
        <v>36.670359682572403</v>
      </c>
      <c r="G15" s="339">
        <f>GETPIVOTDATA("Suma de TOTAL hotelero",'[1]tabla dinámica IO men'!$A$2,"MES","3","AÑO",2010)</f>
        <v>65.049756389941592</v>
      </c>
      <c r="H15" s="339">
        <f>GETPIVOTDATA("Suma de extrahoteleros",'[1]tabla dinámica IO men'!$A$2,"MES","3","AÑO",2010)</f>
        <v>50.162942500024499</v>
      </c>
      <c r="I15" s="339">
        <f>GETPIVOTDATA("Suma de TOTAL general",'[1]tabla dinámica IO men'!$A$2,"MES","3","AÑO",2010)</f>
        <v>57.372463425654566</v>
      </c>
    </row>
    <row r="16" spans="3:9">
      <c r="C16" s="51" t="s">
        <v>48</v>
      </c>
      <c r="D16" s="339">
        <f>GETPIVOTDATA("dato",'[1]tabla dinámica IO men'!$A$96,"categoría","Hoteleros","mes",2,"año",2010)</f>
        <v>49.39</v>
      </c>
      <c r="E16" s="339"/>
      <c r="F16" s="339">
        <f>GETPIVOTDATA("dato",'[1]tabla dinámica IO men'!$A$96,"categoría","total","mes",2,"año",2010)</f>
        <v>49.39</v>
      </c>
      <c r="G16" s="339">
        <f>GETPIVOTDATA("Suma de TOTAL hotelero",'[1]tabla dinámica IO men'!$A$2,"MES","2","AÑO",2010)</f>
        <v>69.267910998420234</v>
      </c>
      <c r="H16" s="339">
        <f>GETPIVOTDATA("Suma de extrahoteleros",'[1]tabla dinámica IO men'!$A$2,"MES","2","AÑO",2010)</f>
        <v>53.139087137958619</v>
      </c>
      <c r="I16" s="339">
        <f>GETPIVOTDATA("Suma de TOTAL general",'[1]tabla dinámica IO men'!$A$2,"MES","2","AÑO",2010)</f>
        <v>60.950099889757524</v>
      </c>
    </row>
    <row r="17" spans="2:9">
      <c r="C17" s="51" t="s">
        <v>49</v>
      </c>
      <c r="D17" s="339">
        <f>GETPIVOTDATA("dato",'[1]tabla dinámica IO men'!$A$96,"categoría","Hoteleros","mes",1,"año",2010)</f>
        <v>36.9</v>
      </c>
      <c r="E17" s="339"/>
      <c r="F17" s="339">
        <f>GETPIVOTDATA("dato",'[1]tabla dinámica IO men'!$A$96,"categoría","total","mes",1,"año",2010)</f>
        <v>36.9</v>
      </c>
      <c r="G17" s="339">
        <f>GETPIVOTDATA("Suma de TOTAL hotelero",'[1]tabla dinámica IO men'!$A$2,"MES","1","AÑO",2010)</f>
        <v>66.662640978301908</v>
      </c>
      <c r="H17" s="339">
        <f>GETPIVOTDATA("Suma de extrahoteleros",'[1]tabla dinámica IO men'!$A$2,"MES","1","AÑO",2010)</f>
        <v>50.378495650432853</v>
      </c>
      <c r="I17" s="339">
        <f>GETPIVOTDATA("Suma de TOTAL general",'[1]tabla dinámica IO men'!$A$2,"MES","1","AÑO",2010)</f>
        <v>58.264728887807387</v>
      </c>
    </row>
    <row r="18" spans="2:9" ht="30">
      <c r="C18" s="69" t="s">
        <v>55</v>
      </c>
      <c r="D18" s="340">
        <f>'[1]tabla dinámica municipios'!$T$392*100</f>
        <v>37.709338935825123</v>
      </c>
      <c r="E18" s="340"/>
      <c r="F18" s="340">
        <f>'[1]tabla dinámica municipios'!$U$392*100</f>
        <v>37.709338935825123</v>
      </c>
      <c r="G18" s="340">
        <f>GETPIVOTDATA("Suma de TOTAL hotelero",'[1]tabla dinámica IO men'!$A$201,"MES","6","AÑO",2010)</f>
        <v>62.849608345190198</v>
      </c>
      <c r="H18" s="340">
        <f>GETPIVOTDATA("Suma de extrahoteleros",'[1]tabla dinámica IO men'!$A$201,"MES","6","AÑO",2010)</f>
        <v>44.575514399196749</v>
      </c>
      <c r="I18" s="340">
        <f>GETPIVOTDATA("Suma de TOTAL general",'[1]tabla dinámica IO men'!$A$201,"MES","6","AÑO",2010)</f>
        <v>53.425457958295219</v>
      </c>
    </row>
    <row r="19" spans="2:9" hidden="1" outlineLevel="1">
      <c r="C19" s="51" t="s">
        <v>38</v>
      </c>
      <c r="D19" s="339">
        <f>GETPIVOTDATA("dato",'[1]tabla dinámica IO men'!$A$96,"categoría","Hoteleros","mes",12,"año",2009)</f>
        <v>46.475316912295163</v>
      </c>
      <c r="E19" s="339"/>
      <c r="F19" s="339">
        <f>GETPIVOTDATA("dato",'[1]tabla dinámica IO men'!$A$96,"categoría","total","mes",12,"año",2009)</f>
        <v>46.475316912295163</v>
      </c>
      <c r="G19" s="339">
        <f>GETPIVOTDATA("Suma de TOTAL hotelero",'[1]tabla dinámica IO men'!$A$2,"MES","12","AÑO",2009)</f>
        <v>60.721348346029949</v>
      </c>
      <c r="H19" s="339">
        <f>GETPIVOTDATA("Suma de extrahoteleros",'[1]tabla dinámica IO men'!$A$2,"MES","12","AÑO",2009)</f>
        <v>46.862482306330861</v>
      </c>
      <c r="I19" s="339">
        <f>GETPIVOTDATA("Suma de TOTAL general",'[1]tabla dinámica IO men'!$A$2,"MES","12","AÑO",2009)</f>
        <v>53.539055226095769</v>
      </c>
    </row>
    <row r="20" spans="2:9" hidden="1" outlineLevel="1">
      <c r="C20" s="51" t="s">
        <v>39</v>
      </c>
      <c r="D20" s="339">
        <f>GETPIVOTDATA("dato",'[1]tabla dinámica IO men'!$A$96,"categoría","Hoteleros","mes",11,"año",2009)</f>
        <v>36.879659211927581</v>
      </c>
      <c r="E20" s="339"/>
      <c r="F20" s="339">
        <f>GETPIVOTDATA("dato",'[1]tabla dinámica IO men'!$A$96,"categoría","total","mes",11,"año",2009)</f>
        <v>36.879659211927581</v>
      </c>
      <c r="G20" s="339">
        <f>GETPIVOTDATA("Suma de TOTAL hotelero",'[1]tabla dinámica IO men'!$A$2,"MES","11","AÑO",2009)</f>
        <v>63.467484961176638</v>
      </c>
      <c r="H20" s="339">
        <f>GETPIVOTDATA("Suma de extrahoteleros",'[1]tabla dinámica IO men'!$A$2,"MES","11","AÑO",2009)</f>
        <v>46.961393537075921</v>
      </c>
      <c r="I20" s="339">
        <f>GETPIVOTDATA("Suma de TOTAL general",'[1]tabla dinámica IO men'!$A$2,"MES","11","AÑO",2009)</f>
        <v>54.913279549801061</v>
      </c>
    </row>
    <row r="21" spans="2:9" hidden="1" outlineLevel="1">
      <c r="C21" s="51" t="s">
        <v>40</v>
      </c>
      <c r="D21" s="339">
        <f>GETPIVOTDATA("dato",'[1]tabla dinámica IO men'!$A$96,"categoría","Hoteleros","mes",10,"año",2009)</f>
        <v>37.320931670617334</v>
      </c>
      <c r="E21" s="339"/>
      <c r="F21" s="339">
        <f>GETPIVOTDATA("dato",'[1]tabla dinámica IO men'!$A$96,"categoría","total","mes",10,"año",2009)</f>
        <v>37.320931670617334</v>
      </c>
      <c r="G21" s="339">
        <f>GETPIVOTDATA("Suma de TOTAL hotelero",'[1]tabla dinámica IO men'!$A$2,"MES","10","AÑO",2009)</f>
        <v>59.792082639993346</v>
      </c>
      <c r="H21" s="339">
        <f>GETPIVOTDATA("Suma de extrahoteleros",'[1]tabla dinámica IO men'!$A$2,"MES","10","AÑO",2009)</f>
        <v>42.847789633989905</v>
      </c>
      <c r="I21" s="339">
        <f>GETPIVOTDATA("Suma de TOTAL general",'[1]tabla dinámica IO men'!$A$2,"MES","10","AÑO",2009)</f>
        <v>51.010781288890179</v>
      </c>
    </row>
    <row r="22" spans="2:9" hidden="1" outlineLevel="1">
      <c r="C22" s="51" t="s">
        <v>41</v>
      </c>
      <c r="D22" s="339">
        <f>GETPIVOTDATA("dato",'[1]tabla dinámica IO men'!$A$96,"categoría","Hoteleros","mes",9,"año",2009)</f>
        <v>34.43</v>
      </c>
      <c r="E22" s="339"/>
      <c r="F22" s="339">
        <f>GETPIVOTDATA("dato",'[1]tabla dinámica IO men'!$A$96,"categoría","total","mes",9,"año",2009)</f>
        <v>34.43</v>
      </c>
      <c r="G22" s="339">
        <f>GETPIVOTDATA("Suma de TOTAL hotelero",'[1]tabla dinámica IO men'!$A$2,"MES","9","AÑO",2009)</f>
        <v>59.465218680842327</v>
      </c>
      <c r="H22" s="339">
        <f>GETPIVOTDATA("Suma de extrahoteleros",'[1]tabla dinámica IO men'!$A$2,"MES","9","AÑO",2009)</f>
        <v>40.776017475769336</v>
      </c>
      <c r="I22" s="339">
        <f>GETPIVOTDATA("Suma de TOTAL general",'[1]tabla dinámica IO men'!$A$2,"MES","9","AÑO",2009)</f>
        <v>49.779626739355038</v>
      </c>
    </row>
    <row r="23" spans="2:9" hidden="1" outlineLevel="1">
      <c r="C23" s="51" t="s">
        <v>42</v>
      </c>
      <c r="D23" s="339">
        <f>GETPIVOTDATA("dato",'[1]tabla dinámica IO men'!$A$96,"categoría","Hoteleros","mes",8,"año",2009)</f>
        <v>27.55</v>
      </c>
      <c r="E23" s="339"/>
      <c r="F23" s="339">
        <f>GETPIVOTDATA("dato",'[1]tabla dinámica IO men'!$A$96,"categoría","total","mes",8,"año",2009)</f>
        <v>27.55</v>
      </c>
      <c r="G23" s="339">
        <f>GETPIVOTDATA("Suma de TOTAL hotelero",'[1]tabla dinámica IO men'!$A$2,"MES","8","AÑO",2009)</f>
        <v>71.881037209634371</v>
      </c>
      <c r="H23" s="339">
        <f>GETPIVOTDATA("Suma de extrahoteleros",'[1]tabla dinámica IO men'!$A$2,"MES","8","AÑO",2009)</f>
        <v>55.295957189017301</v>
      </c>
      <c r="I23" s="339">
        <f>GETPIVOTDATA("Suma de TOTAL general",'[1]tabla dinámica IO men'!$A$2,"MES","8","AÑO",2009)</f>
        <v>63.285896324051336</v>
      </c>
    </row>
    <row r="24" spans="2:9" hidden="1" outlineLevel="1">
      <c r="C24" s="51" t="s">
        <v>43</v>
      </c>
      <c r="D24" s="339">
        <f>GETPIVOTDATA("dato",'[1]tabla dinámica IO men'!$A$96,"categoría","Hoteleros","mes",7,"año",2009)</f>
        <v>35.119999999999997</v>
      </c>
      <c r="E24" s="339"/>
      <c r="F24" s="339">
        <f>GETPIVOTDATA("dato",'[1]tabla dinámica IO men'!$A$96,"categoría","total","mes",7,"año",2009)</f>
        <v>35.119999999999997</v>
      </c>
      <c r="G24" s="339">
        <f>GETPIVOTDATA("Suma de TOTAL hotelero",'[1]tabla dinámica IO men'!$A$2,"MES","7","AÑO",2009)</f>
        <v>66.009695597680533</v>
      </c>
      <c r="H24" s="339">
        <f>GETPIVOTDATA("Suma de extrahoteleros",'[1]tabla dinámica IO men'!$A$2,"MES","7","AÑO",2009)</f>
        <v>47.387391640173199</v>
      </c>
      <c r="I24" s="339">
        <f>GETPIVOTDATA("Suma de TOTAL general",'[1]tabla dinámica IO men'!$A$2,"MES","7","AÑO",2009)</f>
        <v>56.358772844823612</v>
      </c>
    </row>
    <row r="25" spans="2:9" hidden="1" outlineLevel="1">
      <c r="C25" s="51" t="s">
        <v>44</v>
      </c>
      <c r="D25" s="339">
        <f>GETPIVOTDATA("dato",'[1]tabla dinámica IO men'!$A$96,"categoría","Hoteleros","mes",6,"año",2009)</f>
        <v>37.010404319768206</v>
      </c>
      <c r="E25" s="339"/>
      <c r="F25" s="339">
        <f>GETPIVOTDATA("dato",'[1]tabla dinámica IO men'!$A$96,"categoría","total","mes",6,"año",2009)</f>
        <v>37.010404319768206</v>
      </c>
      <c r="G25" s="339">
        <f>GETPIVOTDATA("Suma de TOTAL hotelero",'[1]tabla dinámica IO men'!$A$2,"MES","6","AÑO",2009)</f>
        <v>56.315644033599447</v>
      </c>
      <c r="H25" s="339">
        <f>GETPIVOTDATA("Suma de extrahoteleros",'[1]tabla dinámica IO men'!$A$2,"MES","6","AÑO",2009)</f>
        <v>37.112221249420614</v>
      </c>
      <c r="I25" s="339">
        <f>GETPIVOTDATA("Suma de TOTAL general",'[1]tabla dinámica IO men'!$A$2,"MES","6","AÑO",2009)</f>
        <v>46.245728503887108</v>
      </c>
    </row>
    <row r="26" spans="2:9" hidden="1" outlineLevel="1">
      <c r="C26" s="51" t="s">
        <v>45</v>
      </c>
      <c r="D26" s="339">
        <f>GETPIVOTDATA("dato",'[1]tabla dinámica IO men'!$A$96,"categoría","Hoteleros","mes",5,"año",2009)</f>
        <v>38.42</v>
      </c>
      <c r="E26" s="339"/>
      <c r="F26" s="339">
        <f>GETPIVOTDATA("dato",'[1]tabla dinámica IO men'!$A$96,"categoría","total","mes",5,"año",2009)</f>
        <v>38.42</v>
      </c>
      <c r="G26" s="339">
        <f>GETPIVOTDATA("Suma de TOTAL hotelero",'[1]tabla dinámica IO men'!$A$2,"MES","5","AÑO",2009)</f>
        <v>52.015428423011926</v>
      </c>
      <c r="H26" s="339">
        <f>GETPIVOTDATA("Suma de extrahoteleros",'[1]tabla dinámica IO men'!$A$2,"MES","5","AÑO",2009)</f>
        <v>33.333211502391485</v>
      </c>
      <c r="I26" s="339">
        <f>GETPIVOTDATA("Suma de TOTAL general",'[1]tabla dinámica IO men'!$A$2,"MES","5","AÑO",2009)</f>
        <v>42.218823494154968</v>
      </c>
    </row>
    <row r="27" spans="2:9" hidden="1" outlineLevel="1">
      <c r="C27" s="51" t="s">
        <v>46</v>
      </c>
      <c r="D27" s="339">
        <f>GETPIVOTDATA("dato",'[1]tabla dinámica IO men'!$A$96,"categoría","Hoteleros","mes",4,"año",2009)</f>
        <v>39.299999999999997</v>
      </c>
      <c r="E27" s="339"/>
      <c r="F27" s="339">
        <f>GETPIVOTDATA("dato",'[1]tabla dinámica IO men'!$A$96,"categoría","total","mes",4,"año",2009)</f>
        <v>39.299999999999997</v>
      </c>
      <c r="G27" s="339">
        <f>GETPIVOTDATA("Suma de TOTAL hotelero",'[1]tabla dinámica IO men'!$A$2,"MES","4","AÑO",2009)</f>
        <v>62.405335937707015</v>
      </c>
      <c r="H27" s="339">
        <f>GETPIVOTDATA("Suma de extrahoteleros",'[1]tabla dinámica IO men'!$A$2,"MES","4","AÑO",2009)</f>
        <v>43.600109869358469</v>
      </c>
      <c r="I27" s="339">
        <f>GETPIVOTDATA("Suma de TOTAL general",'[1]tabla dinámica IO men'!$A$2,"MES","4","AÑO",2009)</f>
        <v>52.544227313809579</v>
      </c>
    </row>
    <row r="28" spans="2:9" hidden="1" outlineLevel="1">
      <c r="C28" s="51" t="s">
        <v>47</v>
      </c>
      <c r="D28" s="339">
        <f>GETPIVOTDATA("dato",'[1]tabla dinámica IO men'!$A$96,"categoría","Hoteleros","mes",3,"año",2009)</f>
        <v>46.73</v>
      </c>
      <c r="E28" s="339"/>
      <c r="F28" s="339">
        <f>GETPIVOTDATA("dato",'[1]tabla dinámica IO men'!$A$96,"categoría","total","mes",3,"año",2009)</f>
        <v>46.73</v>
      </c>
      <c r="G28" s="339">
        <f>GETPIVOTDATA("Suma de TOTAL hotelero",'[1]tabla dinámica IO men'!$A$2,"MES","3","AÑO",2009)</f>
        <v>63.29869911974172</v>
      </c>
      <c r="H28" s="339">
        <f>GETPIVOTDATA("Suma de extrahoteleros",'[1]tabla dinámica IO men'!$A$2,"MES","3","AÑO",2009)</f>
        <v>51.752587938404488</v>
      </c>
      <c r="I28" s="339">
        <f>GETPIVOTDATA("Suma de TOTAL general",'[1]tabla dinámica IO men'!$A$2,"MES","3","AÑO",2009)</f>
        <v>57.244134493454197</v>
      </c>
    </row>
    <row r="29" spans="2:9" hidden="1" outlineLevel="1">
      <c r="C29" s="51" t="s">
        <v>48</v>
      </c>
      <c r="D29" s="339">
        <f>GETPIVOTDATA("dato",'[1]tabla dinámica IO men'!$A$96,"categoría","Hoteleros","mes",2,"año",2009)</f>
        <v>55.42</v>
      </c>
      <c r="E29" s="339"/>
      <c r="F29" s="339">
        <f>GETPIVOTDATA("dato",'[1]tabla dinámica IO men'!$A$96,"categoría","total","mes",2,"año",2009)</f>
        <v>55.42</v>
      </c>
      <c r="G29" s="339">
        <f>GETPIVOTDATA("Suma de TOTAL hotelero",'[1]tabla dinámica IO men'!$A$2,"MES","2","AÑO",2009)</f>
        <v>67.106938849673668</v>
      </c>
      <c r="H29" s="339">
        <f>GETPIVOTDATA("Suma de extrahoteleros",'[1]tabla dinámica IO men'!$A$2,"MES","2","AÑO",2009)</f>
        <v>54.896556037051482</v>
      </c>
      <c r="I29" s="339">
        <f>GETPIVOTDATA("Suma de TOTAL general",'[1]tabla dinámica IO men'!$A$2,"MES","2","AÑO",2009)</f>
        <v>60.704042611308388</v>
      </c>
    </row>
    <row r="30" spans="2:9" hidden="1" outlineLevel="1">
      <c r="C30" s="51" t="s">
        <v>49</v>
      </c>
      <c r="D30" s="339">
        <f>GETPIVOTDATA("dato",'[1]tabla dinámica IO men'!$A$96,"categoría","Hoteleros","mes",1,"año",2009)</f>
        <v>42.03</v>
      </c>
      <c r="E30" s="339"/>
      <c r="F30" s="339">
        <f>GETPIVOTDATA("dato",'[1]tabla dinámica IO men'!$A$96,"categoría","total","mes",1,"año",2009)</f>
        <v>42.03</v>
      </c>
      <c r="G30" s="339">
        <f>GETPIVOTDATA("Suma de TOTAL hotelero",'[1]tabla dinámica IO men'!$A$2,"MES","1","AÑO",2009)</f>
        <v>67.133092311541603</v>
      </c>
      <c r="H30" s="339">
        <f>GETPIVOTDATA("Suma de extrahoteleros",'[1]tabla dinámica IO men'!$A$2,"MES","1","AÑO",2009)</f>
        <v>52.762610748479467</v>
      </c>
      <c r="I30" s="339">
        <f>GETPIVOTDATA("Suma de TOTAL general",'[1]tabla dinámica IO men'!$A$2,"MES","1","AÑO",2009)</f>
        <v>59.597480713147469</v>
      </c>
    </row>
    <row r="31" spans="2:9" collapsed="1">
      <c r="B31" s="341"/>
      <c r="C31" s="56">
        <v>2009</v>
      </c>
      <c r="D31" s="342">
        <f>'[1]tabla dinámica IO men'!E509</f>
        <v>39.642181995479113</v>
      </c>
      <c r="E31" s="342"/>
      <c r="F31" s="342">
        <f>'[1]tabla dinámica IO men'!E510</f>
        <v>39.642181995479113</v>
      </c>
      <c r="G31" s="342">
        <f>GETPIVOTDATA("Suma de TOTAL hotelero",'[1]tabla dinámica IO men'!$A$201,"MES","12","AÑO",2009)</f>
        <v>62.449494630571635</v>
      </c>
      <c r="H31" s="342">
        <f>GETPIVOTDATA("Suma de extrahoteleros",'[1]tabla dinámica IO men'!$A$201,"MES","12","AÑO",2009)</f>
        <v>46.095366123073184</v>
      </c>
      <c r="I31" s="342">
        <f>GETPIVOTDATA("Suma de TOTAL general",'[1]tabla dinámica IO men'!$A$201,"MES","12","AÑO",2009)</f>
        <v>53.92384753313668</v>
      </c>
    </row>
    <row r="32" spans="2:9" hidden="1" outlineLevel="1">
      <c r="C32" s="51" t="s">
        <v>38</v>
      </c>
      <c r="D32" s="339">
        <f>GETPIVOTDATA("dato",'[1]tabla dinámica IO men'!$A$96,"categoría","Hoteleros","mes",12,"año",2008)</f>
        <v>44.16</v>
      </c>
      <c r="E32" s="339"/>
      <c r="F32" s="339">
        <f>GETPIVOTDATA("dato",'[1]tabla dinámica IO men'!$A$96,"categoría","total","mes",12,"año",2008)</f>
        <v>44.16</v>
      </c>
      <c r="G32" s="339">
        <f>GETPIVOTDATA("Suma de TOTAL hotelero",'[1]tabla dinámica IO men'!$A$2,"MES","12","AÑO",2008)</f>
        <v>64.640384835079971</v>
      </c>
      <c r="H32" s="339">
        <f>GETPIVOTDATA("Suma de extrahoteleros",'[1]tabla dinámica IO men'!$A$2,"MES","12","AÑO",2008)</f>
        <v>51.882166558604432</v>
      </c>
      <c r="I32" s="339">
        <f>GETPIVOTDATA("Suma de TOTAL general",'[1]tabla dinámica IO men'!$A$2,"MES","12","AÑO",2008)</f>
        <v>57.974963148093735</v>
      </c>
    </row>
    <row r="33" spans="3:9" hidden="1" outlineLevel="1">
      <c r="C33" s="51" t="s">
        <v>39</v>
      </c>
      <c r="D33" s="339">
        <f>GETPIVOTDATA("dato",'[1]tabla dinámica IO men'!$A$96,"categoría","Hoteleros","mes",11,"año",2008)</f>
        <v>50.74</v>
      </c>
      <c r="E33" s="339"/>
      <c r="F33" s="339">
        <f>GETPIVOTDATA("dato",'[1]tabla dinámica IO men'!$A$96,"categoría","total","mes",11,"año",2008)</f>
        <v>50.74</v>
      </c>
      <c r="G33" s="339">
        <f>GETPIVOTDATA("Suma de TOTAL hotelero",'[1]tabla dinámica IO men'!$A$2,"MES","11","AÑO",2008)</f>
        <v>67.688468492700352</v>
      </c>
      <c r="H33" s="339">
        <f>GETPIVOTDATA("Suma de extrahoteleros",'[1]tabla dinámica IO men'!$A$2,"MES","11","AÑO",2008)</f>
        <v>54.298905211684115</v>
      </c>
      <c r="I33" s="339">
        <f>GETPIVOTDATA("Suma de TOTAL general",'[1]tabla dinámica IO men'!$A$2,"MES","11","AÑO",2008)</f>
        <v>60.693206024341421</v>
      </c>
    </row>
    <row r="34" spans="3:9" hidden="1" outlineLevel="1">
      <c r="C34" s="51" t="s">
        <v>40</v>
      </c>
      <c r="D34" s="339">
        <f>GETPIVOTDATA("dato",'[1]tabla dinámica IO men'!$A$96,"categoría","Hoteleros","mes",10,"año",2008)</f>
        <v>49.88</v>
      </c>
      <c r="E34" s="339"/>
      <c r="F34" s="339">
        <f>GETPIVOTDATA("dato",'[1]tabla dinámica IO men'!$A$96,"categoría","total","mes",10,"año",2008)</f>
        <v>49.88</v>
      </c>
      <c r="G34" s="339">
        <f>GETPIVOTDATA("Suma de TOTAL hotelero",'[1]tabla dinámica IO men'!$A$2,"MES","10","AÑO",2008)</f>
        <v>66.209471350668167</v>
      </c>
      <c r="H34" s="339">
        <f>GETPIVOTDATA("Suma de extrahoteleros",'[1]tabla dinámica IO men'!$A$2,"MES","10","AÑO",2008)</f>
        <v>48.242286768754084</v>
      </c>
      <c r="I34" s="339">
        <f>GETPIVOTDATA("Suma de TOTAL general",'[1]tabla dinámica IO men'!$A$2,"MES","10","AÑO",2008)</f>
        <v>56.822669904639113</v>
      </c>
    </row>
    <row r="35" spans="3:9" hidden="1" outlineLevel="1">
      <c r="C35" s="51" t="s">
        <v>41</v>
      </c>
      <c r="D35" s="339">
        <f>GETPIVOTDATA("dato",'[1]tabla dinámica IO men'!$A$96,"categoría","Hoteleros","mes",9,"año",2008)</f>
        <v>40.82</v>
      </c>
      <c r="E35" s="339"/>
      <c r="F35" s="339">
        <f>GETPIVOTDATA("dato",'[1]tabla dinámica IO men'!$A$96,"categoría","total","mes",9,"año",2008)</f>
        <v>40.82</v>
      </c>
      <c r="G35" s="339">
        <f>GETPIVOTDATA("Suma de TOTAL hotelero",'[1]tabla dinámica IO men'!$A$2,"MES","9","AÑO",2008)</f>
        <v>66.464301190956505</v>
      </c>
      <c r="H35" s="339">
        <f>GETPIVOTDATA("Suma de extrahoteleros",'[1]tabla dinámica IO men'!$A$2,"MES","9","AÑO",2008)</f>
        <v>44.672075726842458</v>
      </c>
      <c r="I35" s="339">
        <f>GETPIVOTDATA("Suma de TOTAL general",'[1]tabla dinámica IO men'!$A$2,"MES","9","AÑO",2008)</f>
        <v>55.079139950689175</v>
      </c>
    </row>
    <row r="36" spans="3:9" hidden="1" outlineLevel="1">
      <c r="C36" s="51" t="s">
        <v>42</v>
      </c>
      <c r="D36" s="339">
        <f>GETPIVOTDATA("dato",'[1]tabla dinámica IO men'!$A$96,"categoría","Hoteleros","mes",8,"año",2008)</f>
        <v>36.9</v>
      </c>
      <c r="E36" s="339"/>
      <c r="F36" s="339">
        <f>GETPIVOTDATA("dato",'[1]tabla dinámica IO men'!$A$96,"categoría","total","mes",8,"año",2008)</f>
        <v>36.9</v>
      </c>
      <c r="G36" s="339">
        <f>GETPIVOTDATA("Suma de TOTAL hotelero",'[1]tabla dinámica IO men'!$A$2,"MES","8","AÑO",2008)</f>
        <v>80.961169428951138</v>
      </c>
      <c r="H36" s="339">
        <f>GETPIVOTDATA("Suma de extrahoteleros",'[1]tabla dinámica IO men'!$A$2,"MES","8","AÑO",2008)</f>
        <v>63.355104403982239</v>
      </c>
      <c r="I36" s="339">
        <f>GETPIVOTDATA("Suma de TOTAL general",'[1]tabla dinámica IO men'!$A$2,"MES","8","AÑO",2008)</f>
        <v>71.763031797437264</v>
      </c>
    </row>
    <row r="37" spans="3:9" hidden="1" outlineLevel="1">
      <c r="C37" s="51" t="s">
        <v>43</v>
      </c>
      <c r="D37" s="339">
        <f>GETPIVOTDATA("dato",'[1]tabla dinámica IO men'!$A$96,"categoría","Hoteleros","mes",7,"año",2008)</f>
        <v>48.89</v>
      </c>
      <c r="E37" s="339"/>
      <c r="F37" s="339">
        <f>GETPIVOTDATA("dato",'[1]tabla dinámica IO men'!$A$96,"categoría","total","mes",7,"año",2008)</f>
        <v>48.89</v>
      </c>
      <c r="G37" s="339">
        <f>GETPIVOTDATA("Suma de TOTAL hotelero",'[1]tabla dinámica IO men'!$A$2,"MES","7","AÑO",2008)</f>
        <v>76.313489039315016</v>
      </c>
      <c r="H37" s="339">
        <f>GETPIVOTDATA("Suma de extrahoteleros",'[1]tabla dinámica IO men'!$A$2,"MES","7","AÑO",2008)</f>
        <v>55.889358810905627</v>
      </c>
      <c r="I37" s="339">
        <f>GETPIVOTDATA("Suma de TOTAL general",'[1]tabla dinámica IO men'!$A$2,"MES","7","AÑO",2008)</f>
        <v>65.643077418180823</v>
      </c>
    </row>
    <row r="38" spans="3:9" hidden="1" outlineLevel="1">
      <c r="C38" s="51" t="s">
        <v>44</v>
      </c>
      <c r="D38" s="339">
        <f>GETPIVOTDATA("dato",'[1]tabla dinámica IO men'!$A$96,"categoría","Hoteleros","mes",6,"año",2008)</f>
        <v>46.79</v>
      </c>
      <c r="E38" s="339"/>
      <c r="F38" s="339">
        <f>GETPIVOTDATA("dato",'[1]tabla dinámica IO men'!$A$96,"categoría","total","mes",6,"año",2008)</f>
        <v>46.79</v>
      </c>
      <c r="G38" s="339">
        <f>GETPIVOTDATA("Suma de TOTAL hotelero",'[1]tabla dinámica IO men'!$A$2,"MES","6","AÑO",2008)</f>
        <v>66.501038748165513</v>
      </c>
      <c r="H38" s="339">
        <f>GETPIVOTDATA("Suma de extrahoteleros",'[1]tabla dinámica IO men'!$A$2,"MES","6","AÑO",2008)</f>
        <v>45.614492783161957</v>
      </c>
      <c r="I38" s="339">
        <f>GETPIVOTDATA("Suma de TOTAL general",'[1]tabla dinámica IO men'!$A$2,"MES","6","AÑO",2008)</f>
        <v>55.456624203364015</v>
      </c>
    </row>
    <row r="39" spans="3:9" hidden="1" outlineLevel="1">
      <c r="C39" s="51" t="s">
        <v>45</v>
      </c>
      <c r="D39" s="339">
        <f>GETPIVOTDATA("dato",'[1]tabla dinámica IO men'!$A$96,"categoría","Hoteleros","mes",5,"año",2008)</f>
        <v>54.87</v>
      </c>
      <c r="E39" s="339"/>
      <c r="F39" s="339">
        <f>GETPIVOTDATA("dato",'[1]tabla dinámica IO men'!$A$96,"categoría","total","mes",5,"año",2008)</f>
        <v>54.87</v>
      </c>
      <c r="G39" s="339">
        <f>GETPIVOTDATA("Suma de TOTAL hotelero",'[1]tabla dinámica IO men'!$A$2,"MES","5","AÑO",2008)</f>
        <v>63.590053840294082</v>
      </c>
      <c r="H39" s="339">
        <f>GETPIVOTDATA("Suma de extrahoteleros",'[1]tabla dinámica IO men'!$A$2,"MES","5","AÑO",2008)</f>
        <v>40.92888840235679</v>
      </c>
      <c r="I39" s="339">
        <f>GETPIVOTDATA("Suma de TOTAL general",'[1]tabla dinámica IO men'!$A$2,"MES","5","AÑO",2008)</f>
        <v>51.607253736137892</v>
      </c>
    </row>
    <row r="40" spans="3:9" hidden="1" outlineLevel="1">
      <c r="C40" s="51" t="s">
        <v>46</v>
      </c>
      <c r="D40" s="339">
        <f>GETPIVOTDATA("dato",'[1]tabla dinámica IO men'!$A$96,"categoría","Hoteleros","mes",4,"año",2008)</f>
        <v>50.48</v>
      </c>
      <c r="E40" s="339"/>
      <c r="F40" s="339">
        <f>GETPIVOTDATA("dato",'[1]tabla dinámica IO men'!$A$96,"categoría","total","mes",4,"año",2008)</f>
        <v>50.48</v>
      </c>
      <c r="G40" s="339">
        <f>GETPIVOTDATA("Suma de TOTAL hotelero",'[1]tabla dinámica IO men'!$A$2,"MES","4","AÑO",2008)</f>
        <v>73.334819982083971</v>
      </c>
      <c r="H40" s="339">
        <f>GETPIVOTDATA("Suma de extrahoteleros",'[1]tabla dinámica IO men'!$A$2,"MES","4","AÑO",2008)</f>
        <v>49.370068041076017</v>
      </c>
      <c r="I40" s="339">
        <f>GETPIVOTDATA("Suma de TOTAL general",'[1]tabla dinámica IO men'!$A$2,"MES","4","AÑO",2008)</f>
        <v>60.662707736080876</v>
      </c>
    </row>
    <row r="41" spans="3:9" hidden="1" outlineLevel="1">
      <c r="C41" s="51" t="s">
        <v>47</v>
      </c>
      <c r="D41" s="339">
        <f>GETPIVOTDATA("dato",'[1]tabla dinámica IO men'!$A$96,"categoría","Hoteleros","mes",3,"año",2008)</f>
        <v>55.63</v>
      </c>
      <c r="E41" s="339"/>
      <c r="F41" s="339">
        <f>GETPIVOTDATA("dato",'[1]tabla dinámica IO men'!$A$96,"categoría","total","mes",3,"año",2008)</f>
        <v>55.63</v>
      </c>
      <c r="G41" s="339">
        <f>GETPIVOTDATA("Suma de TOTAL hotelero",'[1]tabla dinámica IO men'!$A$2,"MES","3","AÑO",2008)</f>
        <v>77.684738240995728</v>
      </c>
      <c r="H41" s="339">
        <f>GETPIVOTDATA("Suma de extrahoteleros",'[1]tabla dinámica IO men'!$A$2,"MES","3","AÑO",2008)</f>
        <v>61.716597023541247</v>
      </c>
      <c r="I41" s="339">
        <f>GETPIVOTDATA("Suma de TOTAL general",'[1]tabla dinámica IO men'!$A$2,"MES","3","AÑO",2008)</f>
        <v>69.241084062320297</v>
      </c>
    </row>
    <row r="42" spans="3:9" hidden="1" outlineLevel="1">
      <c r="C42" s="51" t="s">
        <v>48</v>
      </c>
      <c r="D42" s="339">
        <f>GETPIVOTDATA("dato",'[1]tabla dinámica IO men'!$A$96,"categoría","Hoteleros","mes",2,"año",2008)</f>
        <v>60.05</v>
      </c>
      <c r="E42" s="339"/>
      <c r="F42" s="339">
        <f>GETPIVOTDATA("dato",'[1]tabla dinámica IO men'!$A$96,"categoría","total","mes",2,"año",2008)</f>
        <v>60.05</v>
      </c>
      <c r="G42" s="339">
        <f>GETPIVOTDATA("Suma de TOTAL hotelero",'[1]tabla dinámica IO men'!$A$2,"MES","2","AÑO",2008)</f>
        <v>76.804257257271075</v>
      </c>
      <c r="H42" s="339">
        <f>GETPIVOTDATA("Suma de extrahoteleros",'[1]tabla dinámica IO men'!$A$2,"MES","2","AÑO",2008)</f>
        <v>63.279114363757316</v>
      </c>
      <c r="I42" s="339">
        <f>GETPIVOTDATA("Suma de TOTAL general",'[1]tabla dinámica IO men'!$A$2,"MES","2","AÑO",2008)</f>
        <v>69.652414863419494</v>
      </c>
    </row>
    <row r="43" spans="3:9" hidden="1" outlineLevel="1">
      <c r="C43" s="51" t="s">
        <v>49</v>
      </c>
      <c r="D43" s="339">
        <f>GETPIVOTDATA("dato",'[1]tabla dinámica IO men'!$A$96,"categoría","Hoteleros","mes",1,"año",2008)</f>
        <v>49.78</v>
      </c>
      <c r="E43" s="339"/>
      <c r="F43" s="339">
        <f>GETPIVOTDATA("dato",'[1]tabla dinámica IO men'!$A$96,"categoría","total","mes",1,"año",2008)</f>
        <v>49.78</v>
      </c>
      <c r="G43" s="339">
        <f>GETPIVOTDATA("Suma de TOTAL hotelero",'[1]tabla dinámica IO men'!$A$2,"MES","1","AÑO",2008)</f>
        <v>73.885594447385358</v>
      </c>
      <c r="H43" s="339">
        <f>GETPIVOTDATA("Suma de extrahoteleros",'[1]tabla dinámica IO men'!$A$2,"MES","1","AÑO",2008)</f>
        <v>59.071407461758739</v>
      </c>
      <c r="I43" s="339">
        <f>GETPIVOTDATA("Suma de TOTAL general",'[1]tabla dinámica IO men'!$A$2,"MES","1","AÑO",2008)</f>
        <v>66.052129666391551</v>
      </c>
    </row>
    <row r="44" spans="3:9" collapsed="1">
      <c r="C44" s="58">
        <v>2008</v>
      </c>
      <c r="D44" s="343">
        <f>'[1]tabla dinámica IO men'!D509</f>
        <v>49.043617846978854</v>
      </c>
      <c r="E44" s="343"/>
      <c r="F44" s="343">
        <f>'[1]tabla dinámica IO men'!D510</f>
        <v>49.043617846978854</v>
      </c>
      <c r="G44" s="343">
        <f>GETPIVOTDATA("Suma de TOTAL hotelero",'[1]tabla dinámica IO men'!$A$201,"MES","12","AÑO",2008)</f>
        <v>71.163950994623377</v>
      </c>
      <c r="H44" s="343">
        <f>GETPIVOTDATA("Suma de extrahoteleros",'[1]tabla dinámica IO men'!$A$201,"MES","12","AÑO",2008)</f>
        <v>53.189922191708618</v>
      </c>
      <c r="I44" s="343">
        <f>GETPIVOTDATA("Suma de TOTAL general",'[1]tabla dinámica IO men'!$A$201,"MES","12","AÑO",2008)</f>
        <v>61.717103063000927</v>
      </c>
    </row>
    <row r="45" spans="3:9" hidden="1" outlineLevel="1">
      <c r="C45" s="51" t="s">
        <v>38</v>
      </c>
      <c r="D45" s="339">
        <f>GETPIVOTDATA("dato",'[1]tabla dinámica IO men'!$A$96,"categoría","Hoteleros","mes",12,"año",2007)</f>
        <v>50.58</v>
      </c>
      <c r="E45" s="339"/>
      <c r="F45" s="339">
        <f>GETPIVOTDATA("dato",'[1]tabla dinámica IO men'!$A$96,"categoría","total","mes",12,"año",2007)</f>
        <v>50.58</v>
      </c>
      <c r="G45" s="339">
        <f>GETPIVOTDATA("Suma de TOTAL hotelero",'[1]tabla dinámica IO men'!$A$2,"MES","12","AÑO",2007)</f>
        <v>68.789489859201069</v>
      </c>
      <c r="H45" s="339">
        <f>GETPIVOTDATA("Suma de extrahoteleros",'[1]tabla dinámica IO men'!$A$2,"MES","12","AÑO",2007)</f>
        <v>57.502618168416596</v>
      </c>
      <c r="I45" s="339">
        <f>GETPIVOTDATA("Suma de TOTAL general",'[1]tabla dinámica IO men'!$A$2,"MES","12","AÑO",2007)</f>
        <v>62.820329411079243</v>
      </c>
    </row>
    <row r="46" spans="3:9" hidden="1" outlineLevel="1">
      <c r="C46" s="51" t="s">
        <v>39</v>
      </c>
      <c r="D46" s="339">
        <f>GETPIVOTDATA("dato",'[1]tabla dinámica IO men'!$A$96,"categoría","Hoteleros","mes",11,"año",2007)</f>
        <v>54.26</v>
      </c>
      <c r="E46" s="339"/>
      <c r="F46" s="339">
        <f>GETPIVOTDATA("dato",'[1]tabla dinámica IO men'!$A$96,"categoría","total","mes",11,"año",2007)</f>
        <v>54.26</v>
      </c>
      <c r="G46" s="339">
        <f>GETPIVOTDATA("Suma de TOTAL hotelero",'[1]tabla dinámica IO men'!$A$2,"MES","11","AÑO",2007)</f>
        <v>73.683990339817825</v>
      </c>
      <c r="H46" s="339">
        <f>GETPIVOTDATA("Suma de extrahoteleros",'[1]tabla dinámica IO men'!$A$2,"MES","11","AÑO",2007)</f>
        <v>58.001429800844328</v>
      </c>
      <c r="I46" s="339">
        <f>GETPIVOTDATA("Suma de TOTAL general",'[1]tabla dinámica IO men'!$A$2,"MES","11","AÑO",2007)</f>
        <v>65.39013154004526</v>
      </c>
    </row>
    <row r="47" spans="3:9" hidden="1" outlineLevel="1">
      <c r="C47" s="51" t="s">
        <v>40</v>
      </c>
      <c r="D47" s="339">
        <f>GETPIVOTDATA("dato",'[1]tabla dinámica IO men'!$A$96,"categoría","Hoteleros","mes",10,"año",2007)</f>
        <v>52.95</v>
      </c>
      <c r="E47" s="339"/>
      <c r="F47" s="339">
        <f>GETPIVOTDATA("dato",'[1]tabla dinámica IO men'!$A$96,"categoría","total","mes",10,"año",2007)</f>
        <v>52.95</v>
      </c>
      <c r="G47" s="339">
        <f>GETPIVOTDATA("Suma de TOTAL hotelero",'[1]tabla dinámica IO men'!$A$2,"MES","10","AÑO",2007)</f>
        <v>69.086472371130611</v>
      </c>
      <c r="H47" s="339">
        <f>GETPIVOTDATA("Suma de extrahoteleros",'[1]tabla dinámica IO men'!$A$2,"MES","10","AÑO",2007)</f>
        <v>51.435418621685976</v>
      </c>
      <c r="I47" s="339">
        <f>GETPIVOTDATA("Suma de TOTAL general",'[1]tabla dinámica IO men'!$A$2,"MES","10","AÑO",2007)</f>
        <v>59.75155878343709</v>
      </c>
    </row>
    <row r="48" spans="3:9" hidden="1" outlineLevel="1">
      <c r="C48" s="51" t="s">
        <v>41</v>
      </c>
      <c r="D48" s="339">
        <f>GETPIVOTDATA("dato",'[1]tabla dinámica IO men'!$A$96,"categoría","Hoteleros","mes",9,"año",2007)</f>
        <v>46.27</v>
      </c>
      <c r="E48" s="339"/>
      <c r="F48" s="339">
        <f>GETPIVOTDATA("dato",'[1]tabla dinámica IO men'!$A$96,"categoría","total","mes",9,"año",2007)</f>
        <v>46.27</v>
      </c>
      <c r="G48" s="339">
        <f>GETPIVOTDATA("Suma de TOTAL hotelero",'[1]tabla dinámica IO men'!$A$2,"MES","9","AÑO",2007)</f>
        <v>69.913590811417265</v>
      </c>
      <c r="H48" s="339">
        <f>GETPIVOTDATA("Suma de extrahoteleros",'[1]tabla dinámica IO men'!$A$2,"MES","9","AÑO",2007)</f>
        <v>46.800566499291875</v>
      </c>
      <c r="I48" s="339">
        <f>GETPIVOTDATA("Suma de TOTAL general",'[1]tabla dinámica IO men'!$A$2,"MES","9","AÑO",2007)</f>
        <v>57.690066495723741</v>
      </c>
    </row>
    <row r="49" spans="3:9" hidden="1" outlineLevel="1">
      <c r="C49" s="51" t="s">
        <v>42</v>
      </c>
      <c r="D49" s="339">
        <f>GETPIVOTDATA("dato",'[1]tabla dinámica IO men'!$A$96,"categoría","Hoteleros","mes",8,"año",2007)</f>
        <v>32.880000000000003</v>
      </c>
      <c r="E49" s="339"/>
      <c r="F49" s="339">
        <f>GETPIVOTDATA("dato",'[1]tabla dinámica IO men'!$A$96,"categoría","total","mes",8,"año",2007)</f>
        <v>32.880000000000003</v>
      </c>
      <c r="G49" s="339">
        <f>GETPIVOTDATA("Suma de TOTAL hotelero",'[1]tabla dinámica IO men'!$A$2,"MES","8","AÑO",2007)</f>
        <v>83.929598692673338</v>
      </c>
      <c r="H49" s="339">
        <f>GETPIVOTDATA("Suma de extrahoteleros",'[1]tabla dinámica IO men'!$A$2,"MES","8","AÑO",2007)</f>
        <v>63.937771202573771</v>
      </c>
      <c r="I49" s="339">
        <f>GETPIVOTDATA("Suma de TOTAL general",'[1]tabla dinámica IO men'!$A$2,"MES","8","AÑO",2007)</f>
        <v>73.356746514597177</v>
      </c>
    </row>
    <row r="50" spans="3:9" hidden="1" outlineLevel="1">
      <c r="C50" s="51" t="s">
        <v>43</v>
      </c>
      <c r="D50" s="339">
        <f>GETPIVOTDATA("dato",'[1]tabla dinámica IO men'!$A$96,"categoría","Hoteleros","mes",7,"año",2007)</f>
        <v>50.91</v>
      </c>
      <c r="E50" s="339"/>
      <c r="F50" s="339">
        <f>GETPIVOTDATA("dato",'[1]tabla dinámica IO men'!$A$96,"categoría","total","mes",7,"año",2007)</f>
        <v>50.91</v>
      </c>
      <c r="G50" s="339">
        <f>GETPIVOTDATA("Suma de TOTAL hotelero",'[1]tabla dinámica IO men'!$A$2,"MES","7","AÑO",2007)</f>
        <v>74.297744383040822</v>
      </c>
      <c r="H50" s="339">
        <f>GETPIVOTDATA("Suma de extrahoteleros",'[1]tabla dinámica IO men'!$A$2,"MES","7","AÑO",2007)</f>
        <v>54.562629801806125</v>
      </c>
      <c r="I50" s="339">
        <f>GETPIVOTDATA("Suma de TOTAL general",'[1]tabla dinámica IO men'!$A$2,"MES","7","AÑO",2007)</f>
        <v>63.860657063828924</v>
      </c>
    </row>
    <row r="51" spans="3:9" hidden="1" outlineLevel="1">
      <c r="C51" s="51" t="s">
        <v>44</v>
      </c>
      <c r="D51" s="339">
        <f>GETPIVOTDATA("dato",'[1]tabla dinámica IO men'!$A$96,"categoría","Hoteleros","mes",6,"año",2007)</f>
        <v>53.6</v>
      </c>
      <c r="E51" s="339"/>
      <c r="F51" s="339">
        <f>GETPIVOTDATA("dato",'[1]tabla dinámica IO men'!$A$96,"categoría","total","mes",6,"año",2007)</f>
        <v>53.6</v>
      </c>
      <c r="G51" s="339">
        <f>GETPIVOTDATA("Suma de TOTAL hotelero",'[1]tabla dinámica IO men'!$A$2,"MES","6","AÑO",2007)</f>
        <v>64.01123274778007</v>
      </c>
      <c r="H51" s="339">
        <f>GETPIVOTDATA("Suma de extrahoteleros",'[1]tabla dinámica IO men'!$A$2,"MES","6","AÑO",2007)</f>
        <v>43.003536316551042</v>
      </c>
      <c r="I51" s="339">
        <f>GETPIVOTDATA("Suma de TOTAL general",'[1]tabla dinámica IO men'!$A$2,"MES","6","AÑO",2007)</f>
        <v>52.815757706790627</v>
      </c>
    </row>
    <row r="52" spans="3:9" hidden="1" outlineLevel="1">
      <c r="C52" s="51" t="s">
        <v>45</v>
      </c>
      <c r="D52" s="339">
        <f>GETPIVOTDATA("dato",'[1]tabla dinámica IO men'!$A$96,"categoría","Hoteleros","mes",5,"año",2007)</f>
        <v>53.87</v>
      </c>
      <c r="E52" s="339"/>
      <c r="F52" s="339">
        <f>GETPIVOTDATA("dato",'[1]tabla dinámica IO men'!$A$96,"categoría","total","mes",5,"año",2007)</f>
        <v>53.87</v>
      </c>
      <c r="G52" s="339">
        <f>GETPIVOTDATA("Suma de TOTAL hotelero",'[1]tabla dinámica IO men'!$A$2,"MES","5","AÑO",2007)</f>
        <v>56.732444040952146</v>
      </c>
      <c r="H52" s="339">
        <f>GETPIVOTDATA("Suma de extrahoteleros",'[1]tabla dinámica IO men'!$A$2,"MES","5","AÑO",2007)</f>
        <v>38.926266720235986</v>
      </c>
      <c r="I52" s="339">
        <f>GETPIVOTDATA("Suma de TOTAL general",'[1]tabla dinámica IO men'!$A$2,"MES","5","AÑO",2007)</f>
        <v>47.243130711330338</v>
      </c>
    </row>
    <row r="53" spans="3:9" hidden="1" outlineLevel="1">
      <c r="C53" s="51" t="s">
        <v>46</v>
      </c>
      <c r="D53" s="339">
        <f>GETPIVOTDATA("dato",'[1]tabla dinámica IO men'!$A$96,"categoría","Hoteleros","mes",4,"año",2007)</f>
        <v>56.34</v>
      </c>
      <c r="E53" s="339"/>
      <c r="F53" s="339">
        <f>GETPIVOTDATA("dato",'[1]tabla dinámica IO men'!$A$96,"categoría","total","mes",4,"año",2007)</f>
        <v>56.34</v>
      </c>
      <c r="G53" s="339">
        <f>GETPIVOTDATA("Suma de TOTAL hotelero",'[1]tabla dinámica IO men'!$A$2,"MES","4","AÑO",2007)</f>
        <v>70.356076561668246</v>
      </c>
      <c r="H53" s="339">
        <f>GETPIVOTDATA("Suma de extrahoteleros",'[1]tabla dinámica IO men'!$A$2,"MES","4","AÑO",2007)</f>
        <v>49.946312899779571</v>
      </c>
      <c r="I53" s="339">
        <f>GETPIVOTDATA("Suma de TOTAL general",'[1]tabla dinámica IO men'!$A$2,"MES","4","AÑO",2007)</f>
        <v>59.479253373691513</v>
      </c>
    </row>
    <row r="54" spans="3:9" hidden="1" outlineLevel="1">
      <c r="C54" s="51" t="s">
        <v>47</v>
      </c>
      <c r="D54" s="339">
        <f>GETPIVOTDATA("dato",'[1]tabla dinámica IO men'!$A$96,"categoría","Hoteleros","mes",3,"año",2007)</f>
        <v>60.77</v>
      </c>
      <c r="E54" s="339"/>
      <c r="F54" s="339">
        <f>GETPIVOTDATA("dato",'[1]tabla dinámica IO men'!$A$96,"categoría","total","mes",3,"año",2007)</f>
        <v>60.77</v>
      </c>
      <c r="G54" s="339">
        <f>GETPIVOTDATA("Suma de TOTAL hotelero",'[1]tabla dinámica IO men'!$A$2,"MES","3","AÑO",2007)</f>
        <v>75.688377853946903</v>
      </c>
      <c r="H54" s="339">
        <f>GETPIVOTDATA("Suma de extrahoteleros",'[1]tabla dinámica IO men'!$A$2,"MES","3","AÑO",2007)</f>
        <v>60.081675759927442</v>
      </c>
      <c r="I54" s="339">
        <f>GETPIVOTDATA("Suma de TOTAL general",'[1]tabla dinámica IO men'!$A$2,"MES","3","AÑO",2007)</f>
        <v>67.371214459200985</v>
      </c>
    </row>
    <row r="55" spans="3:9" hidden="1" outlineLevel="1">
      <c r="C55" s="51" t="s">
        <v>48</v>
      </c>
      <c r="D55" s="339">
        <f>GETPIVOTDATA("dato",'[1]tabla dinámica IO men'!$A$96,"categoría","Hoteleros","mes",2,"año",2007)</f>
        <v>54.65</v>
      </c>
      <c r="E55" s="339"/>
      <c r="F55" s="339">
        <f>GETPIVOTDATA("dato",'[1]tabla dinámica IO men'!$A$96,"categoría","total","mes",2,"año",2007)</f>
        <v>54.65</v>
      </c>
      <c r="G55" s="339">
        <f>GETPIVOTDATA("Suma de TOTAL hotelero",'[1]tabla dinámica IO men'!$A$2,"MES","2","AÑO",2007)</f>
        <v>75.526452393626698</v>
      </c>
      <c r="H55" s="339">
        <f>GETPIVOTDATA("Suma de extrahoteleros",'[1]tabla dinámica IO men'!$A$2,"MES","2","AÑO",2007)</f>
        <v>61.990054653043011</v>
      </c>
      <c r="I55" s="339">
        <f>GETPIVOTDATA("Suma de TOTAL general",'[1]tabla dinámica IO men'!$A$2,"MES","2","AÑO",2007)</f>
        <v>68.312600863273801</v>
      </c>
    </row>
    <row r="56" spans="3:9" hidden="1" outlineLevel="1">
      <c r="C56" s="51" t="s">
        <v>49</v>
      </c>
      <c r="D56" s="339">
        <f>GETPIVOTDATA("dato",'[1]tabla dinámica IO men'!$A$96,"categoría","Hoteleros","mes",1,"año",2007)</f>
        <v>47.67</v>
      </c>
      <c r="E56" s="339"/>
      <c r="F56" s="339">
        <f>GETPIVOTDATA("dato",'[1]tabla dinámica IO men'!$A$96,"categoría","total","mes",1,"año",2007)</f>
        <v>47.67</v>
      </c>
      <c r="G56" s="339">
        <f>GETPIVOTDATA("Suma de TOTAL hotelero",'[1]tabla dinámica IO men'!$A$2,"MES","1","AÑO",2007)</f>
        <v>73.662869741088841</v>
      </c>
      <c r="H56" s="339">
        <f>GETPIVOTDATA("Suma de extrahoteleros",'[1]tabla dinámica IO men'!$A$2,"MES","1","AÑO",2007)</f>
        <v>57.920199602417945</v>
      </c>
      <c r="I56" s="339">
        <f>GETPIVOTDATA("Suma de TOTAL general",'[1]tabla dinámica IO men'!$A$2,"MES","1","AÑO",2007)</f>
        <v>65.27324590998569</v>
      </c>
    </row>
    <row r="57" spans="3:9" collapsed="1">
      <c r="C57" s="58">
        <v>2007</v>
      </c>
      <c r="D57" s="343">
        <f>'[1]tabla dinámica IO men'!C509</f>
        <v>51.168644894245233</v>
      </c>
      <c r="E57" s="343"/>
      <c r="F57" s="343">
        <f>'[1]tabla dinámica IO men'!C510</f>
        <v>51.168644894245233</v>
      </c>
      <c r="G57" s="343">
        <f>GETPIVOTDATA("Suma de TOTAL hotelero",'[1]tabla dinámica IO men'!$A$201,"MES","12","AÑO",2007)</f>
        <v>71.306054020928357</v>
      </c>
      <c r="H57" s="343">
        <f>GETPIVOTDATA("Suma de extrahoteleros",'[1]tabla dinámica IO men'!$A$201,"MES","12","AÑO",2007)</f>
        <v>53.651891651545817</v>
      </c>
      <c r="I57" s="343">
        <f>GETPIVOTDATA("Suma de TOTAL general",'[1]tabla dinámica IO men'!$A$201,"MES","12","AÑO",2007)</f>
        <v>61.934017800105615</v>
      </c>
    </row>
    <row r="58" spans="3:9" hidden="1" outlineLevel="1">
      <c r="C58" s="51" t="s">
        <v>38</v>
      </c>
      <c r="D58" s="339">
        <f>GETPIVOTDATA("dato",'[1]tabla dinámica IO men'!$A$96,"categoría","Hoteleros","mes",12,"año",2006)</f>
        <v>56.16</v>
      </c>
      <c r="E58" s="339"/>
      <c r="F58" s="339">
        <f>GETPIVOTDATA("dato",'[1]tabla dinámica IO men'!$A$96,"categoría","total","mes",12,"año",2006)</f>
        <v>56.16</v>
      </c>
      <c r="G58" s="339">
        <f>GETPIVOTDATA("Suma de TOTAL hotelero",'[1]tabla dinámica IO men'!$A$2,"MES","12","AÑO",2006)</f>
        <v>69.678547507361941</v>
      </c>
      <c r="H58" s="339">
        <f>GETPIVOTDATA("Suma de extrahoteleros",'[1]tabla dinámica IO men'!$A$2,"MES","12","AÑO",2006)</f>
        <v>56.217783705294451</v>
      </c>
      <c r="I58" s="339">
        <f>GETPIVOTDATA("Suma de TOTAL general",'[1]tabla dinámica IO men'!$A$2,"MES","12","AÑO",2006)</f>
        <v>62.500496916329055</v>
      </c>
    </row>
    <row r="59" spans="3:9" hidden="1" outlineLevel="1">
      <c r="C59" s="51" t="s">
        <v>39</v>
      </c>
      <c r="D59" s="339">
        <f>GETPIVOTDATA("dato",'[1]tabla dinámica IO men'!$A$96,"categoría","Hoteleros","mes",11,"año",2006)</f>
        <v>58.06</v>
      </c>
      <c r="E59" s="339"/>
      <c r="F59" s="339">
        <f>GETPIVOTDATA("dato",'[1]tabla dinámica IO men'!$A$96,"categoría","total","mes",11,"año",2006)</f>
        <v>58.06</v>
      </c>
      <c r="G59" s="339">
        <f>GETPIVOTDATA("Suma de TOTAL hotelero",'[1]tabla dinámica IO men'!$A$2,"MES","11","AÑO",2006)</f>
        <v>72.602727563991209</v>
      </c>
      <c r="H59" s="339">
        <f>GETPIVOTDATA("Suma de extrahoteleros",'[1]tabla dinámica IO men'!$A$2,"MES","11","AÑO",2006)</f>
        <v>57.609273693564027</v>
      </c>
      <c r="I59" s="339">
        <f>GETPIVOTDATA("Suma de TOTAL general",'[1]tabla dinámica IO men'!$A$2,"MES","11","AÑO",2006)</f>
        <v>64.607358801951591</v>
      </c>
    </row>
    <row r="60" spans="3:9" hidden="1" outlineLevel="1">
      <c r="C60" s="51" t="s">
        <v>40</v>
      </c>
      <c r="D60" s="339">
        <f>GETPIVOTDATA("dato",'[1]tabla dinámica IO men'!$A$96,"categoría","Hoteleros","mes",10,"año",2006)</f>
        <v>49.77</v>
      </c>
      <c r="E60" s="339"/>
      <c r="F60" s="339">
        <f>GETPIVOTDATA("dato",'[1]tabla dinámica IO men'!$A$96,"categoría","total","mes",10,"año",2006)</f>
        <v>49.77</v>
      </c>
      <c r="G60" s="339">
        <f>GETPIVOTDATA("Suma de TOTAL hotelero",'[1]tabla dinámica IO men'!$A$2,"MES","10","AÑO",2006)</f>
        <v>73.914573451881495</v>
      </c>
      <c r="H60" s="339">
        <f>GETPIVOTDATA("Suma de extrahoteleros",'[1]tabla dinámica IO men'!$A$2,"MES","10","AÑO",2006)</f>
        <v>55.910142102366933</v>
      </c>
      <c r="I60" s="339">
        <f>GETPIVOTDATA("Suma de TOTAL general",'[1]tabla dinámica IO men'!$A$2,"MES","10","AÑO",2006)</f>
        <v>64.313578962271322</v>
      </c>
    </row>
    <row r="61" spans="3:9" hidden="1" outlineLevel="1">
      <c r="C61" s="51" t="s">
        <v>41</v>
      </c>
      <c r="D61" s="339">
        <f>GETPIVOTDATA("dato",'[1]tabla dinámica IO men'!$A$96,"categoría","Hoteleros","mes",9,"año",2006)</f>
        <v>48.3</v>
      </c>
      <c r="E61" s="339"/>
      <c r="F61" s="339">
        <f>GETPIVOTDATA("dato",'[1]tabla dinámica IO men'!$A$96,"categoría","total","mes",9,"año",2006)</f>
        <v>48.3</v>
      </c>
      <c r="G61" s="339">
        <f>GETPIVOTDATA("Suma de TOTAL hotelero",'[1]tabla dinámica IO men'!$A$2,"MES","9","AÑO",2006)</f>
        <v>74.531477385460448</v>
      </c>
      <c r="H61" s="339">
        <f>GETPIVOTDATA("Suma de extrahoteleros",'[1]tabla dinámica IO men'!$A$2,"MES","9","AÑO",2006)</f>
        <v>52.585640100413208</v>
      </c>
      <c r="I61" s="339">
        <f>GETPIVOTDATA("Suma de TOTAL general",'[1]tabla dinámica IO men'!$A$2,"MES","9","AÑO",2006)</f>
        <v>62.828699399678577</v>
      </c>
    </row>
    <row r="62" spans="3:9" hidden="1" outlineLevel="1">
      <c r="C62" s="51" t="s">
        <v>42</v>
      </c>
      <c r="D62" s="339">
        <f>GETPIVOTDATA("dato",'[1]tabla dinámica IO men'!$A$96,"categoría","Hoteleros","mes",8,"año",2006)</f>
        <v>40.409999999999997</v>
      </c>
      <c r="E62" s="339"/>
      <c r="F62" s="339">
        <f>GETPIVOTDATA("dato",'[1]tabla dinámica IO men'!$A$96,"categoría","total","mes",8,"año",2006)</f>
        <v>40.409999999999997</v>
      </c>
      <c r="G62" s="339">
        <f>GETPIVOTDATA("Suma de TOTAL hotelero",'[1]tabla dinámica IO men'!$A$2,"MES","8","AÑO",2006)</f>
        <v>88.270799938586663</v>
      </c>
      <c r="H62" s="339">
        <f>GETPIVOTDATA("Suma de extrahoteleros",'[1]tabla dinámica IO men'!$A$2,"MES","8","AÑO",2006)</f>
        <v>71.434255952974553</v>
      </c>
      <c r="I62" s="339">
        <f>GETPIVOTDATA("Suma de TOTAL general",'[1]tabla dinámica IO men'!$A$2,"MES","8","AÑO",2006)</f>
        <v>79.292589913958508</v>
      </c>
    </row>
    <row r="63" spans="3:9" hidden="1" outlineLevel="1">
      <c r="C63" s="51" t="s">
        <v>43</v>
      </c>
      <c r="D63" s="339">
        <f>GETPIVOTDATA("dato",'[1]tabla dinámica IO men'!$A$96,"categoría","Hoteleros","mes",7,"año",2006)</f>
        <v>44.65</v>
      </c>
      <c r="E63" s="339"/>
      <c r="F63" s="339">
        <f>GETPIVOTDATA("dato",'[1]tabla dinámica IO men'!$A$96,"categoría","total","mes",7,"año",2006)</f>
        <v>44.65</v>
      </c>
      <c r="G63" s="339">
        <f>GETPIVOTDATA("Suma de TOTAL hotelero",'[1]tabla dinámica IO men'!$A$2,"MES","7","AÑO",2006)</f>
        <v>80.542170677522833</v>
      </c>
      <c r="H63" s="339">
        <f>GETPIVOTDATA("Suma de extrahoteleros",'[1]tabla dinámica IO men'!$A$2,"MES","7","AÑO",2006)</f>
        <v>61.207927337858749</v>
      </c>
      <c r="I63" s="339">
        <f>GETPIVOTDATA("Suma de TOTAL general",'[1]tabla dinámica IO men'!$A$2,"MES","7","AÑO",2006)</f>
        <v>70.232044233573689</v>
      </c>
    </row>
    <row r="64" spans="3:9" hidden="1" outlineLevel="1">
      <c r="C64" s="51" t="s">
        <v>44</v>
      </c>
      <c r="D64" s="339">
        <f>GETPIVOTDATA("dato",'[1]tabla dinámica IO men'!$A$96,"categoría","Hoteleros","mes",6,"año",2006)</f>
        <v>44.6</v>
      </c>
      <c r="E64" s="339"/>
      <c r="F64" s="339">
        <f>GETPIVOTDATA("dato",'[1]tabla dinámica IO men'!$A$96,"categoría","total","mes",6,"año",2006)</f>
        <v>44.6</v>
      </c>
      <c r="G64" s="339">
        <f>GETPIVOTDATA("Suma de TOTAL hotelero",'[1]tabla dinámica IO men'!$A$2,"MES","6","AÑO",2006)</f>
        <v>69.395615676339446</v>
      </c>
      <c r="H64" s="339">
        <f>GETPIVOTDATA("Suma de extrahoteleros",'[1]tabla dinámica IO men'!$A$2,"MES","6","AÑO",2006)</f>
        <v>47.118559888099412</v>
      </c>
      <c r="I64" s="339">
        <f>GETPIVOTDATA("Suma de TOTAL general",'[1]tabla dinámica IO men'!$A$2,"MES","6","AÑO",2006)</f>
        <v>57.496661397088019</v>
      </c>
    </row>
    <row r="65" spans="3:9" hidden="1" outlineLevel="1">
      <c r="C65" s="51" t="s">
        <v>45</v>
      </c>
      <c r="D65" s="339">
        <f>GETPIVOTDATA("dato",'[1]tabla dinámica IO men'!$A$96,"categoría","Hoteleros","mes",5,"año",2006)</f>
        <v>42.41</v>
      </c>
      <c r="E65" s="339"/>
      <c r="F65" s="339">
        <f>GETPIVOTDATA("dato",'[1]tabla dinámica IO men'!$A$96,"categoría","total","mes",5,"año",2006)</f>
        <v>42.41</v>
      </c>
      <c r="G65" s="339">
        <f>GETPIVOTDATA("Suma de TOTAL hotelero",'[1]tabla dinámica IO men'!$A$2,"MES","5","AÑO",2006)</f>
        <v>63.988672620513668</v>
      </c>
      <c r="H65" s="339">
        <f>GETPIVOTDATA("Suma de extrahoteleros",'[1]tabla dinámica IO men'!$A$2,"MES","5","AÑO",2006)</f>
        <v>41.937184090263337</v>
      </c>
      <c r="I65" s="339">
        <f>GETPIVOTDATA("Suma de TOTAL general",'[1]tabla dinámica IO men'!$A$2,"MES","5","AÑO",2006)</f>
        <v>52.210201699351792</v>
      </c>
    </row>
    <row r="66" spans="3:9" hidden="1" outlineLevel="1">
      <c r="C66" s="51" t="s">
        <v>46</v>
      </c>
      <c r="D66" s="339">
        <f>GETPIVOTDATA("dato",'[1]tabla dinámica IO men'!$A$96,"categoría","Hoteleros","mes",4,"año",2006)</f>
        <v>47.18</v>
      </c>
      <c r="E66" s="339"/>
      <c r="F66" s="339">
        <f>GETPIVOTDATA("dato",'[1]tabla dinámica IO men'!$A$96,"categoría","total","mes",4,"año",2006)</f>
        <v>47.18</v>
      </c>
      <c r="G66" s="339">
        <f>GETPIVOTDATA("Suma de TOTAL hotelero",'[1]tabla dinámica IO men'!$A$2,"MES","4","AÑO",2006)</f>
        <v>75.113017001940761</v>
      </c>
      <c r="H66" s="339">
        <f>GETPIVOTDATA("Suma de extrahoteleros",'[1]tabla dinámica IO men'!$A$2,"MES","4","AÑO",2006)</f>
        <v>55.571243711504607</v>
      </c>
      <c r="I66" s="339">
        <f>GETPIVOTDATA("Suma de TOTAL general",'[1]tabla dinámica IO men'!$A$2,"MES","4","AÑO",2006)</f>
        <v>64.675072727403972</v>
      </c>
    </row>
    <row r="67" spans="3:9" hidden="1" outlineLevel="1">
      <c r="C67" s="51" t="s">
        <v>47</v>
      </c>
      <c r="D67" s="339">
        <f>GETPIVOTDATA("dato",'[1]tabla dinámica IO men'!$A$96,"categoría","Hoteleros","mes",3,"año",2006)</f>
        <v>53.79</v>
      </c>
      <c r="E67" s="339"/>
      <c r="F67" s="339">
        <f>GETPIVOTDATA("dato",'[1]tabla dinámica IO men'!$A$96,"categoría","total","mes",3,"año",2006)</f>
        <v>53.79</v>
      </c>
      <c r="G67" s="339">
        <f>GETPIVOTDATA("Suma de TOTAL hotelero",'[1]tabla dinámica IO men'!$A$2,"MES","3","AÑO",2006)</f>
        <v>75.826226542341402</v>
      </c>
      <c r="H67" s="339">
        <f>GETPIVOTDATA("Suma de extrahoteleros",'[1]tabla dinámica IO men'!$A$2,"MES","3","AÑO",2006)</f>
        <v>60.398492167057007</v>
      </c>
      <c r="I67" s="339">
        <f>GETPIVOTDATA("Suma de TOTAL general",'[1]tabla dinámica IO men'!$A$2,"MES","3","AÑO",2006)</f>
        <v>67.585734274918323</v>
      </c>
    </row>
    <row r="68" spans="3:9" hidden="1" outlineLevel="1">
      <c r="C68" s="51" t="s">
        <v>48</v>
      </c>
      <c r="D68" s="339">
        <f>GETPIVOTDATA("dato",'[1]tabla dinámica IO men'!$A$96,"categoría","Hoteleros","mes",2,"año",2006)</f>
        <v>58.68</v>
      </c>
      <c r="E68" s="339"/>
      <c r="F68" s="339">
        <f>GETPIVOTDATA("dato",'[1]tabla dinámica IO men'!$A$96,"categoría","total","mes",2,"año",2006)</f>
        <v>58.68</v>
      </c>
      <c r="G68" s="339">
        <f>GETPIVOTDATA("Suma de TOTAL hotelero",'[1]tabla dinámica IO men'!$A$2,"MES","2","AÑO",2006)</f>
        <v>75.305390782328345</v>
      </c>
      <c r="H68" s="339">
        <f>GETPIVOTDATA("Suma de extrahoteleros",'[1]tabla dinámica IO men'!$A$2,"MES","2","AÑO",2006)</f>
        <v>63.72165018613898</v>
      </c>
      <c r="I68" s="339">
        <f>GETPIVOTDATA("Suma de TOTAL general",'[1]tabla dinámica IO men'!$A$2,"MES","2","AÑO",2006)</f>
        <v>69.118109974353345</v>
      </c>
    </row>
    <row r="69" spans="3:9" hidden="1" outlineLevel="1">
      <c r="C69" s="51" t="s">
        <v>49</v>
      </c>
      <c r="D69" s="339">
        <f>GETPIVOTDATA("dato",'[1]tabla dinámica IO men'!$A$96,"categoría","Hoteleros","mes",1,"año",2006)</f>
        <v>41.49</v>
      </c>
      <c r="E69" s="339"/>
      <c r="F69" s="339">
        <f>GETPIVOTDATA("dato",'[1]tabla dinámica IO men'!$A$96,"categoría","total","mes",1,"año",2006)</f>
        <v>41.49</v>
      </c>
      <c r="G69" s="339">
        <f>GETPIVOTDATA("Suma de TOTAL hotelero",'[1]tabla dinámica IO men'!$A$2,"MES","1","AÑO",2006)</f>
        <v>72.924878885586196</v>
      </c>
      <c r="H69" s="339">
        <f>GETPIVOTDATA("Suma de extrahoteleros",'[1]tabla dinámica IO men'!$A$2,"MES","1","AÑO",2006)</f>
        <v>59.413443960935503</v>
      </c>
      <c r="I69" s="339">
        <f>GETPIVOTDATA("Suma de TOTAL general",'[1]tabla dinámica IO men'!$A$2,"MES","1","AÑO",2006)</f>
        <v>65.707949146586728</v>
      </c>
    </row>
    <row r="70" spans="3:9" collapsed="1">
      <c r="C70" s="58">
        <v>2006</v>
      </c>
      <c r="D70" s="343">
        <f>'[1]tabla dinámica IO men'!B509</f>
        <v>48.703241505442456</v>
      </c>
      <c r="E70" s="343"/>
      <c r="F70" s="343">
        <f>'[1]tabla dinámica IO men'!B510</f>
        <v>48.703241505442456</v>
      </c>
      <c r="G70" s="343">
        <f>GETPIVOTDATA("Suma de TOTAL hotelero",'[1]tabla dinámica IO men'!$A$201,"MES","12","AÑO",2006)</f>
        <v>74.352968763711189</v>
      </c>
      <c r="H70" s="343">
        <f>GETPIVOTDATA("Suma de extrahoteleros",'[1]tabla dinámica IO men'!$A$201,"MES","12","AÑO",2006)</f>
        <v>56.911900920105744</v>
      </c>
      <c r="I70" s="343">
        <f>GETPIVOTDATA("Suma de TOTAL general",'[1]tabla dinámica IO men'!$A$201,"MES","12","AÑO",2006)</f>
        <v>65.044807541401354</v>
      </c>
    </row>
    <row r="71" spans="3:9" ht="15" customHeight="1">
      <c r="C71" s="135" t="s">
        <v>78</v>
      </c>
      <c r="D71" s="136"/>
      <c r="E71" s="136"/>
      <c r="F71" s="136"/>
      <c r="G71" s="136"/>
      <c r="H71" s="136"/>
      <c r="I71" s="137"/>
    </row>
  </sheetData>
  <mergeCells count="5">
    <mergeCell ref="C3:I3"/>
    <mergeCell ref="C4:C5"/>
    <mergeCell ref="D4:F4"/>
    <mergeCell ref="G4:I4"/>
    <mergeCell ref="C71:I7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C2:I58"/>
  <sheetViews>
    <sheetView showGridLines="0" showRowColHeaders="0" zoomScaleNormal="100" workbookViewId="0">
      <selection activeCell="I13" sqref="I13"/>
    </sheetView>
  </sheetViews>
  <sheetFormatPr baseColWidth="10" defaultRowHeight="15" outlineLevelRow="1"/>
  <cols>
    <col min="1" max="1" width="14.7109375" style="120" customWidth="1"/>
    <col min="2" max="4" width="11.42578125" style="120"/>
    <col min="5" max="5" width="13.85546875" style="120" customWidth="1"/>
    <col min="6" max="7" width="11.42578125" style="120"/>
    <col min="8" max="8" width="14.28515625" style="120" customWidth="1"/>
    <col min="9" max="16384" width="11.42578125" style="120"/>
  </cols>
  <sheetData>
    <row r="2" spans="3:9" ht="44.25" customHeight="1"/>
    <row r="3" spans="3:9" ht="27" customHeight="1">
      <c r="C3" s="121" t="s">
        <v>251</v>
      </c>
      <c r="D3" s="121"/>
      <c r="E3" s="121"/>
      <c r="F3" s="121"/>
      <c r="G3" s="121"/>
      <c r="H3" s="121"/>
      <c r="I3" s="121"/>
    </row>
    <row r="4" spans="3:9" ht="15" customHeight="1">
      <c r="C4" s="122"/>
      <c r="D4" s="123" t="s">
        <v>89</v>
      </c>
      <c r="E4" s="124"/>
      <c r="F4" s="124"/>
      <c r="G4" s="123" t="s">
        <v>92</v>
      </c>
      <c r="H4" s="124"/>
      <c r="I4" s="124"/>
    </row>
    <row r="5" spans="3:9" ht="30">
      <c r="C5" s="126"/>
      <c r="D5" s="127" t="s">
        <v>93</v>
      </c>
      <c r="E5" s="127" t="s">
        <v>94</v>
      </c>
      <c r="F5" s="127" t="s">
        <v>70</v>
      </c>
      <c r="G5" s="127" t="s">
        <v>95</v>
      </c>
      <c r="H5" s="127" t="s">
        <v>94</v>
      </c>
      <c r="I5" s="127" t="s">
        <v>37</v>
      </c>
    </row>
    <row r="6" spans="3:9" hidden="1">
      <c r="C6" s="51" t="s">
        <v>38</v>
      </c>
      <c r="D6" s="166">
        <f>IFERROR('Tablas evol IO zona'!D6/'Tablas evol IO zona'!D19-1,"-")</f>
        <v>-1</v>
      </c>
      <c r="E6" s="166" t="str">
        <f>IFERROR('Tablas evol IO zona'!E6/'Tablas evol IO zona'!E19-1,"-")</f>
        <v>-</v>
      </c>
      <c r="F6" s="166">
        <f>IFERROR('Tablas evol IO zona'!F6/'Tablas evol IO zona'!F19-1,"-")</f>
        <v>-1</v>
      </c>
      <c r="G6" s="166">
        <f>IFERROR('Tablas evol IO zona'!G6/'Tablas evol IO zona'!G19-1,"-")</f>
        <v>-1</v>
      </c>
      <c r="H6" s="166">
        <f>IFERROR('Tablas evol IO zona'!H6/'Tablas evol IO zona'!H19-1,"-")</f>
        <v>-1</v>
      </c>
      <c r="I6" s="166">
        <f>IFERROR('Tablas evol IO zona'!I6/'Tablas evol IO zona'!I19-1,"-")</f>
        <v>-1</v>
      </c>
    </row>
    <row r="7" spans="3:9" hidden="1">
      <c r="C7" s="51" t="s">
        <v>39</v>
      </c>
      <c r="D7" s="166">
        <f>IFERROR('Tablas evol IO zona'!D7/'Tablas evol IO zona'!D20-1,"-")</f>
        <v>-1</v>
      </c>
      <c r="E7" s="166" t="str">
        <f>IFERROR('Tablas evol IO zona'!E7/'Tablas evol IO zona'!E20-1,"-")</f>
        <v>-</v>
      </c>
      <c r="F7" s="166">
        <f>IFERROR('Tablas evol IO zona'!F7/'Tablas evol IO zona'!F20-1,"-")</f>
        <v>-1</v>
      </c>
      <c r="G7" s="166">
        <f>IFERROR('Tablas evol IO zona'!G7/'Tablas evol IO zona'!G20-1,"-")</f>
        <v>-1</v>
      </c>
      <c r="H7" s="166">
        <f>IFERROR('Tablas evol IO zona'!H7/'Tablas evol IO zona'!H20-1,"-")</f>
        <v>-1</v>
      </c>
      <c r="I7" s="166">
        <f>IFERROR('Tablas evol IO zona'!I7/'Tablas evol IO zona'!I20-1,"-")</f>
        <v>-1</v>
      </c>
    </row>
    <row r="8" spans="3:9" hidden="1">
      <c r="C8" s="51" t="s">
        <v>40</v>
      </c>
      <c r="D8" s="166">
        <f>IFERROR('Tablas evol IO zona'!D8/'Tablas evol IO zona'!D21-1,"-")</f>
        <v>-1</v>
      </c>
      <c r="E8" s="166" t="str">
        <f>IFERROR('Tablas evol IO zona'!E8/'Tablas evol IO zona'!E21-1,"-")</f>
        <v>-</v>
      </c>
      <c r="F8" s="166">
        <f>IFERROR('Tablas evol IO zona'!F8/'Tablas evol IO zona'!F21-1,"-")</f>
        <v>-1</v>
      </c>
      <c r="G8" s="166">
        <f>IFERROR('Tablas evol IO zona'!G8/'Tablas evol IO zona'!G21-1,"-")</f>
        <v>-1</v>
      </c>
      <c r="H8" s="166">
        <f>IFERROR('Tablas evol IO zona'!H8/'Tablas evol IO zona'!H21-1,"-")</f>
        <v>-1</v>
      </c>
      <c r="I8" s="166">
        <f>IFERROR('Tablas evol IO zona'!I8/'Tablas evol IO zona'!I21-1,"-")</f>
        <v>-1</v>
      </c>
    </row>
    <row r="9" spans="3:9" hidden="1">
      <c r="C9" s="51" t="s">
        <v>41</v>
      </c>
      <c r="D9" s="166">
        <f>IFERROR('Tablas evol IO zona'!D9/'Tablas evol IO zona'!D22-1,"-")</f>
        <v>-1</v>
      </c>
      <c r="E9" s="166" t="str">
        <f>IFERROR('Tablas evol IO zona'!E9/'Tablas evol IO zona'!E22-1,"-")</f>
        <v>-</v>
      </c>
      <c r="F9" s="166">
        <f>IFERROR('Tablas evol IO zona'!F9/'Tablas evol IO zona'!F22-1,"-")</f>
        <v>-1</v>
      </c>
      <c r="G9" s="166">
        <f>IFERROR('Tablas evol IO zona'!G9/'Tablas evol IO zona'!G22-1,"-")</f>
        <v>-1</v>
      </c>
      <c r="H9" s="166">
        <f>IFERROR('Tablas evol IO zona'!H9/'Tablas evol IO zona'!H22-1,"-")</f>
        <v>-1</v>
      </c>
      <c r="I9" s="166">
        <f>IFERROR('Tablas evol IO zona'!I9/'Tablas evol IO zona'!I22-1,"-")</f>
        <v>-1</v>
      </c>
    </row>
    <row r="10" spans="3:9" hidden="1">
      <c r="C10" s="51" t="s">
        <v>42</v>
      </c>
      <c r="D10" s="166">
        <f>IFERROR('Tablas evol IO zona'!D10/'Tablas evol IO zona'!D23-1,"-")</f>
        <v>-1</v>
      </c>
      <c r="E10" s="166" t="str">
        <f>IFERROR('Tablas evol IO zona'!E10/'Tablas evol IO zona'!E23-1,"-")</f>
        <v>-</v>
      </c>
      <c r="F10" s="166">
        <f>IFERROR('Tablas evol IO zona'!F10/'Tablas evol IO zona'!F23-1,"-")</f>
        <v>-1</v>
      </c>
      <c r="G10" s="166">
        <f>IFERROR('Tablas evol IO zona'!G10/'Tablas evol IO zona'!G23-1,"-")</f>
        <v>-1</v>
      </c>
      <c r="H10" s="166">
        <f>IFERROR('Tablas evol IO zona'!H10/'Tablas evol IO zona'!H23-1,"-")</f>
        <v>-1</v>
      </c>
      <c r="I10" s="166">
        <f>IFERROR('Tablas evol IO zona'!I10/'Tablas evol IO zona'!I23-1,"-")</f>
        <v>-1</v>
      </c>
    </row>
    <row r="11" spans="3:9" hidden="1">
      <c r="C11" s="51" t="s">
        <v>43</v>
      </c>
      <c r="D11" s="166">
        <f>IFERROR('Tablas evol IO zona'!D11/'Tablas evol IO zona'!D24-1,"-")</f>
        <v>8.2004555808656177E-2</v>
      </c>
      <c r="E11" s="166" t="str">
        <f>IFERROR('Tablas evol IO zona'!E11/'Tablas evol IO zona'!E24-1,"-")</f>
        <v>-</v>
      </c>
      <c r="F11" s="166">
        <f>IFERROR('Tablas evol IO zona'!F11/'Tablas evol IO zona'!F24-1,"-")</f>
        <v>8.2004555808656177E-2</v>
      </c>
      <c r="G11" s="166">
        <f>IFERROR('Tablas evol IO zona'!G11/'Tablas evol IO zona'!G24-1,"-")</f>
        <v>5.284395530463315E-2</v>
      </c>
      <c r="H11" s="166">
        <f>IFERROR('Tablas evol IO zona'!H11/'Tablas evol IO zona'!H24-1,"-")</f>
        <v>6.9357846400430079E-2</v>
      </c>
      <c r="I11" s="166">
        <f>IFERROR('Tablas evol IO zona'!I11/'Tablas evol IO zona'!I24-1,"-")</f>
        <v>6.3081132242310378E-2</v>
      </c>
    </row>
    <row r="12" spans="3:9">
      <c r="C12" s="51" t="s">
        <v>44</v>
      </c>
      <c r="D12" s="166">
        <f>IFERROR('Tablas evol IO zona'!D12/'Tablas evol IO zona'!D25-1,"-")</f>
        <v>-6.0264251654686407E-2</v>
      </c>
      <c r="E12" s="166" t="str">
        <f>IFERROR('Tablas evol IO zona'!E12/'Tablas evol IO zona'!E25-1,"-")</f>
        <v>-</v>
      </c>
      <c r="F12" s="166">
        <f>IFERROR('Tablas evol IO zona'!F12/'Tablas evol IO zona'!F25-1,"-")</f>
        <v>-6.0264251654686407E-2</v>
      </c>
      <c r="G12" s="166">
        <f>IFERROR('Tablas evol IO zona'!G12/'Tablas evol IO zona'!G25-1,"-")</f>
        <v>6.9817041760255716E-2</v>
      </c>
      <c r="H12" s="166">
        <f>IFERROR('Tablas evol IO zona'!H12/'Tablas evol IO zona'!H25-1,"-")</f>
        <v>6.9272393104034879E-2</v>
      </c>
      <c r="I12" s="166">
        <f>IFERROR('Tablas evol IO zona'!I12/'Tablas evol IO zona'!I25-1,"-")</f>
        <v>7.3443333386952414E-2</v>
      </c>
    </row>
    <row r="13" spans="3:9">
      <c r="C13" s="51" t="s">
        <v>45</v>
      </c>
      <c r="D13" s="166">
        <f>IFERROR('Tablas evol IO zona'!D13/'Tablas evol IO zona'!D26-1,"-")</f>
        <v>-0.15112897834020211</v>
      </c>
      <c r="E13" s="166" t="str">
        <f>IFERROR('Tablas evol IO zona'!E13/'Tablas evol IO zona'!E26-1,"-")</f>
        <v>-</v>
      </c>
      <c r="F13" s="166">
        <f>IFERROR('Tablas evol IO zona'!F13/'Tablas evol IO zona'!F26-1,"-")</f>
        <v>-0.15112897834020211</v>
      </c>
      <c r="G13" s="166">
        <f>IFERROR('Tablas evol IO zona'!G13/'Tablas evol IO zona'!G26-1,"-")</f>
        <v>6.9007013858599642E-2</v>
      </c>
      <c r="H13" s="166">
        <f>IFERROR('Tablas evol IO zona'!H13/'Tablas evol IO zona'!H26-1,"-")</f>
        <v>1.5306304370241497E-2</v>
      </c>
      <c r="I13" s="166">
        <f>IFERROR('Tablas evol IO zona'!I13/'Tablas evol IO zona'!I26-1,"-")</f>
        <v>5.1243076318947756E-2</v>
      </c>
    </row>
    <row r="14" spans="3:9">
      <c r="C14" s="51" t="s">
        <v>46</v>
      </c>
      <c r="D14" s="166">
        <f>IFERROR('Tablas evol IO zona'!D14/'Tablas evol IO zona'!D27-1,"-")</f>
        <v>-6.6802700073436361E-2</v>
      </c>
      <c r="E14" s="166" t="str">
        <f>IFERROR('Tablas evol IO zona'!E14/'Tablas evol IO zona'!E27-1,"-")</f>
        <v>-</v>
      </c>
      <c r="F14" s="166">
        <f>IFERROR('Tablas evol IO zona'!F14/'Tablas evol IO zona'!F27-1,"-")</f>
        <v>-6.6802700073436361E-2</v>
      </c>
      <c r="G14" s="166">
        <f>IFERROR('Tablas evol IO zona'!G14/'Tablas evol IO zona'!G27-1,"-")</f>
        <v>-2.6782142167815937E-2</v>
      </c>
      <c r="H14" s="166">
        <f>IFERROR('Tablas evol IO zona'!H14/'Tablas evol IO zona'!H27-1,"-")</f>
        <v>-6.4336561498255285E-2</v>
      </c>
      <c r="I14" s="166">
        <f>IFERROR('Tablas evol IO zona'!I14/'Tablas evol IO zona'!I27-1,"-")</f>
        <v>-3.9832716267403034E-2</v>
      </c>
    </row>
    <row r="15" spans="3:9">
      <c r="C15" s="51" t="s">
        <v>47</v>
      </c>
      <c r="D15" s="166">
        <f>IFERROR('Tablas evol IO zona'!D15/'Tablas evol IO zona'!D28-1,"-")</f>
        <v>-0.21527156681848048</v>
      </c>
      <c r="E15" s="166" t="str">
        <f>IFERROR('Tablas evol IO zona'!E15/'Tablas evol IO zona'!E28-1,"-")</f>
        <v>-</v>
      </c>
      <c r="F15" s="166">
        <f>IFERROR('Tablas evol IO zona'!F15/'Tablas evol IO zona'!F28-1,"-")</f>
        <v>-0.21527156681848048</v>
      </c>
      <c r="G15" s="166">
        <f>IFERROR('Tablas evol IO zona'!G15/'Tablas evol IO zona'!G28-1,"-")</f>
        <v>2.766340058406902E-2</v>
      </c>
      <c r="H15" s="166">
        <f>IFERROR('Tablas evol IO zona'!H15/'Tablas evol IO zona'!H28-1,"-")</f>
        <v>-3.0716250176164528E-2</v>
      </c>
      <c r="I15" s="166">
        <f>IFERROR('Tablas evol IO zona'!I15/'Tablas evol IO zona'!I28-1,"-")</f>
        <v>2.2417830811127804E-3</v>
      </c>
    </row>
    <row r="16" spans="3:9">
      <c r="C16" s="51" t="s">
        <v>48</v>
      </c>
      <c r="D16" s="166">
        <f>IFERROR('Tablas evol IO zona'!D16/'Tablas evol IO zona'!D29-1,"-")</f>
        <v>-0.10880548538433776</v>
      </c>
      <c r="E16" s="166" t="str">
        <f>IFERROR('Tablas evol IO zona'!E16/'Tablas evol IO zona'!E29-1,"-")</f>
        <v>-</v>
      </c>
      <c r="F16" s="166">
        <f>IFERROR('Tablas evol IO zona'!F16/'Tablas evol IO zona'!F29-1,"-")</f>
        <v>-0.10880548538433776</v>
      </c>
      <c r="G16" s="166">
        <f>IFERROR('Tablas evol IO zona'!G16/'Tablas evol IO zona'!G29-1,"-")</f>
        <v>3.2201918099518112E-2</v>
      </c>
      <c r="H16" s="166">
        <f>IFERROR('Tablas evol IO zona'!H16/'Tablas evol IO zona'!H29-1,"-")</f>
        <v>-3.2014192254732565E-2</v>
      </c>
      <c r="I16" s="166">
        <f>IFERROR('Tablas evol IO zona'!I16/'Tablas evol IO zona'!I29-1,"-")</f>
        <v>4.05339196311294E-3</v>
      </c>
    </row>
    <row r="17" spans="3:9">
      <c r="C17" s="51" t="s">
        <v>49</v>
      </c>
      <c r="D17" s="166">
        <f>IFERROR('Tablas evol IO zona'!D17/'Tablas evol IO zona'!D30-1,"-")</f>
        <v>-0.12205567451820132</v>
      </c>
      <c r="E17" s="166" t="str">
        <f>IFERROR('Tablas evol IO zona'!E17/'Tablas evol IO zona'!E30-1,"-")</f>
        <v>-</v>
      </c>
      <c r="F17" s="166">
        <f>IFERROR('Tablas evol IO zona'!F17/'Tablas evol IO zona'!F30-1,"-")</f>
        <v>-0.12205567451820132</v>
      </c>
      <c r="G17" s="166">
        <f>IFERROR('Tablas evol IO zona'!G17/'Tablas evol IO zona'!G30-1,"-")</f>
        <v>-7.0077411458493444E-3</v>
      </c>
      <c r="H17" s="166">
        <f>IFERROR('Tablas evol IO zona'!H17/'Tablas evol IO zona'!H30-1,"-")</f>
        <v>-4.5185692372421538E-2</v>
      </c>
      <c r="I17" s="166">
        <f>IFERROR('Tablas evol IO zona'!I17/'Tablas evol IO zona'!I30-1,"-")</f>
        <v>-2.2362553070906399E-2</v>
      </c>
    </row>
    <row r="18" spans="3:9" ht="30">
      <c r="C18" s="69" t="s">
        <v>55</v>
      </c>
      <c r="D18" s="167">
        <f>'[1]tabla dinámica municipios'!$T$392/'[1]tabla dinámica municipios'!$J$392-1</f>
        <v>-9.9145053207750466E-2</v>
      </c>
      <c r="E18" s="167"/>
      <c r="F18" s="167">
        <f>'[1]tabla dinámica municipios'!$U$392/'[1]tabla dinámica municipios'!$K$392-1</f>
        <v>-9.9145053207750466E-2</v>
      </c>
      <c r="G18" s="167">
        <f>IFERROR(GETPIVOTDATA("Suma de TOTAL hotelero",'[1]tabla dinámica IO men'!$A$201,"MES","6","AÑO",2010)/GETPIVOTDATA("Suma de TOTAL hotelero",'[1]tabla dinámica IO men'!$A$201,"MES","6","AÑO",2009)-1,"-")</f>
        <v>2.5169370758582499E-2</v>
      </c>
      <c r="H18" s="167">
        <f>IFERROR(GETPIVOTDATA("Suma de extrahoteleros",'[1]tabla dinámica IO men'!$A$201,"MES","6","AÑO",2010)/GETPIVOTDATA("Suma de extrahoteleros",'[1]tabla dinámica IO men'!$A$201,"MES","6","AÑO",2009)-1,"-")</f>
        <v>-1.9874951361844029E-2</v>
      </c>
      <c r="I18" s="167">
        <f>IFERROR(GETPIVOTDATA("Suma de TOTAL general",'[1]tabla dinámica IO men'!$A$201,"MES","6","AÑO",2010)/GETPIVOTDATA("Suma de TOTAL general",'[1]tabla dinámica IO men'!$A$201,"MES","6","AÑO",2009)-1,"-")</f>
        <v>7.8924504944080098E-3</v>
      </c>
    </row>
    <row r="19" spans="3:9" hidden="1" outlineLevel="1">
      <c r="C19" s="51" t="s">
        <v>38</v>
      </c>
      <c r="D19" s="166">
        <f>IFERROR('Tablas evol IO zona'!D19/'Tablas evol IO zona'!D32-1,"-")</f>
        <v>5.2430183702336208E-2</v>
      </c>
      <c r="E19" s="166" t="str">
        <f>IFERROR('Tablas evol IO zona'!E19/'Tablas evol IO zona'!E32-1,"-")</f>
        <v>-</v>
      </c>
      <c r="F19" s="166">
        <f>IFERROR('Tablas evol IO zona'!F19/'Tablas evol IO zona'!F32-1,"-")</f>
        <v>5.2430183702336208E-2</v>
      </c>
      <c r="G19" s="166">
        <f>IFERROR('Tablas evol IO zona'!G19/'Tablas evol IO zona'!G32-1,"-")</f>
        <v>-6.0628297604490511E-2</v>
      </c>
      <c r="H19" s="166">
        <f>IFERROR('Tablas evol IO zona'!H19/'Tablas evol IO zona'!H32-1,"-")</f>
        <v>-9.6751631345300404E-2</v>
      </c>
      <c r="I19" s="166">
        <f>IFERROR('Tablas evol IO zona'!I19/'Tablas evol IO zona'!I32-1,"-")</f>
        <v>-7.6514199942942507E-2</v>
      </c>
    </row>
    <row r="20" spans="3:9" hidden="1" outlineLevel="1">
      <c r="C20" s="51" t="s">
        <v>39</v>
      </c>
      <c r="D20" s="166">
        <f>IFERROR('Tablas evol IO zona'!D20/'Tablas evol IO zona'!D33-1,"-")</f>
        <v>-0.27316398872826997</v>
      </c>
      <c r="E20" s="166" t="str">
        <f>IFERROR('Tablas evol IO zona'!E20/'Tablas evol IO zona'!E33-1,"-")</f>
        <v>-</v>
      </c>
      <c r="F20" s="166">
        <f>IFERROR('Tablas evol IO zona'!F20/'Tablas evol IO zona'!F33-1,"-")</f>
        <v>-0.27316398872826997</v>
      </c>
      <c r="G20" s="166">
        <f>IFERROR('Tablas evol IO zona'!G20/'Tablas evol IO zona'!G33-1,"-")</f>
        <v>-6.2358975251137649E-2</v>
      </c>
      <c r="H20" s="166">
        <f>IFERROR('Tablas evol IO zona'!H20/'Tablas evol IO zona'!H33-1,"-")</f>
        <v>-0.1351318529536264</v>
      </c>
      <c r="I20" s="166">
        <f>IFERROR('Tablas evol IO zona'!I20/'Tablas evol IO zona'!I33-1,"-")</f>
        <v>-9.5231853005462996E-2</v>
      </c>
    </row>
    <row r="21" spans="3:9" hidden="1" outlineLevel="1">
      <c r="C21" s="51" t="s">
        <v>40</v>
      </c>
      <c r="D21" s="166">
        <f>IFERROR('Tablas evol IO zona'!D21/'Tablas evol IO zona'!D34-1,"-")</f>
        <v>-0.25178565215282012</v>
      </c>
      <c r="E21" s="166" t="str">
        <f>IFERROR('Tablas evol IO zona'!E21/'Tablas evol IO zona'!E34-1,"-")</f>
        <v>-</v>
      </c>
      <c r="F21" s="166">
        <f>IFERROR('Tablas evol IO zona'!F21/'Tablas evol IO zona'!F34-1,"-")</f>
        <v>-0.25178565215282012</v>
      </c>
      <c r="G21" s="166">
        <f>IFERROR('Tablas evol IO zona'!G21/'Tablas evol IO zona'!G34-1,"-")</f>
        <v>-9.6925539197951327E-2</v>
      </c>
      <c r="H21" s="166">
        <f>IFERROR('Tablas evol IO zona'!H21/'Tablas evol IO zona'!H34-1,"-")</f>
        <v>-0.11182092508637309</v>
      </c>
      <c r="I21" s="166">
        <f>IFERROR('Tablas evol IO zona'!I21/'Tablas evol IO zona'!I34-1,"-")</f>
        <v>-0.10228116041542146</v>
      </c>
    </row>
    <row r="22" spans="3:9" hidden="1" outlineLevel="1">
      <c r="C22" s="51" t="s">
        <v>41</v>
      </c>
      <c r="D22" s="166">
        <f>IFERROR('Tablas evol IO zona'!D22/'Tablas evol IO zona'!D35-1,"-")</f>
        <v>-0.15654091131798142</v>
      </c>
      <c r="E22" s="166" t="str">
        <f>IFERROR('Tablas evol IO zona'!E22/'Tablas evol IO zona'!E35-1,"-")</f>
        <v>-</v>
      </c>
      <c r="F22" s="166">
        <f>IFERROR('Tablas evol IO zona'!F22/'Tablas evol IO zona'!F35-1,"-")</f>
        <v>-0.15654091131798142</v>
      </c>
      <c r="G22" s="166">
        <f>IFERROR('Tablas evol IO zona'!G22/'Tablas evol IO zona'!G35-1,"-")</f>
        <v>-0.10530589180506589</v>
      </c>
      <c r="H22" s="166">
        <f>IFERROR('Tablas evol IO zona'!H22/'Tablas evol IO zona'!H35-1,"-")</f>
        <v>-8.7214623177495842E-2</v>
      </c>
      <c r="I22" s="166">
        <f>IFERROR('Tablas evol IO zona'!I22/'Tablas evol IO zona'!I35-1,"-")</f>
        <v>-9.6216339181741883E-2</v>
      </c>
    </row>
    <row r="23" spans="3:9" hidden="1" outlineLevel="1">
      <c r="C23" s="51" t="s">
        <v>42</v>
      </c>
      <c r="D23" s="166">
        <f>IFERROR('Tablas evol IO zona'!D23/'Tablas evol IO zona'!D36-1,"-")</f>
        <v>-0.25338753387533874</v>
      </c>
      <c r="E23" s="166" t="str">
        <f>IFERROR('Tablas evol IO zona'!E23/'Tablas evol IO zona'!E36-1,"-")</f>
        <v>-</v>
      </c>
      <c r="F23" s="166">
        <f>IFERROR('Tablas evol IO zona'!F23/'Tablas evol IO zona'!F36-1,"-")</f>
        <v>-0.25338753387533874</v>
      </c>
      <c r="G23" s="166">
        <f>IFERROR('Tablas evol IO zona'!G23/'Tablas evol IO zona'!G36-1,"-")</f>
        <v>-0.1121541633274602</v>
      </c>
      <c r="H23" s="166">
        <f>IFERROR('Tablas evol IO zona'!H23/'Tablas evol IO zona'!H36-1,"-")</f>
        <v>-0.12720596534062967</v>
      </c>
      <c r="I23" s="166">
        <f>IFERROR('Tablas evol IO zona'!I23/'Tablas evol IO zona'!I36-1,"-")</f>
        <v>-0.11812677448346953</v>
      </c>
    </row>
    <row r="24" spans="3:9" hidden="1" outlineLevel="1">
      <c r="C24" s="51" t="s">
        <v>43</v>
      </c>
      <c r="D24" s="166">
        <f>IFERROR('Tablas evol IO zona'!D24/'Tablas evol IO zona'!D37-1,"-")</f>
        <v>-0.28165268971159751</v>
      </c>
      <c r="E24" s="166" t="str">
        <f>IFERROR('Tablas evol IO zona'!E24/'Tablas evol IO zona'!E37-1,"-")</f>
        <v>-</v>
      </c>
      <c r="F24" s="166">
        <f>IFERROR('Tablas evol IO zona'!F24/'Tablas evol IO zona'!F37-1,"-")</f>
        <v>-0.28165268971159751</v>
      </c>
      <c r="G24" s="166">
        <f>IFERROR('Tablas evol IO zona'!G24/'Tablas evol IO zona'!G37-1,"-")</f>
        <v>-0.13501929437830051</v>
      </c>
      <c r="H24" s="166">
        <f>IFERROR('Tablas evol IO zona'!H24/'Tablas evol IO zona'!H37-1,"-")</f>
        <v>-0.1521213939758681</v>
      </c>
      <c r="I24" s="166">
        <f>IFERROR('Tablas evol IO zona'!I24/'Tablas evol IO zona'!I37-1,"-")</f>
        <v>-0.14143615653805086</v>
      </c>
    </row>
    <row r="25" spans="3:9" hidden="1" outlineLevel="1">
      <c r="C25" s="51" t="s">
        <v>44</v>
      </c>
      <c r="D25" s="166">
        <f>IFERROR('Tablas evol IO zona'!D25/'Tablas evol IO zona'!D38-1,"-")</f>
        <v>-0.20901038000067951</v>
      </c>
      <c r="E25" s="166" t="str">
        <f>IFERROR('Tablas evol IO zona'!E25/'Tablas evol IO zona'!E38-1,"-")</f>
        <v>-</v>
      </c>
      <c r="F25" s="166">
        <f>IFERROR('Tablas evol IO zona'!F25/'Tablas evol IO zona'!F38-1,"-")</f>
        <v>-0.20901038000067951</v>
      </c>
      <c r="G25" s="166">
        <f>IFERROR('Tablas evol IO zona'!G25/'Tablas evol IO zona'!G38-1,"-")</f>
        <v>-0.15316143787072856</v>
      </c>
      <c r="H25" s="166">
        <f>IFERROR('Tablas evol IO zona'!H25/'Tablas evol IO zona'!H38-1,"-")</f>
        <v>-0.18639408255965206</v>
      </c>
      <c r="I25" s="166">
        <f>IFERROR('Tablas evol IO zona'!I25/'Tablas evol IO zona'!I38-1,"-")</f>
        <v>-0.16609189311090755</v>
      </c>
    </row>
    <row r="26" spans="3:9" hidden="1" outlineLevel="1">
      <c r="C26" s="51" t="s">
        <v>45</v>
      </c>
      <c r="D26" s="166">
        <f>IFERROR('Tablas evol IO zona'!D26/'Tablas evol IO zona'!D39-1,"-")</f>
        <v>-0.29979952615272454</v>
      </c>
      <c r="E26" s="166" t="str">
        <f>IFERROR('Tablas evol IO zona'!E26/'Tablas evol IO zona'!E39-1,"-")</f>
        <v>-</v>
      </c>
      <c r="F26" s="166">
        <f>IFERROR('Tablas evol IO zona'!F26/'Tablas evol IO zona'!F39-1,"-")</f>
        <v>-0.29979952615272454</v>
      </c>
      <c r="G26" s="166">
        <f>IFERROR('Tablas evol IO zona'!G26/'Tablas evol IO zona'!G39-1,"-")</f>
        <v>-0.18201943100019602</v>
      </c>
      <c r="H26" s="166">
        <f>IFERROR('Tablas evol IO zona'!H26/'Tablas evol IO zona'!H39-1,"-")</f>
        <v>-0.18558229154173478</v>
      </c>
      <c r="I26" s="166">
        <f>IFERROR('Tablas evol IO zona'!I26/'Tablas evol IO zona'!I39-1,"-")</f>
        <v>-0.18192074877661413</v>
      </c>
    </row>
    <row r="27" spans="3:9" hidden="1" outlineLevel="1">
      <c r="C27" s="51" t="s">
        <v>46</v>
      </c>
      <c r="D27" s="166">
        <f>IFERROR('Tablas evol IO zona'!D27/'Tablas evol IO zona'!D40-1,"-")</f>
        <v>-0.22147385103011097</v>
      </c>
      <c r="E27" s="166" t="str">
        <f>IFERROR('Tablas evol IO zona'!E27/'Tablas evol IO zona'!E40-1,"-")</f>
        <v>-</v>
      </c>
      <c r="F27" s="166">
        <f>IFERROR('Tablas evol IO zona'!F27/'Tablas evol IO zona'!F40-1,"-")</f>
        <v>-0.22147385103011097</v>
      </c>
      <c r="G27" s="166">
        <f>IFERROR('Tablas evol IO zona'!G27/'Tablas evol IO zona'!G40-1,"-")</f>
        <v>-0.14903539746940242</v>
      </c>
      <c r="H27" s="166">
        <f>IFERROR('Tablas evol IO zona'!H27/'Tablas evol IO zona'!H40-1,"-")</f>
        <v>-0.11687158638138651</v>
      </c>
      <c r="I27" s="166">
        <f>IFERROR('Tablas evol IO zona'!I27/'Tablas evol IO zona'!I40-1,"-")</f>
        <v>-0.13382983920848956</v>
      </c>
    </row>
    <row r="28" spans="3:9" hidden="1" outlineLevel="1">
      <c r="C28" s="51" t="s">
        <v>47</v>
      </c>
      <c r="D28" s="166">
        <f>IFERROR('Tablas evol IO zona'!D28/'Tablas evol IO zona'!D41-1,"-")</f>
        <v>-0.15998561927017807</v>
      </c>
      <c r="E28" s="166" t="str">
        <f>IFERROR('Tablas evol IO zona'!E28/'Tablas evol IO zona'!E41-1,"-")</f>
        <v>-</v>
      </c>
      <c r="F28" s="166">
        <f>IFERROR('Tablas evol IO zona'!F28/'Tablas evol IO zona'!F41-1,"-")</f>
        <v>-0.15998561927017807</v>
      </c>
      <c r="G28" s="166">
        <f>IFERROR('Tablas evol IO zona'!G28/'Tablas evol IO zona'!G41-1,"-")</f>
        <v>-0.18518488247492371</v>
      </c>
      <c r="H28" s="166">
        <f>IFERROR('Tablas evol IO zona'!H28/'Tablas evol IO zona'!H41-1,"-")</f>
        <v>-0.16144780441047446</v>
      </c>
      <c r="I28" s="166">
        <f>IFERROR('Tablas evol IO zona'!I28/'Tablas evol IO zona'!I41-1,"-")</f>
        <v>-0.1732634566793938</v>
      </c>
    </row>
    <row r="29" spans="3:9" hidden="1" outlineLevel="1">
      <c r="C29" s="51" t="s">
        <v>48</v>
      </c>
      <c r="D29" s="166">
        <f>IFERROR('Tablas evol IO zona'!D29/'Tablas evol IO zona'!D42-1,"-")</f>
        <v>-7.7102414654454554E-2</v>
      </c>
      <c r="E29" s="166" t="str">
        <f>IFERROR('Tablas evol IO zona'!E29/'Tablas evol IO zona'!E42-1,"-")</f>
        <v>-</v>
      </c>
      <c r="F29" s="166">
        <f>IFERROR('Tablas evol IO zona'!F29/'Tablas evol IO zona'!F42-1,"-")</f>
        <v>-7.7102414654454554E-2</v>
      </c>
      <c r="G29" s="166">
        <f>IFERROR('Tablas evol IO zona'!G29/'Tablas evol IO zona'!G42-1,"-")</f>
        <v>-0.12626016778099058</v>
      </c>
      <c r="H29" s="166">
        <f>IFERROR('Tablas evol IO zona'!H29/'Tablas evol IO zona'!H42-1,"-")</f>
        <v>-0.1324695898637116</v>
      </c>
      <c r="I29" s="166">
        <f>IFERROR('Tablas evol IO zona'!I29/'Tablas evol IO zona'!I42-1,"-")</f>
        <v>-0.12847181637072957</v>
      </c>
    </row>
    <row r="30" spans="3:9" hidden="1" outlineLevel="1">
      <c r="C30" s="51" t="s">
        <v>49</v>
      </c>
      <c r="D30" s="166">
        <f>IFERROR('Tablas evol IO zona'!D30/'Tablas evol IO zona'!D43-1,"-")</f>
        <v>-0.15568501406187218</v>
      </c>
      <c r="E30" s="166" t="str">
        <f>IFERROR('Tablas evol IO zona'!E30/'Tablas evol IO zona'!E43-1,"-")</f>
        <v>-</v>
      </c>
      <c r="F30" s="166">
        <f>IFERROR('Tablas evol IO zona'!F30/'Tablas evol IO zona'!F43-1,"-")</f>
        <v>-0.15568501406187218</v>
      </c>
      <c r="G30" s="166">
        <f>IFERROR('Tablas evol IO zona'!G30/'Tablas evol IO zona'!G43-1,"-")</f>
        <v>-9.1391321763707012E-2</v>
      </c>
      <c r="H30" s="166">
        <f>IFERROR('Tablas evol IO zona'!H30/'Tablas evol IO zona'!H43-1,"-")</f>
        <v>-0.10679949884998796</v>
      </c>
      <c r="I30" s="166">
        <f>IFERROR('Tablas evol IO zona'!I30/'Tablas evol IO zona'!I43-1,"-")</f>
        <v>-9.7720527496153009E-2</v>
      </c>
    </row>
    <row r="31" spans="3:9" collapsed="1">
      <c r="C31" s="56">
        <v>2009</v>
      </c>
      <c r="D31" s="168">
        <f>IFERROR('Tablas evol IO zona'!D31/'Tablas evol IO zona'!D44-1,"-")</f>
        <v>-0.19169539818276027</v>
      </c>
      <c r="E31" s="168" t="str">
        <f>IFERROR('Tablas evol IO zona'!E31/'Tablas evol IO zona'!E44-1,"-")</f>
        <v>-</v>
      </c>
      <c r="F31" s="168">
        <f>IFERROR('Tablas evol IO zona'!F31/'Tablas evol IO zona'!F44-1,"-")</f>
        <v>-0.19169539818276027</v>
      </c>
      <c r="G31" s="168">
        <f>IFERROR('Tablas evol IO zona'!G31/'Tablas evol IO zona'!G44-1,"-")</f>
        <v>-0.12245605032118212</v>
      </c>
      <c r="H31" s="168">
        <f>IFERROR('Tablas evol IO zona'!H31/'Tablas evol IO zona'!H44-1,"-")</f>
        <v>-0.13338158388472598</v>
      </c>
      <c r="I31" s="168">
        <f>IFERROR('Tablas evol IO zona'!I31/'Tablas evol IO zona'!I44-1,"-")</f>
        <v>-0.12627383890505806</v>
      </c>
    </row>
    <row r="32" spans="3:9" hidden="1" outlineLevel="1">
      <c r="C32" s="51" t="s">
        <v>38</v>
      </c>
      <c r="D32" s="166">
        <f>IFERROR('Tablas evol IO zona'!D32/'Tablas evol IO zona'!D45-1,"-")</f>
        <v>-0.12692763938315543</v>
      </c>
      <c r="E32" s="166" t="str">
        <f>IFERROR('Tablas evol IO zona'!E32/'Tablas evol IO zona'!E45-1,"-")</f>
        <v>-</v>
      </c>
      <c r="F32" s="166">
        <f>IFERROR('Tablas evol IO zona'!F32/'Tablas evol IO zona'!F45-1,"-")</f>
        <v>-0.12692763938315543</v>
      </c>
      <c r="G32" s="166">
        <f>IFERROR('Tablas evol IO zona'!G32/'Tablas evol IO zona'!G45-1,"-")</f>
        <v>-6.0315973161212844E-2</v>
      </c>
      <c r="H32" s="166">
        <f>IFERROR('Tablas evol IO zona'!H32/'Tablas evol IO zona'!H45-1,"-")</f>
        <v>-9.7742533972117629E-2</v>
      </c>
      <c r="I32" s="166">
        <f>IFERROR('Tablas evol IO zona'!I32/'Tablas evol IO zona'!I45-1,"-")</f>
        <v>-7.7130545293367381E-2</v>
      </c>
    </row>
    <row r="33" spans="3:9" hidden="1" outlineLevel="1">
      <c r="C33" s="51" t="s">
        <v>39</v>
      </c>
      <c r="D33" s="166">
        <f>IFERROR('Tablas evol IO zona'!D33/'Tablas evol IO zona'!D46-1,"-")</f>
        <v>-6.4872834500552812E-2</v>
      </c>
      <c r="E33" s="166" t="str">
        <f>IFERROR('Tablas evol IO zona'!E33/'Tablas evol IO zona'!E46-1,"-")</f>
        <v>-</v>
      </c>
      <c r="F33" s="166">
        <f>IFERROR('Tablas evol IO zona'!F33/'Tablas evol IO zona'!F46-1,"-")</f>
        <v>-6.4872834500552812E-2</v>
      </c>
      <c r="G33" s="166">
        <f>IFERROR('Tablas evol IO zona'!G33/'Tablas evol IO zona'!G46-1,"-")</f>
        <v>-8.1368039644258761E-2</v>
      </c>
      <c r="H33" s="166">
        <f>IFERROR('Tablas evol IO zona'!H33/'Tablas evol IO zona'!H46-1,"-")</f>
        <v>-6.3835057202440093E-2</v>
      </c>
      <c r="I33" s="166">
        <f>IFERROR('Tablas evol IO zona'!I33/'Tablas evol IO zona'!I46-1,"-")</f>
        <v>-7.1829271559538221E-2</v>
      </c>
    </row>
    <row r="34" spans="3:9" hidden="1" outlineLevel="1">
      <c r="C34" s="51" t="s">
        <v>40</v>
      </c>
      <c r="D34" s="166">
        <f>IFERROR('Tablas evol IO zona'!D34/'Tablas evol IO zona'!D47-1,"-")</f>
        <v>-5.7979225684608116E-2</v>
      </c>
      <c r="E34" s="166" t="str">
        <f>IFERROR('Tablas evol IO zona'!E34/'Tablas evol IO zona'!E47-1,"-")</f>
        <v>-</v>
      </c>
      <c r="F34" s="166">
        <f>IFERROR('Tablas evol IO zona'!F34/'Tablas evol IO zona'!F47-1,"-")</f>
        <v>-5.7979225684608116E-2</v>
      </c>
      <c r="G34" s="166">
        <f>IFERROR('Tablas evol IO zona'!G34/'Tablas evol IO zona'!G47-1,"-")</f>
        <v>-4.1643478407860757E-2</v>
      </c>
      <c r="H34" s="166">
        <f>IFERROR('Tablas evol IO zona'!H34/'Tablas evol IO zona'!H47-1,"-")</f>
        <v>-6.2080409540705372E-2</v>
      </c>
      <c r="I34" s="166">
        <f>IFERROR('Tablas evol IO zona'!I34/'Tablas evol IO zona'!I47-1,"-")</f>
        <v>-4.9017781936257276E-2</v>
      </c>
    </row>
    <row r="35" spans="3:9" hidden="1" outlineLevel="1">
      <c r="C35" s="51" t="s">
        <v>41</v>
      </c>
      <c r="D35" s="166">
        <f>IFERROR('Tablas evol IO zona'!D35/'Tablas evol IO zona'!D48-1,"-")</f>
        <v>-0.11778690296088179</v>
      </c>
      <c r="E35" s="166" t="str">
        <f>IFERROR('Tablas evol IO zona'!E35/'Tablas evol IO zona'!E48-1,"-")</f>
        <v>-</v>
      </c>
      <c r="F35" s="166">
        <f>IFERROR('Tablas evol IO zona'!F35/'Tablas evol IO zona'!F48-1,"-")</f>
        <v>-0.11778690296088179</v>
      </c>
      <c r="G35" s="166">
        <f>IFERROR('Tablas evol IO zona'!G35/'Tablas evol IO zona'!G48-1,"-")</f>
        <v>-4.9336467780131121E-2</v>
      </c>
      <c r="H35" s="166">
        <f>IFERROR('Tablas evol IO zona'!H35/'Tablas evol IO zona'!H48-1,"-")</f>
        <v>-4.5480021539517579E-2</v>
      </c>
      <c r="I35" s="166">
        <f>IFERROR('Tablas evol IO zona'!I35/'Tablas evol IO zona'!I48-1,"-")</f>
        <v>-4.5257818262839034E-2</v>
      </c>
    </row>
    <row r="36" spans="3:9" hidden="1" outlineLevel="1">
      <c r="C36" s="51" t="s">
        <v>42</v>
      </c>
      <c r="D36" s="166">
        <f>IFERROR('Tablas evol IO zona'!D36/'Tablas evol IO zona'!D49-1,"-")</f>
        <v>0.12226277372262762</v>
      </c>
      <c r="E36" s="166" t="str">
        <f>IFERROR('Tablas evol IO zona'!E36/'Tablas evol IO zona'!E49-1,"-")</f>
        <v>-</v>
      </c>
      <c r="F36" s="166">
        <f>IFERROR('Tablas evol IO zona'!F36/'Tablas evol IO zona'!F49-1,"-")</f>
        <v>0.12226277372262762</v>
      </c>
      <c r="G36" s="166">
        <f>IFERROR('Tablas evol IO zona'!G36/'Tablas evol IO zona'!G49-1,"-")</f>
        <v>-3.5368085990637899E-2</v>
      </c>
      <c r="H36" s="166">
        <f>IFERROR('Tablas evol IO zona'!H36/'Tablas evol IO zona'!H49-1,"-")</f>
        <v>-9.1130295540874373E-3</v>
      </c>
      <c r="I36" s="166">
        <f>IFERROR('Tablas evol IO zona'!I36/'Tablas evol IO zona'!I49-1,"-")</f>
        <v>-2.1725537089390734E-2</v>
      </c>
    </row>
    <row r="37" spans="3:9" hidden="1" outlineLevel="1">
      <c r="C37" s="51" t="s">
        <v>43</v>
      </c>
      <c r="D37" s="166">
        <f>IFERROR('Tablas evol IO zona'!D37/'Tablas evol IO zona'!D50-1,"-")</f>
        <v>-3.9677862895305394E-2</v>
      </c>
      <c r="E37" s="166" t="str">
        <f>IFERROR('Tablas evol IO zona'!E37/'Tablas evol IO zona'!E50-1,"-")</f>
        <v>-</v>
      </c>
      <c r="F37" s="166">
        <f>IFERROR('Tablas evol IO zona'!F37/'Tablas evol IO zona'!F50-1,"-")</f>
        <v>-3.9677862895305394E-2</v>
      </c>
      <c r="G37" s="166">
        <f>IFERROR('Tablas evol IO zona'!G37/'Tablas evol IO zona'!G50-1,"-")</f>
        <v>2.7130630586603699E-2</v>
      </c>
      <c r="H37" s="166">
        <f>IFERROR('Tablas evol IO zona'!H37/'Tablas evol IO zona'!H50-1,"-")</f>
        <v>2.4315708643786627E-2</v>
      </c>
      <c r="I37" s="166">
        <f>IFERROR('Tablas evol IO zona'!I37/'Tablas evol IO zona'!I50-1,"-")</f>
        <v>2.7911086986943445E-2</v>
      </c>
    </row>
    <row r="38" spans="3:9" hidden="1" outlineLevel="1">
      <c r="C38" s="51" t="s">
        <v>44</v>
      </c>
      <c r="D38" s="166">
        <f>IFERROR('Tablas evol IO zona'!D38/'Tablas evol IO zona'!D51-1,"-")</f>
        <v>-0.12705223880597016</v>
      </c>
      <c r="E38" s="166" t="str">
        <f>IFERROR('Tablas evol IO zona'!E38/'Tablas evol IO zona'!E51-1,"-")</f>
        <v>-</v>
      </c>
      <c r="F38" s="166">
        <f>IFERROR('Tablas evol IO zona'!F38/'Tablas evol IO zona'!F51-1,"-")</f>
        <v>-0.12705223880597016</v>
      </c>
      <c r="G38" s="166">
        <f>IFERROR('Tablas evol IO zona'!G38/'Tablas evol IO zona'!G51-1,"-")</f>
        <v>3.8896391984761358E-2</v>
      </c>
      <c r="H38" s="166">
        <f>IFERROR('Tablas evol IO zona'!H38/'Tablas evol IO zona'!H51-1,"-")</f>
        <v>6.0714924637628398E-2</v>
      </c>
      <c r="I38" s="166">
        <f>IFERROR('Tablas evol IO zona'!I38/'Tablas evol IO zona'!I51-1,"-")</f>
        <v>5.0001488404924466E-2</v>
      </c>
    </row>
    <row r="39" spans="3:9" hidden="1" outlineLevel="1">
      <c r="C39" s="51" t="s">
        <v>45</v>
      </c>
      <c r="D39" s="166">
        <f>IFERROR('Tablas evol IO zona'!D39/'Tablas evol IO zona'!D52-1,"-")</f>
        <v>1.8563207722294361E-2</v>
      </c>
      <c r="E39" s="166" t="str">
        <f>IFERROR('Tablas evol IO zona'!E39/'Tablas evol IO zona'!E52-1,"-")</f>
        <v>-</v>
      </c>
      <c r="F39" s="166">
        <f>IFERROR('Tablas evol IO zona'!F39/'Tablas evol IO zona'!F52-1,"-")</f>
        <v>1.8563207722294361E-2</v>
      </c>
      <c r="G39" s="166">
        <f>IFERROR('Tablas evol IO zona'!G39/'Tablas evol IO zona'!G52-1,"-")</f>
        <v>0.12087633302721446</v>
      </c>
      <c r="H39" s="166">
        <f>IFERROR('Tablas evol IO zona'!H39/'Tablas evol IO zona'!H52-1,"-")</f>
        <v>5.1446538567741174E-2</v>
      </c>
      <c r="I39" s="166">
        <f>IFERROR('Tablas evol IO zona'!I39/'Tablas evol IO zona'!I52-1,"-")</f>
        <v>9.2375821819973281E-2</v>
      </c>
    </row>
    <row r="40" spans="3:9" hidden="1" outlineLevel="1">
      <c r="C40" s="51" t="s">
        <v>46</v>
      </c>
      <c r="D40" s="166">
        <f>IFERROR('Tablas evol IO zona'!D40/'Tablas evol IO zona'!D53-1,"-")</f>
        <v>-0.10401135960241403</v>
      </c>
      <c r="E40" s="166" t="str">
        <f>IFERROR('Tablas evol IO zona'!E40/'Tablas evol IO zona'!E53-1,"-")</f>
        <v>-</v>
      </c>
      <c r="F40" s="166">
        <f>IFERROR('Tablas evol IO zona'!F40/'Tablas evol IO zona'!F53-1,"-")</f>
        <v>-0.10401135960241403</v>
      </c>
      <c r="G40" s="166">
        <f>IFERROR('Tablas evol IO zona'!G40/'Tablas evol IO zona'!G53-1,"-")</f>
        <v>4.2338111588766658E-2</v>
      </c>
      <c r="H40" s="166">
        <f>IFERROR('Tablas evol IO zona'!H40/'Tablas evol IO zona'!H53-1,"-")</f>
        <v>-1.1537285241852047E-2</v>
      </c>
      <c r="I40" s="166">
        <f>IFERROR('Tablas evol IO zona'!I40/'Tablas evol IO zona'!I53-1,"-")</f>
        <v>1.989692699997514E-2</v>
      </c>
    </row>
    <row r="41" spans="3:9" hidden="1" outlineLevel="1">
      <c r="C41" s="51" t="s">
        <v>47</v>
      </c>
      <c r="D41" s="166">
        <f>IFERROR('Tablas evol IO zona'!D41/'Tablas evol IO zona'!D54-1,"-")</f>
        <v>-8.45812078328122E-2</v>
      </c>
      <c r="E41" s="166" t="str">
        <f>IFERROR('Tablas evol IO zona'!E41/'Tablas evol IO zona'!E54-1,"-")</f>
        <v>-</v>
      </c>
      <c r="F41" s="166">
        <f>IFERROR('Tablas evol IO zona'!F41/'Tablas evol IO zona'!F54-1,"-")</f>
        <v>-8.45812078328122E-2</v>
      </c>
      <c r="G41" s="166">
        <f>IFERROR('Tablas evol IO zona'!G41/'Tablas evol IO zona'!G54-1,"-")</f>
        <v>2.6376049317652583E-2</v>
      </c>
      <c r="H41" s="166">
        <f>IFERROR('Tablas evol IO zona'!H41/'Tablas evol IO zona'!H54-1,"-")</f>
        <v>2.7211645529771511E-2</v>
      </c>
      <c r="I41" s="166">
        <f>IFERROR('Tablas evol IO zona'!I41/'Tablas evol IO zona'!I54-1,"-")</f>
        <v>2.7754726081888892E-2</v>
      </c>
    </row>
    <row r="42" spans="3:9" hidden="1" outlineLevel="1">
      <c r="C42" s="51" t="s">
        <v>48</v>
      </c>
      <c r="D42" s="166">
        <f>IFERROR('Tablas evol IO zona'!D42/'Tablas evol IO zona'!D55-1,"-")</f>
        <v>9.8810612991765856E-2</v>
      </c>
      <c r="E42" s="166" t="str">
        <f>IFERROR('Tablas evol IO zona'!E42/'Tablas evol IO zona'!E55-1,"-")</f>
        <v>-</v>
      </c>
      <c r="F42" s="166">
        <f>IFERROR('Tablas evol IO zona'!F42/'Tablas evol IO zona'!F55-1,"-")</f>
        <v>9.8810612991765856E-2</v>
      </c>
      <c r="G42" s="166">
        <f>IFERROR('Tablas evol IO zona'!G42/'Tablas evol IO zona'!G55-1,"-")</f>
        <v>1.6918640067783874E-2</v>
      </c>
      <c r="H42" s="166">
        <f>IFERROR('Tablas evol IO zona'!H42/'Tablas evol IO zona'!H55-1,"-")</f>
        <v>2.0794621297386184E-2</v>
      </c>
      <c r="I42" s="166">
        <f>IFERROR('Tablas evol IO zona'!I42/'Tablas evol IO zona'!I55-1,"-")</f>
        <v>1.9612984767295005E-2</v>
      </c>
    </row>
    <row r="43" spans="3:9" hidden="1" outlineLevel="1">
      <c r="C43" s="51" t="s">
        <v>49</v>
      </c>
      <c r="D43" s="166">
        <f>IFERROR('Tablas evol IO zona'!D43/'Tablas evol IO zona'!D56-1,"-")</f>
        <v>4.4262638976295454E-2</v>
      </c>
      <c r="E43" s="166" t="str">
        <f>IFERROR('Tablas evol IO zona'!E43/'Tablas evol IO zona'!E56-1,"-")</f>
        <v>-</v>
      </c>
      <c r="F43" s="166">
        <f>IFERROR('Tablas evol IO zona'!F43/'Tablas evol IO zona'!F56-1,"-")</f>
        <v>4.4262638976295454E-2</v>
      </c>
      <c r="G43" s="166">
        <f>IFERROR('Tablas evol IO zona'!G43/'Tablas evol IO zona'!G56-1,"-")</f>
        <v>3.0235681433448125E-3</v>
      </c>
      <c r="H43" s="166">
        <f>IFERROR('Tablas evol IO zona'!H43/'Tablas evol IO zona'!H56-1,"-")</f>
        <v>1.9875757805446703E-2</v>
      </c>
      <c r="I43" s="166">
        <f>IFERROR('Tablas evol IO zona'!I43/'Tablas evol IO zona'!I56-1,"-")</f>
        <v>1.1932664685926131E-2</v>
      </c>
    </row>
    <row r="44" spans="3:9" collapsed="1">
      <c r="C44" s="58">
        <v>2008</v>
      </c>
      <c r="D44" s="169">
        <f>IFERROR('Tablas evol IO zona'!D44/'Tablas evol IO zona'!D57-1,"-")</f>
        <v>-4.1529867590950675E-2</v>
      </c>
      <c r="E44" s="169" t="str">
        <f>IFERROR('Tablas evol IO zona'!E44/'Tablas evol IO zona'!E57-1,"-")</f>
        <v>-</v>
      </c>
      <c r="F44" s="169">
        <f>IFERROR('Tablas evol IO zona'!F44/'Tablas evol IO zona'!F57-1,"-")</f>
        <v>-4.1529867590950675E-2</v>
      </c>
      <c r="G44" s="169">
        <f>IFERROR('Tablas evol IO zona'!G44/'Tablas evol IO zona'!G57-1,"-")</f>
        <v>-1.9928606098897905E-3</v>
      </c>
      <c r="H44" s="169">
        <f>IFERROR('Tablas evol IO zona'!H44/'Tablas evol IO zona'!H57-1,"-")</f>
        <v>-8.6104971440255085E-3</v>
      </c>
      <c r="I44" s="169">
        <f>IFERROR('Tablas evol IO zona'!I44/'Tablas evol IO zona'!I57-1,"-")</f>
        <v>-3.5023520967877309E-3</v>
      </c>
    </row>
    <row r="45" spans="3:9" hidden="1" outlineLevel="1">
      <c r="C45" s="51" t="s">
        <v>38</v>
      </c>
      <c r="D45" s="166">
        <f>IFERROR('Tablas evol IO zona'!D45/'Tablas evol IO zona'!D58-1,"-")</f>
        <v>-9.9358974358974339E-2</v>
      </c>
      <c r="E45" s="166" t="str">
        <f>IFERROR('Tablas evol IO zona'!E45/'Tablas evol IO zona'!E58-1,"-")</f>
        <v>-</v>
      </c>
      <c r="F45" s="166">
        <f>IFERROR('Tablas evol IO zona'!F45/'Tablas evol IO zona'!F58-1,"-")</f>
        <v>-9.9358974358974339E-2</v>
      </c>
      <c r="G45" s="166">
        <f>IFERROR('Tablas evol IO zona'!G45/'Tablas evol IO zona'!G58-1,"-")</f>
        <v>-1.2759417065445255E-2</v>
      </c>
      <c r="H45" s="166">
        <f>IFERROR('Tablas evol IO zona'!H45/'Tablas evol IO zona'!H58-1,"-")</f>
        <v>2.2854591170963223E-2</v>
      </c>
      <c r="I45" s="166">
        <f>IFERROR('Tablas evol IO zona'!I45/'Tablas evol IO zona'!I58-1,"-")</f>
        <v>5.1172792302491832E-3</v>
      </c>
    </row>
    <row r="46" spans="3:9" hidden="1" outlineLevel="1">
      <c r="C46" s="51" t="s">
        <v>39</v>
      </c>
      <c r="D46" s="166">
        <f>IFERROR('Tablas evol IO zona'!D46/'Tablas evol IO zona'!D59-1,"-")</f>
        <v>-6.5449534963830547E-2</v>
      </c>
      <c r="E46" s="166" t="str">
        <f>IFERROR('Tablas evol IO zona'!E46/'Tablas evol IO zona'!E59-1,"-")</f>
        <v>-</v>
      </c>
      <c r="F46" s="166">
        <f>IFERROR('Tablas evol IO zona'!F46/'Tablas evol IO zona'!F59-1,"-")</f>
        <v>-6.5449534963830547E-2</v>
      </c>
      <c r="G46" s="166">
        <f>IFERROR('Tablas evol IO zona'!G46/'Tablas evol IO zona'!G59-1,"-")</f>
        <v>1.4892867142954236E-2</v>
      </c>
      <c r="H46" s="166">
        <f>IFERROR('Tablas evol IO zona'!H46/'Tablas evol IO zona'!H59-1,"-")</f>
        <v>6.8071697860010438E-3</v>
      </c>
      <c r="I46" s="166">
        <f>IFERROR('Tablas evol IO zona'!I46/'Tablas evol IO zona'!I59-1,"-")</f>
        <v>1.2115844891495975E-2</v>
      </c>
    </row>
    <row r="47" spans="3:9" hidden="1" outlineLevel="1">
      <c r="C47" s="51" t="s">
        <v>40</v>
      </c>
      <c r="D47" s="166">
        <f>IFERROR('Tablas evol IO zona'!D47/'Tablas evol IO zona'!D60-1,"-")</f>
        <v>6.3893911995177799E-2</v>
      </c>
      <c r="E47" s="166" t="str">
        <f>IFERROR('Tablas evol IO zona'!E47/'Tablas evol IO zona'!E60-1,"-")</f>
        <v>-</v>
      </c>
      <c r="F47" s="166">
        <f>IFERROR('Tablas evol IO zona'!F47/'Tablas evol IO zona'!F60-1,"-")</f>
        <v>6.3893911995177799E-2</v>
      </c>
      <c r="G47" s="166">
        <f>IFERROR('Tablas evol IO zona'!G47/'Tablas evol IO zona'!G60-1,"-")</f>
        <v>-6.5320015462092651E-2</v>
      </c>
      <c r="H47" s="166">
        <f>IFERROR('Tablas evol IO zona'!H47/'Tablas evol IO zona'!H60-1,"-")</f>
        <v>-8.0034199743010848E-2</v>
      </c>
      <c r="I47" s="166">
        <f>IFERROR('Tablas evol IO zona'!I47/'Tablas evol IO zona'!I60-1,"-")</f>
        <v>-7.0934011952755394E-2</v>
      </c>
    </row>
    <row r="48" spans="3:9" hidden="1" outlineLevel="1">
      <c r="C48" s="51" t="s">
        <v>41</v>
      </c>
      <c r="D48" s="166">
        <f>IFERROR('Tablas evol IO zona'!D48/'Tablas evol IO zona'!D61-1,"-")</f>
        <v>-4.2028985507246208E-2</v>
      </c>
      <c r="E48" s="166" t="str">
        <f>IFERROR('Tablas evol IO zona'!E48/'Tablas evol IO zona'!E61-1,"-")</f>
        <v>-</v>
      </c>
      <c r="F48" s="166">
        <f>IFERROR('Tablas evol IO zona'!F48/'Tablas evol IO zona'!F61-1,"-")</f>
        <v>-4.2028985507246208E-2</v>
      </c>
      <c r="G48" s="166">
        <f>IFERROR('Tablas evol IO zona'!G48/'Tablas evol IO zona'!G61-1,"-")</f>
        <v>-6.1958876115664308E-2</v>
      </c>
      <c r="H48" s="166">
        <f>IFERROR('Tablas evol IO zona'!H48/'Tablas evol IO zona'!H61-1,"-")</f>
        <v>-0.11001242145335932</v>
      </c>
      <c r="I48" s="166">
        <f>IFERROR('Tablas evol IO zona'!I48/'Tablas evol IO zona'!I61-1,"-")</f>
        <v>-8.1787987863093048E-2</v>
      </c>
    </row>
    <row r="49" spans="3:9" hidden="1" outlineLevel="1">
      <c r="C49" s="51" t="s">
        <v>42</v>
      </c>
      <c r="D49" s="166">
        <f>IFERROR('Tablas evol IO zona'!D49/'Tablas evol IO zona'!D62-1,"-")</f>
        <v>-0.18634001484780982</v>
      </c>
      <c r="E49" s="166" t="str">
        <f>IFERROR('Tablas evol IO zona'!E49/'Tablas evol IO zona'!E62-1,"-")</f>
        <v>-</v>
      </c>
      <c r="F49" s="166">
        <f>IFERROR('Tablas evol IO zona'!F49/'Tablas evol IO zona'!F62-1,"-")</f>
        <v>-0.18634001484780982</v>
      </c>
      <c r="G49" s="166">
        <f>IFERROR('Tablas evol IO zona'!G49/'Tablas evol IO zona'!G62-1,"-")</f>
        <v>-4.9180490591834047E-2</v>
      </c>
      <c r="H49" s="166">
        <f>IFERROR('Tablas evol IO zona'!H49/'Tablas evol IO zona'!H62-1,"-")</f>
        <v>-0.10494243483596644</v>
      </c>
      <c r="I49" s="166">
        <f>IFERROR('Tablas evol IO zona'!I49/'Tablas evol IO zona'!I62-1,"-")</f>
        <v>-7.486000149323413E-2</v>
      </c>
    </row>
    <row r="50" spans="3:9" hidden="1" outlineLevel="1">
      <c r="C50" s="51" t="s">
        <v>43</v>
      </c>
      <c r="D50" s="166">
        <f>IFERROR('Tablas evol IO zona'!D50/'Tablas evol IO zona'!D63-1,"-")</f>
        <v>0.14020156774916015</v>
      </c>
      <c r="E50" s="166" t="str">
        <f>IFERROR('Tablas evol IO zona'!E50/'Tablas evol IO zona'!E63-1,"-")</f>
        <v>-</v>
      </c>
      <c r="F50" s="166">
        <f>IFERROR('Tablas evol IO zona'!F50/'Tablas evol IO zona'!F63-1,"-")</f>
        <v>0.14020156774916015</v>
      </c>
      <c r="G50" s="166">
        <f>IFERROR('Tablas evol IO zona'!G50/'Tablas evol IO zona'!G63-1,"-")</f>
        <v>-7.7529898212994941E-2</v>
      </c>
      <c r="H50" s="166">
        <f>IFERROR('Tablas evol IO zona'!H50/'Tablas evol IO zona'!H63-1,"-")</f>
        <v>-0.10856922991970563</v>
      </c>
      <c r="I50" s="166">
        <f>IFERROR('Tablas evol IO zona'!I50/'Tablas evol IO zona'!I63-1,"-")</f>
        <v>-9.0719090399179803E-2</v>
      </c>
    </row>
    <row r="51" spans="3:9" hidden="1" outlineLevel="1">
      <c r="C51" s="51" t="s">
        <v>44</v>
      </c>
      <c r="D51" s="166">
        <f>IFERROR('Tablas evol IO zona'!D51/'Tablas evol IO zona'!D64-1,"-")</f>
        <v>0.20179372197309409</v>
      </c>
      <c r="E51" s="166" t="str">
        <f>IFERROR('Tablas evol IO zona'!E51/'Tablas evol IO zona'!E64-1,"-")</f>
        <v>-</v>
      </c>
      <c r="F51" s="166">
        <f>IFERROR('Tablas evol IO zona'!F51/'Tablas evol IO zona'!F64-1,"-")</f>
        <v>0.20179372197309409</v>
      </c>
      <c r="G51" s="166">
        <f>IFERROR('Tablas evol IO zona'!G51/'Tablas evol IO zona'!G64-1,"-")</f>
        <v>-7.7589670126598342E-2</v>
      </c>
      <c r="H51" s="166">
        <f>IFERROR('Tablas evol IO zona'!H51/'Tablas evol IO zona'!H64-1,"-")</f>
        <v>-8.7333390097681818E-2</v>
      </c>
      <c r="I51" s="166">
        <f>IFERROR('Tablas evol IO zona'!I51/'Tablas evol IO zona'!I64-1,"-")</f>
        <v>-8.1411747683396096E-2</v>
      </c>
    </row>
    <row r="52" spans="3:9" hidden="1" outlineLevel="1">
      <c r="C52" s="51" t="s">
        <v>45</v>
      </c>
      <c r="D52" s="166">
        <f>IFERROR('Tablas evol IO zona'!D52/'Tablas evol IO zona'!D65-1,"-")</f>
        <v>0.27021928790379635</v>
      </c>
      <c r="E52" s="166" t="str">
        <f>IFERROR('Tablas evol IO zona'!E52/'Tablas evol IO zona'!E65-1,"-")</f>
        <v>-</v>
      </c>
      <c r="F52" s="166">
        <f>IFERROR('Tablas evol IO zona'!F52/'Tablas evol IO zona'!F65-1,"-")</f>
        <v>0.27021928790379635</v>
      </c>
      <c r="G52" s="166">
        <f>IFERROR('Tablas evol IO zona'!G52/'Tablas evol IO zona'!G65-1,"-")</f>
        <v>-0.11339864201582606</v>
      </c>
      <c r="H52" s="166">
        <f>IFERROR('Tablas evol IO zona'!H52/'Tablas evol IO zona'!H65-1,"-")</f>
        <v>-7.1795887953440385E-2</v>
      </c>
      <c r="I52" s="166">
        <f>IFERROR('Tablas evol IO zona'!I52/'Tablas evol IO zona'!I65-1,"-")</f>
        <v>-9.5136023733904174E-2</v>
      </c>
    </row>
    <row r="53" spans="3:9" hidden="1" outlineLevel="1">
      <c r="C53" s="51" t="s">
        <v>46</v>
      </c>
      <c r="D53" s="166">
        <f>IFERROR('Tablas evol IO zona'!D53/'Tablas evol IO zona'!D66-1,"-")</f>
        <v>0.19415006358626541</v>
      </c>
      <c r="E53" s="166" t="str">
        <f>IFERROR('Tablas evol IO zona'!E53/'Tablas evol IO zona'!E66-1,"-")</f>
        <v>-</v>
      </c>
      <c r="F53" s="166">
        <f>IFERROR('Tablas evol IO zona'!F53/'Tablas evol IO zona'!F66-1,"-")</f>
        <v>0.19415006358626541</v>
      </c>
      <c r="G53" s="166">
        <f>IFERROR('Tablas evol IO zona'!G53/'Tablas evol IO zona'!G66-1,"-")</f>
        <v>-6.3330440317017289E-2</v>
      </c>
      <c r="H53" s="166">
        <f>IFERROR('Tablas evol IO zona'!H53/'Tablas evol IO zona'!H66-1,"-")</f>
        <v>-0.10122017137004513</v>
      </c>
      <c r="I53" s="166">
        <f>IFERROR('Tablas evol IO zona'!I53/'Tablas evol IO zona'!I66-1,"-")</f>
        <v>-8.0337278871136064E-2</v>
      </c>
    </row>
    <row r="54" spans="3:9" hidden="1" outlineLevel="1">
      <c r="C54" s="51" t="s">
        <v>47</v>
      </c>
      <c r="D54" s="166">
        <f>IFERROR('Tablas evol IO zona'!D54/'Tablas evol IO zona'!D67-1,"-")</f>
        <v>0.12976389663506227</v>
      </c>
      <c r="E54" s="166" t="str">
        <f>IFERROR('Tablas evol IO zona'!E54/'Tablas evol IO zona'!E67-1,"-")</f>
        <v>-</v>
      </c>
      <c r="F54" s="166">
        <f>IFERROR('Tablas evol IO zona'!F54/'Tablas evol IO zona'!F67-1,"-")</f>
        <v>0.12976389663506227</v>
      </c>
      <c r="G54" s="166">
        <f>IFERROR('Tablas evol IO zona'!G54/'Tablas evol IO zona'!G67-1,"-")</f>
        <v>-1.8179552732657811E-3</v>
      </c>
      <c r="H54" s="166">
        <f>IFERROR('Tablas evol IO zona'!H54/'Tablas evol IO zona'!H67-1,"-")</f>
        <v>-5.2454357014952713E-3</v>
      </c>
      <c r="I54" s="166">
        <f>IFERROR('Tablas evol IO zona'!I54/'Tablas evol IO zona'!I67-1,"-")</f>
        <v>-3.1740398771837874E-3</v>
      </c>
    </row>
    <row r="55" spans="3:9" hidden="1" outlineLevel="1">
      <c r="C55" s="51" t="s">
        <v>48</v>
      </c>
      <c r="D55" s="166">
        <f>IFERROR('Tablas evol IO zona'!D55/'Tablas evol IO zona'!D68-1,"-")</f>
        <v>-6.8677573278800308E-2</v>
      </c>
      <c r="E55" s="166" t="str">
        <f>IFERROR('Tablas evol IO zona'!E55/'Tablas evol IO zona'!E68-1,"-")</f>
        <v>-</v>
      </c>
      <c r="F55" s="166">
        <f>IFERROR('Tablas evol IO zona'!F55/'Tablas evol IO zona'!F68-1,"-")</f>
        <v>-6.8677573278800308E-2</v>
      </c>
      <c r="G55" s="166">
        <f>IFERROR('Tablas evol IO zona'!G55/'Tablas evol IO zona'!G68-1,"-")</f>
        <v>2.9355350128563718E-3</v>
      </c>
      <c r="H55" s="166">
        <f>IFERROR('Tablas evol IO zona'!H55/'Tablas evol IO zona'!H68-1,"-")</f>
        <v>-2.7174367393778431E-2</v>
      </c>
      <c r="I55" s="166">
        <f>IFERROR('Tablas evol IO zona'!I55/'Tablas evol IO zona'!I68-1,"-")</f>
        <v>-1.1654096319740681E-2</v>
      </c>
    </row>
    <row r="56" spans="3:9" hidden="1" outlineLevel="1">
      <c r="C56" s="51" t="s">
        <v>49</v>
      </c>
      <c r="D56" s="166">
        <f>IFERROR('Tablas evol IO zona'!D56/'Tablas evol IO zona'!D69-1,"-")</f>
        <v>0.14895155459146792</v>
      </c>
      <c r="E56" s="166" t="str">
        <f>IFERROR('Tablas evol IO zona'!E56/'Tablas evol IO zona'!E69-1,"-")</f>
        <v>-</v>
      </c>
      <c r="F56" s="166">
        <f>IFERROR('Tablas evol IO zona'!F56/'Tablas evol IO zona'!F69-1,"-")</f>
        <v>0.14895155459146792</v>
      </c>
      <c r="G56" s="166">
        <f>IFERROR('Tablas evol IO zona'!G56/'Tablas evol IO zona'!G69-1,"-")</f>
        <v>1.0119877698535396E-2</v>
      </c>
      <c r="H56" s="166">
        <f>IFERROR('Tablas evol IO zona'!H56/'Tablas evol IO zona'!H69-1,"-")</f>
        <v>-2.5133105556031543E-2</v>
      </c>
      <c r="I56" s="166">
        <f>IFERROR('Tablas evol IO zona'!I56/'Tablas evol IO zona'!I69-1,"-")</f>
        <v>-6.6156871770760572E-3</v>
      </c>
    </row>
    <row r="57" spans="3:9" collapsed="1">
      <c r="C57" s="58">
        <v>2007</v>
      </c>
      <c r="D57" s="169">
        <f>IFERROR('Tablas evol IO zona'!D57/'Tablas evol IO zona'!D70-1,"-")</f>
        <v>5.0620930200863112E-2</v>
      </c>
      <c r="E57" s="169" t="str">
        <f>IFERROR('Tablas evol IO zona'!E57/'Tablas evol IO zona'!E70-1,"-")</f>
        <v>-</v>
      </c>
      <c r="F57" s="169">
        <f>IFERROR('Tablas evol IO zona'!F57/'Tablas evol IO zona'!F70-1,"-")</f>
        <v>5.0620930200863112E-2</v>
      </c>
      <c r="G57" s="169">
        <f>IFERROR('Tablas evol IO zona'!G57/'Tablas evol IO zona'!G70-1,"-")</f>
        <v>-4.097905965887827E-2</v>
      </c>
      <c r="H57" s="169">
        <f>IFERROR('Tablas evol IO zona'!H57/'Tablas evol IO zona'!H70-1,"-")</f>
        <v>-5.7281679505599481E-2</v>
      </c>
      <c r="I57" s="169">
        <f>IFERROR('Tablas evol IO zona'!I57/'Tablas evol IO zona'!I70-1,"-")</f>
        <v>-4.782533547071699E-2</v>
      </c>
    </row>
    <row r="58" spans="3:9" ht="15" customHeight="1">
      <c r="C58" s="135" t="s">
        <v>78</v>
      </c>
      <c r="D58" s="136"/>
      <c r="E58" s="136"/>
      <c r="F58" s="136"/>
      <c r="G58" s="136"/>
      <c r="H58" s="136"/>
      <c r="I58" s="137"/>
    </row>
  </sheetData>
  <mergeCells count="5">
    <mergeCell ref="C3:I3"/>
    <mergeCell ref="C4:C5"/>
    <mergeCell ref="D4:F4"/>
    <mergeCell ref="G4:I4"/>
    <mergeCell ref="C58:I5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C2:J74"/>
  <sheetViews>
    <sheetView showGridLines="0" showRowColHeaders="0" zoomScaleNormal="100" workbookViewId="0">
      <selection activeCell="I13" sqref="I13"/>
    </sheetView>
  </sheetViews>
  <sheetFormatPr baseColWidth="10" defaultRowHeight="15" outlineLevelRow="1"/>
  <cols>
    <col min="1" max="1" width="14.28515625" style="120" customWidth="1"/>
    <col min="2" max="8" width="11.42578125" style="120"/>
    <col min="9" max="9" width="14" style="120" customWidth="1"/>
    <col min="10" max="11" width="11.42578125" style="120"/>
    <col min="12" max="12" width="14.28515625" style="120" customWidth="1"/>
    <col min="13" max="16384" width="11.42578125" style="120"/>
  </cols>
  <sheetData>
    <row r="2" spans="3:10" ht="42.75" customHeight="1"/>
    <row r="3" spans="3:10" ht="35.25" customHeight="1">
      <c r="C3" s="159" t="s">
        <v>252</v>
      </c>
      <c r="D3" s="159"/>
      <c r="E3" s="159"/>
      <c r="F3" s="159"/>
      <c r="G3" s="159"/>
      <c r="H3" s="159"/>
      <c r="I3" s="159"/>
      <c r="J3" s="159"/>
    </row>
    <row r="4" spans="3:10" ht="45" customHeight="1">
      <c r="C4" s="160"/>
      <c r="D4" s="127" t="s">
        <v>253</v>
      </c>
      <c r="E4" s="127" t="s">
        <v>113</v>
      </c>
      <c r="F4" s="127" t="s">
        <v>114</v>
      </c>
      <c r="G4" s="127" t="s">
        <v>254</v>
      </c>
      <c r="H4" s="161" t="s">
        <v>35</v>
      </c>
      <c r="I4" s="161" t="s">
        <v>116</v>
      </c>
      <c r="J4" s="162" t="s">
        <v>37</v>
      </c>
    </row>
    <row r="5" spans="3:10" hidden="1">
      <c r="C5" s="51" t="s">
        <v>38</v>
      </c>
      <c r="D5" s="339">
        <f>GETPIVOTDATA("dato",'[1]tabla dinámica IO men'!$A$96,"categoría","1*","mes",12,"año",2010)</f>
        <v>0</v>
      </c>
      <c r="E5" s="339">
        <f>GETPIVOTDATA("dato",'[1]tabla dinámica IO men'!$A$96,"categoría","2*","mes",12,"año",2010)</f>
        <v>0</v>
      </c>
      <c r="F5" s="339">
        <f>GETPIVOTDATA("dato",'[1]tabla dinámica IO men'!$A$96,"categoría","3 *","mes",12,"año",2010)</f>
        <v>0</v>
      </c>
      <c r="G5" s="339">
        <f>GETPIVOTDATA("dato",'[1]tabla dinámica IO men'!$A$96,"categoría","4* Y 5*","mes",12,"año",2010)</f>
        <v>0</v>
      </c>
      <c r="H5" s="339">
        <f>GETPIVOTDATA("dato",'[1]tabla dinámica IO men'!$A$96,"categoría","hoteleros","mes",12,"año",2010)</f>
        <v>0</v>
      </c>
      <c r="I5" s="339"/>
      <c r="J5" s="339">
        <f>GETPIVOTDATA("dato",'[1]tabla dinámica IO men'!$A$96,"categoría","total","mes",12,"año",2010)</f>
        <v>0</v>
      </c>
    </row>
    <row r="6" spans="3:10" hidden="1">
      <c r="C6" s="51" t="s">
        <v>39</v>
      </c>
      <c r="D6" s="339">
        <f>GETPIVOTDATA("dato",'[1]tabla dinámica IO men'!$A$96,"categoría","1*","mes",11,"año",2010)</f>
        <v>0</v>
      </c>
      <c r="E6" s="339">
        <f>GETPIVOTDATA("dato",'[1]tabla dinámica IO men'!$A$96,"categoría","2*","mes",11,"año",2010)</f>
        <v>0</v>
      </c>
      <c r="F6" s="339">
        <f>GETPIVOTDATA("dato",'[1]tabla dinámica IO men'!$A$96,"categoría","3 *","mes",11,"año",2010)</f>
        <v>0</v>
      </c>
      <c r="G6" s="339">
        <f>GETPIVOTDATA("dato",'[1]tabla dinámica IO men'!$A$96,"categoría","4* Y 5*","mes",11,"año",2010)</f>
        <v>0</v>
      </c>
      <c r="H6" s="339">
        <f>GETPIVOTDATA("dato",'[1]tabla dinámica IO men'!$A$96,"categoría","hoteleros","mes",11,"año",2010)</f>
        <v>0</v>
      </c>
      <c r="I6" s="339"/>
      <c r="J6" s="339">
        <f>GETPIVOTDATA("dato",'[1]tabla dinámica IO men'!$A$96,"categoría","total","mes",11,"año",2010)</f>
        <v>0</v>
      </c>
    </row>
    <row r="7" spans="3:10" hidden="1">
      <c r="C7" s="51" t="s">
        <v>40</v>
      </c>
      <c r="D7" s="339">
        <f>GETPIVOTDATA("dato",'[1]tabla dinámica IO men'!$A$96,"categoría","1*","mes",10,"año",2010)</f>
        <v>0</v>
      </c>
      <c r="E7" s="339">
        <f>GETPIVOTDATA("dato",'[1]tabla dinámica IO men'!$A$96,"categoría","2*","mes",10,"año",2010)</f>
        <v>0</v>
      </c>
      <c r="F7" s="339">
        <f>GETPIVOTDATA("dato",'[1]tabla dinámica IO men'!$A$96,"categoría","3 *","mes",10,"año",2010)</f>
        <v>0</v>
      </c>
      <c r="G7" s="339">
        <f>GETPIVOTDATA("dato",'[1]tabla dinámica IO men'!$A$96,"categoría","4* Y 5*","mes",10,"año",2010)</f>
        <v>0</v>
      </c>
      <c r="H7" s="339">
        <f>GETPIVOTDATA("dato",'[1]tabla dinámica IO men'!$A$96,"categoría","hoteleros","mes",10,"año",2010)</f>
        <v>0</v>
      </c>
      <c r="I7" s="339"/>
      <c r="J7" s="339">
        <f>GETPIVOTDATA("dato",'[1]tabla dinámica IO men'!$A$96,"categoría","total","mes",10,"año",2010)</f>
        <v>0</v>
      </c>
    </row>
    <row r="8" spans="3:10" hidden="1">
      <c r="C8" s="51" t="s">
        <v>41</v>
      </c>
      <c r="D8" s="339">
        <f>GETPIVOTDATA("dato",'[1]tabla dinámica IO men'!$A$96,"categoría","1*","mes",9,"año",2010)</f>
        <v>0</v>
      </c>
      <c r="E8" s="339">
        <f>GETPIVOTDATA("dato",'[1]tabla dinámica IO men'!$A$96,"categoría","2*","mes",9,"año",2010)</f>
        <v>0</v>
      </c>
      <c r="F8" s="339">
        <f>GETPIVOTDATA("dato",'[1]tabla dinámica IO men'!$A$96,"categoría","3 *","mes",9,"año",2010)</f>
        <v>0</v>
      </c>
      <c r="G8" s="339">
        <f>GETPIVOTDATA("dato",'[1]tabla dinámica IO men'!$A$96,"categoría","4* Y 5*","mes",9,"año",2010)</f>
        <v>0</v>
      </c>
      <c r="H8" s="339">
        <f>GETPIVOTDATA("dato",'[1]tabla dinámica IO men'!$A$96,"categoría","hoteleros","mes",9,"año",2010)</f>
        <v>0</v>
      </c>
      <c r="I8" s="339"/>
      <c r="J8" s="339">
        <f>GETPIVOTDATA("dato",'[1]tabla dinámica IO men'!$A$96,"categoría","total","mes",9,"año",2010)</f>
        <v>0</v>
      </c>
    </row>
    <row r="9" spans="3:10" hidden="1">
      <c r="C9" s="51" t="s">
        <v>42</v>
      </c>
      <c r="D9" s="339">
        <f>GETPIVOTDATA("dato",'[1]tabla dinámica IO men'!$A$96,"categoría","1*","mes",8,"año",2010)</f>
        <v>0</v>
      </c>
      <c r="E9" s="339">
        <f>GETPIVOTDATA("dato",'[1]tabla dinámica IO men'!$A$96,"categoría","2*","mes",8,"año",2010)</f>
        <v>0</v>
      </c>
      <c r="F9" s="339">
        <f>GETPIVOTDATA("dato",'[1]tabla dinámica IO men'!$A$96,"categoría","3 *","mes",8,"año",2010)</f>
        <v>0</v>
      </c>
      <c r="G9" s="339">
        <f>GETPIVOTDATA("dato",'[1]tabla dinámica IO men'!$A$96,"categoría","4* Y 5*","mes",8,"año",2010)</f>
        <v>0</v>
      </c>
      <c r="H9" s="339">
        <f>GETPIVOTDATA("dato",'[1]tabla dinámica IO men'!$A$96,"categoría","hoteleros","mes",8,"año",2010)</f>
        <v>0</v>
      </c>
      <c r="I9" s="339"/>
      <c r="J9" s="339">
        <f>GETPIVOTDATA("dato",'[1]tabla dinámica IO men'!$A$96,"categoría","total","mes",8,"año",2010)</f>
        <v>0</v>
      </c>
    </row>
    <row r="10" spans="3:10">
      <c r="C10" s="51" t="s">
        <v>43</v>
      </c>
      <c r="D10" s="339">
        <f>GETPIVOTDATA("dato",'[1]tabla dinámica IO men'!$A$96,"categoría","1*","mes",7,"año",2010)</f>
        <v>36</v>
      </c>
      <c r="E10" s="339">
        <f>GETPIVOTDATA("dato",'[1]tabla dinámica IO men'!$A$96,"categoría","2*","mes",7,"año",2010)</f>
        <v>34.708528764238537</v>
      </c>
      <c r="F10" s="339">
        <f>GETPIVOTDATA("dato",'[1]tabla dinámica IO men'!$A$96,"categoría","3 *","mes",7,"año",2010)</f>
        <v>37.302558398220242</v>
      </c>
      <c r="G10" s="339">
        <f>GETPIVOTDATA("dato",'[1]tabla dinámica IO men'!$A$96,"categoría","4* Y 5*","mes",7,"año",2010)</f>
        <v>44.12</v>
      </c>
      <c r="H10" s="339">
        <f>GETPIVOTDATA("dato",'[1]tabla dinámica IO men'!$A$96,"categoría","hoteleros","mes",7,"año",2010)</f>
        <v>38</v>
      </c>
      <c r="I10" s="339"/>
      <c r="J10" s="339">
        <f>GETPIVOTDATA("dato",'[1]tabla dinámica IO men'!$A$96,"categoría","total","mes",7,"año",2010)</f>
        <v>38</v>
      </c>
    </row>
    <row r="11" spans="3:10">
      <c r="C11" s="51" t="s">
        <v>44</v>
      </c>
      <c r="D11" s="339">
        <f>GETPIVOTDATA("dato",'[1]tabla dinámica IO men'!$A$96,"categoría","1*","mes",6,"año",2010)</f>
        <v>38.68333333333333</v>
      </c>
      <c r="E11" s="339">
        <f>GETPIVOTDATA("dato",'[1]tabla dinámica IO men'!$A$96,"categoría","2*","mes",6,"año",2010)</f>
        <v>44.37190900098912</v>
      </c>
      <c r="F11" s="339">
        <f>GETPIVOTDATA("dato",'[1]tabla dinámica IO men'!$A$96,"categoría","3 *","mes",6,"año",2010)</f>
        <v>49.126436781609193</v>
      </c>
      <c r="G11" s="339">
        <f>GETPIVOTDATA("dato",'[1]tabla dinámica IO men'!$A$96,"categoría","4* Y 5*","mes",6,"año",2010)</f>
        <v>19.96</v>
      </c>
      <c r="H11" s="339">
        <f>GETPIVOTDATA("dato",'[1]tabla dinámica IO men'!$A$96,"categoría","hoteleros","mes",6,"año",2010)</f>
        <v>34.78</v>
      </c>
      <c r="I11" s="339"/>
      <c r="J11" s="339">
        <f>GETPIVOTDATA("dato",'[1]tabla dinámica IO men'!$A$96,"categoría","total","mes",6,"año",2010)</f>
        <v>34.78</v>
      </c>
    </row>
    <row r="12" spans="3:10">
      <c r="C12" s="51" t="s">
        <v>45</v>
      </c>
      <c r="D12" s="339">
        <f>GETPIVOTDATA("dato",'[1]tabla dinámica IO men'!$A$96,"categoría","1*","mes",5,"año",2010)</f>
        <v>35.274193548387096</v>
      </c>
      <c r="E12" s="339">
        <f>GETPIVOTDATA("dato",'[1]tabla dinámica IO men'!$A$96,"categoría","2*","mes",5,"año",2010)</f>
        <v>39.709964583133917</v>
      </c>
      <c r="F12" s="339">
        <f>GETPIVOTDATA("dato",'[1]tabla dinámica IO men'!$A$96,"categoría","3 *","mes",5,"año",2010)</f>
        <v>43.559510567296996</v>
      </c>
      <c r="G12" s="339">
        <f>GETPIVOTDATA("dato",'[1]tabla dinámica IO men'!$A$96,"categoría","4* Y 5*","mes",5,"año",2010)</f>
        <v>21.50537634408602</v>
      </c>
      <c r="H12" s="339">
        <f>GETPIVOTDATA("dato",'[1]tabla dinámica IO men'!$A$96,"categoría","hoteleros","mes",5,"año",2010)</f>
        <v>32.613624652169435</v>
      </c>
      <c r="I12" s="339"/>
      <c r="J12" s="339">
        <f>GETPIVOTDATA("dato",'[1]tabla dinámica IO men'!$A$96,"categoría","total","mes",5,"año",2010)</f>
        <v>32.613624652169435</v>
      </c>
    </row>
    <row r="13" spans="3:10">
      <c r="C13" s="51" t="s">
        <v>46</v>
      </c>
      <c r="D13" s="339">
        <f>GETPIVOTDATA("dato",'[1]tabla dinámica IO men'!$A$96,"categoría","1*","mes",4,"año",2010)</f>
        <v>36.333333333333336</v>
      </c>
      <c r="E13" s="339">
        <f>GETPIVOTDATA("dato",'[1]tabla dinámica IO men'!$A$96,"categoría","2*","mes",4,"año",2010)</f>
        <v>41.765578635014833</v>
      </c>
      <c r="F13" s="339">
        <f>GETPIVOTDATA("dato",'[1]tabla dinámica IO men'!$A$96,"categoría","3 *","mes",4,"año",2010)</f>
        <v>52.143678160919542</v>
      </c>
      <c r="G13" s="339">
        <f>GETPIVOTDATA("dato",'[1]tabla dinámica IO men'!$A$96,"categoría","4* Y 5*","mes",4,"año",2010)</f>
        <v>24.926984126984127</v>
      </c>
      <c r="H13" s="339">
        <f>GETPIVOTDATA("dato",'[1]tabla dinámica IO men'!$A$96,"categoría","hoteleros","mes",4,"año",2010)</f>
        <v>36.674653887113948</v>
      </c>
      <c r="I13" s="339"/>
      <c r="J13" s="339">
        <f>GETPIVOTDATA("dato",'[1]tabla dinámica IO men'!$A$96,"categoría","total","mes",4,"año",2010)</f>
        <v>36.674653887113948</v>
      </c>
    </row>
    <row r="14" spans="3:10">
      <c r="C14" s="51" t="s">
        <v>47</v>
      </c>
      <c r="D14" s="339">
        <f>GETPIVOTDATA("dato",'[1]tabla dinámica IO men'!$A$96,"categoría","1*","mes",3,"año",2010)</f>
        <v>42.274193548387096</v>
      </c>
      <c r="E14" s="339">
        <f>GETPIVOTDATA("dato",'[1]tabla dinámica IO men'!$A$96,"categoría","2*","mes",3,"año",2010)</f>
        <v>41.212788360294823</v>
      </c>
      <c r="F14" s="339">
        <f>GETPIVOTDATA("dato",'[1]tabla dinámica IO men'!$A$96,"categoría","3 *","mes",3,"año",2010)</f>
        <v>47.169076751946605</v>
      </c>
      <c r="G14" s="339">
        <f>GETPIVOTDATA("dato",'[1]tabla dinámica IO men'!$A$96,"categoría","4* Y 5*","mes",3,"año",2010)</f>
        <v>26.887864823348693</v>
      </c>
      <c r="H14" s="339">
        <f>GETPIVOTDATA("dato",'[1]tabla dinámica IO men'!$A$96,"categoría","hoteleros","mes",3,"año",2010)</f>
        <v>36.670359682572403</v>
      </c>
      <c r="I14" s="339"/>
      <c r="J14" s="339">
        <f>GETPIVOTDATA("dato",'[1]tabla dinámica IO men'!$A$96,"categoría","total","mes",3,"año",2010)</f>
        <v>36.670359682572403</v>
      </c>
    </row>
    <row r="15" spans="3:10">
      <c r="C15" s="51" t="s">
        <v>48</v>
      </c>
      <c r="D15" s="339">
        <f>GETPIVOTDATA("dato",'[1]tabla dinámica IO men'!$A$96,"categoría","1*","mes",2,"año",2010)</f>
        <v>73.209999999999994</v>
      </c>
      <c r="E15" s="339">
        <f>GETPIVOTDATA("dato",'[1]tabla dinámica IO men'!$A$96,"categoría","2*","mes",2,"año",2010)</f>
        <v>61.85</v>
      </c>
      <c r="F15" s="339">
        <f>GETPIVOTDATA("dato",'[1]tabla dinámica IO men'!$A$96,"categoría","3 *","mes",2,"año",2010)</f>
        <v>58.94</v>
      </c>
      <c r="G15" s="339">
        <f>GETPIVOTDATA("dato",'[1]tabla dinámica IO men'!$A$96,"categoría","4* Y 5*","mes",2,"año",2010)</f>
        <v>31.585034013605441</v>
      </c>
      <c r="H15" s="339">
        <f>GETPIVOTDATA("dato",'[1]tabla dinámica IO men'!$A$96,"categoría","hoteleros","mes",2,"año",2010)</f>
        <v>49.39</v>
      </c>
      <c r="I15" s="339"/>
      <c r="J15" s="339">
        <f>GETPIVOTDATA("dato",'[1]tabla dinámica IO men'!$A$96,"categoría","total","mes",2,"año",2010)</f>
        <v>49.39</v>
      </c>
    </row>
    <row r="16" spans="3:10">
      <c r="C16" s="51" t="s">
        <v>49</v>
      </c>
      <c r="D16" s="339">
        <f>GETPIVOTDATA("dato",'[1]tabla dinámica IO men'!$A$96,"categoría","1*","mes",1,"año",2010)</f>
        <v>41.16</v>
      </c>
      <c r="E16" s="339">
        <f>GETPIVOTDATA("dato",'[1]tabla dinámica IO men'!$A$96,"categoría","2*","mes",1,"año",2010)</f>
        <v>40.799999999999997</v>
      </c>
      <c r="F16" s="339">
        <f>GETPIVOTDATA("dato",'[1]tabla dinámica IO men'!$A$96,"categoría","3 *","mes",1,"año",2010)</f>
        <v>47.01</v>
      </c>
      <c r="G16" s="339">
        <f>GETPIVOTDATA("dato",'[1]tabla dinámica IO men'!$A$96,"categoría","4* Y 5*","mes",1,"año",2010)</f>
        <v>28.003072196620582</v>
      </c>
      <c r="H16" s="339">
        <f>GETPIVOTDATA("dato",'[1]tabla dinámica IO men'!$A$96,"categoría","hoteleros","mes",1,"año",2010)</f>
        <v>36.9</v>
      </c>
      <c r="I16" s="339"/>
      <c r="J16" s="339">
        <f>GETPIVOTDATA("dato",'[1]tabla dinámica IO men'!$A$96,"categoría","total","mes",1,"año",2010)</f>
        <v>36.9</v>
      </c>
    </row>
    <row r="17" spans="3:10" ht="30">
      <c r="C17" s="69" t="s">
        <v>55</v>
      </c>
      <c r="D17" s="340">
        <f>'[1]tabla dinámica municipios'!$L$392*100</f>
        <v>42.908018867924532</v>
      </c>
      <c r="E17" s="340">
        <f>'[1]tabla dinámica municipios'!$N$392*100</f>
        <v>43.23316163708639</v>
      </c>
      <c r="F17" s="340">
        <f>'[1]tabla dinámica municipios'!$O$392*100</f>
        <v>47.711450878334418</v>
      </c>
      <c r="G17" s="340">
        <f>'[1]tabla dinámica municipios'!$Q$392*100</f>
        <v>26.802316237526359</v>
      </c>
      <c r="H17" s="340">
        <f>'[1]tabla dinámica municipios'!$T$392*100</f>
        <v>37.709338935825123</v>
      </c>
      <c r="I17" s="340"/>
      <c r="J17" s="340">
        <f>'[1]tabla dinámica municipios'!$U$392*100</f>
        <v>37.709338935825123</v>
      </c>
    </row>
    <row r="18" spans="3:10" hidden="1" outlineLevel="1">
      <c r="C18" s="51" t="s">
        <v>38</v>
      </c>
      <c r="D18" s="339">
        <f>GETPIVOTDATA("dato",'[1]tabla dinámica IO men'!$A$96,"categoría","1*","mes",12,"año",2009)</f>
        <v>44.467741935483872</v>
      </c>
      <c r="E18" s="339">
        <f>GETPIVOTDATA("dato",'[1]tabla dinámica IO men'!$A$96,"categoría","2*","mes",12,"año",2009)</f>
        <v>47.961137168565138</v>
      </c>
      <c r="F18" s="339">
        <f>GETPIVOTDATA("dato",'[1]tabla dinámica IO men'!$A$96,"categoría","3 *","mes",12,"año",2009)</f>
        <v>49.132369299221359</v>
      </c>
      <c r="G18" s="339">
        <f>GETPIVOTDATA("dato",'[1]tabla dinámica IO men'!$A$96,"categoría","4* Y 5*","mes",12,"año",2009)</f>
        <v>44.436251920122885</v>
      </c>
      <c r="H18" s="339">
        <f>GETPIVOTDATA("dato",'[1]tabla dinámica IO men'!$A$96,"categoría","hoteleros","mes",12,"año",2009)</f>
        <v>46.475316912295163</v>
      </c>
      <c r="I18" s="339"/>
      <c r="J18" s="339">
        <f>GETPIVOTDATA("dato",'[1]tabla dinámica IO men'!$A$96,"categoría","total","mes",12,"año",2009)</f>
        <v>46.475316912295163</v>
      </c>
    </row>
    <row r="19" spans="3:10" hidden="1" outlineLevel="1">
      <c r="C19" s="51" t="s">
        <v>39</v>
      </c>
      <c r="D19" s="339">
        <f>GETPIVOTDATA("dato",'[1]tabla dinámica IO men'!$A$96,"categoría","1*","mes",11,"año",2009)</f>
        <v>44.016666666666666</v>
      </c>
      <c r="E19" s="339">
        <f>GETPIVOTDATA("dato",'[1]tabla dinámica IO men'!$A$96,"categoría","2*","mes",11,"año",2009)</f>
        <v>44.500494559841741</v>
      </c>
      <c r="F19" s="339">
        <f>GETPIVOTDATA("dato",'[1]tabla dinámica IO men'!$A$96,"categoría","3 *","mes",11,"año",2009)</f>
        <v>47.080459770114942</v>
      </c>
      <c r="G19" s="339">
        <f>GETPIVOTDATA("dato",'[1]tabla dinámica IO men'!$A$96,"categoría","4* Y 5*","mes",11,"año",2009)</f>
        <v>24.993650793650794</v>
      </c>
      <c r="H19" s="339">
        <f>GETPIVOTDATA("dato",'[1]tabla dinámica IO men'!$A$96,"categoría","hoteleros","mes",11,"año",2009)</f>
        <v>36.879659211927581</v>
      </c>
      <c r="I19" s="339"/>
      <c r="J19" s="339">
        <f>GETPIVOTDATA("dato",'[1]tabla dinámica IO men'!$A$96,"categoría","total","mes",11,"año",2009)</f>
        <v>36.879659211927581</v>
      </c>
    </row>
    <row r="20" spans="3:10" hidden="1" outlineLevel="1">
      <c r="C20" s="51" t="s">
        <v>40</v>
      </c>
      <c r="D20" s="339">
        <f>GETPIVOTDATA("dato",'[1]tabla dinámica IO men'!$A$96,"categoría","1*","mes",10,"año",2009)</f>
        <v>42.854838709677416</v>
      </c>
      <c r="E20" s="339">
        <f>GETPIVOTDATA("dato",'[1]tabla dinámica IO men'!$A$96,"categoría","2*","mes",10,"año",2009)</f>
        <v>41.10270891164928</v>
      </c>
      <c r="F20" s="339">
        <f>GETPIVOTDATA("dato",'[1]tabla dinámica IO men'!$A$96,"categoría","3 *","mes",10,"año",2009)</f>
        <v>47.847608453837594</v>
      </c>
      <c r="G20" s="339">
        <f>GETPIVOTDATA("dato",'[1]tabla dinámica IO men'!$A$96,"categoría","4* Y 5*","mes",10,"año",2009)</f>
        <v>28.02457757296467</v>
      </c>
      <c r="H20" s="339">
        <f>GETPIVOTDATA("dato",'[1]tabla dinámica IO men'!$A$96,"categoría","hoteleros","mes",10,"año",2009)</f>
        <v>37.320931670617334</v>
      </c>
      <c r="I20" s="339"/>
      <c r="J20" s="339">
        <f>GETPIVOTDATA("dato",'[1]tabla dinámica IO men'!$A$96,"categoría","total","mes",10,"año",2009)</f>
        <v>37.320931670617334</v>
      </c>
    </row>
    <row r="21" spans="3:10" hidden="1" outlineLevel="1">
      <c r="C21" s="51" t="s">
        <v>41</v>
      </c>
      <c r="D21" s="339">
        <f>GETPIVOTDATA("dato",'[1]tabla dinámica IO men'!$A$96,"categoría","1*","mes",9,"año",2009)</f>
        <v>43.53</v>
      </c>
      <c r="E21" s="339">
        <f>GETPIVOTDATA("dato",'[1]tabla dinámica IO men'!$A$96,"categoría","2*","mes",9,"año",2009)</f>
        <v>33.97</v>
      </c>
      <c r="F21" s="339">
        <f>GETPIVOTDATA("dato",'[1]tabla dinámica IO men'!$A$96,"categoría","3 *","mes",9,"año",2009)</f>
        <v>46.82</v>
      </c>
      <c r="G21" s="339">
        <f>GETPIVOTDATA("dato",'[1]tabla dinámica IO men'!$A$96,"categoría","4* Y 5*","mes",9,"año",2009)</f>
        <v>26.139682539682539</v>
      </c>
      <c r="H21" s="339">
        <f>GETPIVOTDATA("dato",'[1]tabla dinámica IO men'!$A$96,"categoría","hoteleros","mes",9,"año",2009)</f>
        <v>34.43</v>
      </c>
      <c r="I21" s="339"/>
      <c r="J21" s="339">
        <f>GETPIVOTDATA("dato",'[1]tabla dinámica IO men'!$A$96,"categoría","total","mes",9,"año",2009)</f>
        <v>34.43</v>
      </c>
    </row>
    <row r="22" spans="3:10" hidden="1" outlineLevel="1">
      <c r="C22" s="51" t="s">
        <v>42</v>
      </c>
      <c r="D22" s="339">
        <f>GETPIVOTDATA("dato",'[1]tabla dinámica IO men'!$A$96,"categoría","1*","mes",8,"año",2009)</f>
        <v>40.479999999999997</v>
      </c>
      <c r="E22" s="339">
        <f>GETPIVOTDATA("dato",'[1]tabla dinámica IO men'!$A$96,"categoría","2*","mes",8,"año",2009)</f>
        <v>28.69</v>
      </c>
      <c r="F22" s="339">
        <f>GETPIVOTDATA("dato",'[1]tabla dinámica IO men'!$A$96,"categoría","3 *","mes",8,"año",2009)</f>
        <v>32.409999999999997</v>
      </c>
      <c r="G22" s="339">
        <f>GETPIVOTDATA("dato",'[1]tabla dinámica IO men'!$A$96,"categoría","4* Y 5*","mes",8,"año",2009)</f>
        <v>21.662058371735792</v>
      </c>
      <c r="H22" s="339">
        <f>GETPIVOTDATA("dato",'[1]tabla dinámica IO men'!$A$96,"categoría","hoteleros","mes",8,"año",2009)</f>
        <v>27.55</v>
      </c>
      <c r="I22" s="339"/>
      <c r="J22" s="339">
        <f>GETPIVOTDATA("dato",'[1]tabla dinámica IO men'!$A$96,"categoría","total","mes",8,"año",2009)</f>
        <v>27.55</v>
      </c>
    </row>
    <row r="23" spans="3:10" hidden="1" outlineLevel="1">
      <c r="C23" s="51" t="s">
        <v>43</v>
      </c>
      <c r="D23" s="339">
        <f>GETPIVOTDATA("dato",'[1]tabla dinámica IO men'!$A$96,"categoría","1*","mes",7,"año",2009)</f>
        <v>39.979999999999997</v>
      </c>
      <c r="E23" s="339">
        <f>GETPIVOTDATA("dato",'[1]tabla dinámica IO men'!$A$96,"categoría","2*","mes",7,"año",2009)</f>
        <v>42.65</v>
      </c>
      <c r="F23" s="339">
        <f>GETPIVOTDATA("dato",'[1]tabla dinámica IO men'!$A$96,"categoría","3 *","mes",7,"año",2009)</f>
        <v>43.92</v>
      </c>
      <c r="G23" s="339">
        <f>GETPIVOTDATA("dato",'[1]tabla dinámica IO men'!$A$96,"categoría","4* Y 5*","mes",7,"año",2009)</f>
        <v>24.49462365591398</v>
      </c>
      <c r="H23" s="339">
        <f>GETPIVOTDATA("dato",'[1]tabla dinámica IO men'!$A$96,"categoría","hoteleros","mes",7,"año",2009)</f>
        <v>35.119999999999997</v>
      </c>
      <c r="I23" s="339"/>
      <c r="J23" s="339">
        <f>GETPIVOTDATA("dato",'[1]tabla dinámica IO men'!$A$96,"categoría","total","mes",7,"año",2009)</f>
        <v>35.119999999999997</v>
      </c>
    </row>
    <row r="24" spans="3:10" hidden="1" outlineLevel="1">
      <c r="C24" s="51" t="s">
        <v>44</v>
      </c>
      <c r="D24" s="339">
        <f>GETPIVOTDATA("dato",'[1]tabla dinámica IO men'!$A$96,"categoría","1*","mes",6,"año",2009)</f>
        <v>39.794419970631424</v>
      </c>
      <c r="E24" s="339">
        <f>GETPIVOTDATA("dato",'[1]tabla dinámica IO men'!$A$96,"categoría","2*","mes",6,"año",2009)</f>
        <v>42.067260138476755</v>
      </c>
      <c r="F24" s="339">
        <f>GETPIVOTDATA("dato",'[1]tabla dinámica IO men'!$A$96,"categoría","3 *","mes",6,"año",2009)</f>
        <v>42.132183908045974</v>
      </c>
      <c r="G24" s="339">
        <f>GETPIVOTDATA("dato",'[1]tabla dinámica IO men'!$A$96,"categoría","4* Y 5*","mes",6,"año",2009)</f>
        <v>30.333333333333332</v>
      </c>
      <c r="H24" s="339">
        <f>GETPIVOTDATA("dato",'[1]tabla dinámica IO men'!$A$96,"categoría","hoteleros","mes",6,"año",2009)</f>
        <v>37.010404319768206</v>
      </c>
      <c r="I24" s="339"/>
      <c r="J24" s="339">
        <f>GETPIVOTDATA("dato",'[1]tabla dinámica IO men'!$A$96,"categoría","total","mes",6,"año",2009)</f>
        <v>37.010404319768206</v>
      </c>
    </row>
    <row r="25" spans="3:10" hidden="1" outlineLevel="1">
      <c r="C25" s="51" t="s">
        <v>45</v>
      </c>
      <c r="D25" s="339">
        <f>GETPIVOTDATA("dato",'[1]tabla dinámica IO men'!$A$96,"categoría","1*","mes",5,"año",2009)</f>
        <v>36.83</v>
      </c>
      <c r="E25" s="339">
        <f>GETPIVOTDATA("dato",'[1]tabla dinámica IO men'!$A$96,"categoría","2*","mes",5,"año",2009)</f>
        <v>48.23</v>
      </c>
      <c r="F25" s="339">
        <f>GETPIVOTDATA("dato",'[1]tabla dinámica IO men'!$A$96,"categoría","3 *","mes",5,"año",2009)</f>
        <v>47.11</v>
      </c>
      <c r="G25" s="339">
        <f>GETPIVOTDATA("dato",'[1]tabla dinámica IO men'!$A$96,"categoría","4* Y 5*","mes",5,"año",2009)</f>
        <v>27.652841781874042</v>
      </c>
      <c r="H25" s="339">
        <f>GETPIVOTDATA("dato",'[1]tabla dinámica IO men'!$A$96,"categoría","hoteleros","mes",5,"año",2009)</f>
        <v>38.42</v>
      </c>
      <c r="I25" s="339"/>
      <c r="J25" s="339">
        <f>GETPIVOTDATA("dato",'[1]tabla dinámica IO men'!$A$96,"categoría","total","mes",5,"año",2009)</f>
        <v>38.42</v>
      </c>
    </row>
    <row r="26" spans="3:10" hidden="1" outlineLevel="1">
      <c r="C26" s="51" t="s">
        <v>46</v>
      </c>
      <c r="D26" s="339">
        <f>GETPIVOTDATA("dato",'[1]tabla dinámica IO men'!$A$96,"categoría","1*","mes",4,"año",2009)</f>
        <v>41.01</v>
      </c>
      <c r="E26" s="339">
        <f>GETPIVOTDATA("dato",'[1]tabla dinámica IO men'!$A$96,"categoría","2*","mes",4,"año",2009)</f>
        <v>49.83</v>
      </c>
      <c r="F26" s="339">
        <f>GETPIVOTDATA("dato",'[1]tabla dinámica IO men'!$A$96,"categoría","3 *","mes",4,"año",2009)</f>
        <v>45.44</v>
      </c>
      <c r="G26" s="339">
        <f>GETPIVOTDATA("dato",'[1]tabla dinámica IO men'!$A$96,"categoría","4* Y 5*","mes",4,"año",2009)</f>
        <v>28.768253968253969</v>
      </c>
      <c r="H26" s="339">
        <f>GETPIVOTDATA("dato",'[1]tabla dinámica IO men'!$A$96,"categoría","hoteleros","mes",4,"año",2009)</f>
        <v>39.299999999999997</v>
      </c>
      <c r="I26" s="339"/>
      <c r="J26" s="339">
        <f>GETPIVOTDATA("dato",'[1]tabla dinámica IO men'!$A$96,"categoría","total","mes",4,"año",2009)</f>
        <v>39.299999999999997</v>
      </c>
    </row>
    <row r="27" spans="3:10" hidden="1" outlineLevel="1">
      <c r="C27" s="51" t="s">
        <v>47</v>
      </c>
      <c r="D27" s="339">
        <f>GETPIVOTDATA("dato",'[1]tabla dinámica IO men'!$A$96,"categoría","1*","mes",3,"año",2009)</f>
        <v>44.27</v>
      </c>
      <c r="E27" s="339">
        <f>GETPIVOTDATA("dato",'[1]tabla dinámica IO men'!$A$96,"categoría","2*","mes",3,"año",2009)</f>
        <v>68.55</v>
      </c>
      <c r="F27" s="339">
        <f>GETPIVOTDATA("dato",'[1]tabla dinámica IO men'!$A$96,"categoría","3 *","mes",3,"año",2009)</f>
        <v>51.94</v>
      </c>
      <c r="G27" s="339">
        <f>GETPIVOTDATA("dato",'[1]tabla dinámica IO men'!$A$96,"categoría","4* Y 5*","mes",3,"año",2009)</f>
        <v>30.38095238095238</v>
      </c>
      <c r="H27" s="339">
        <f>GETPIVOTDATA("dato",'[1]tabla dinámica IO men'!$A$96,"categoría","hoteleros","mes",3,"año",2009)</f>
        <v>46.73</v>
      </c>
      <c r="I27" s="339"/>
      <c r="J27" s="339">
        <f>GETPIVOTDATA("dato",'[1]tabla dinámica IO men'!$A$96,"categoría","total","mes",3,"año",2009)</f>
        <v>46.73</v>
      </c>
    </row>
    <row r="28" spans="3:10" hidden="1" outlineLevel="1">
      <c r="C28" s="51" t="s">
        <v>48</v>
      </c>
      <c r="D28" s="339">
        <f>GETPIVOTDATA("dato",'[1]tabla dinámica IO men'!$A$96,"categoría","1*","mes",2,"año",2009)</f>
        <v>53.51</v>
      </c>
      <c r="E28" s="339">
        <f>GETPIVOTDATA("dato",'[1]tabla dinámica IO men'!$A$96,"categoría","2*","mes",2,"año",2009)</f>
        <v>63.95</v>
      </c>
      <c r="F28" s="339">
        <f>GETPIVOTDATA("dato",'[1]tabla dinámica IO men'!$A$96,"categoría","3 *","mes",2,"año",2009)</f>
        <v>57.16</v>
      </c>
      <c r="G28" s="339">
        <f>GETPIVOTDATA("dato",'[1]tabla dinámica IO men'!$A$96,"categoría","4* Y 5*","mes",2,"año",2009)</f>
        <v>49.391156462585037</v>
      </c>
      <c r="H28" s="339">
        <f>GETPIVOTDATA("dato",'[1]tabla dinámica IO men'!$A$96,"categoría","hoteleros","mes",2,"año",2009)</f>
        <v>55.42</v>
      </c>
      <c r="I28" s="339"/>
      <c r="J28" s="339">
        <f>GETPIVOTDATA("dato",'[1]tabla dinámica IO men'!$A$96,"categoría","total","mes",2,"año",2009)</f>
        <v>55.42</v>
      </c>
    </row>
    <row r="29" spans="3:10" hidden="1" outlineLevel="1">
      <c r="C29" s="51" t="s">
        <v>49</v>
      </c>
      <c r="D29" s="339">
        <f>GETPIVOTDATA("dato",'[1]tabla dinámica IO men'!$A$96,"categoría","1*","mes",1,"año",2009)</f>
        <v>39.29</v>
      </c>
      <c r="E29" s="339">
        <f>GETPIVOTDATA("dato",'[1]tabla dinámica IO men'!$A$96,"categoría","2*","mes",1,"año",2009)</f>
        <v>54.8</v>
      </c>
      <c r="F29" s="339">
        <f>GETPIVOTDATA("dato",'[1]tabla dinámica IO men'!$A$96,"categoría","3 *","mes",1,"año",2009)</f>
        <v>39.75</v>
      </c>
      <c r="G29" s="339">
        <f>GETPIVOTDATA("dato",'[1]tabla dinámica IO men'!$A$96,"categoría","4* Y 5*","mes",1,"año",2009)</f>
        <v>35.689708141321042</v>
      </c>
      <c r="H29" s="339">
        <f>GETPIVOTDATA("dato",'[1]tabla dinámica IO men'!$A$96,"categoría","hoteleros","mes",1,"año",2009)</f>
        <v>42.03</v>
      </c>
      <c r="I29" s="339"/>
      <c r="J29" s="339">
        <f>GETPIVOTDATA("dato",'[1]tabla dinámica IO men'!$A$96,"categoría","total","mes",1,"año",2009)</f>
        <v>42.03</v>
      </c>
    </row>
    <row r="30" spans="3:10" collapsed="1">
      <c r="C30" s="56">
        <v>2009</v>
      </c>
      <c r="D30" s="342">
        <f>'[1]tabla dinámica IO men'!E504</f>
        <v>42.410158306264201</v>
      </c>
      <c r="E30" s="342">
        <f>'[1]tabla dinámica IO men'!E505</f>
        <v>47.104589244339664</v>
      </c>
      <c r="F30" s="342">
        <f>'[1]tabla dinámica IO men'!E506</f>
        <v>45.807746811525746</v>
      </c>
      <c r="G30" s="342">
        <f>'[1]tabla dinámica IO men'!E507</f>
        <v>30.88375733855186</v>
      </c>
      <c r="H30" s="342">
        <f>'[1]tabla dinámica IO men'!E509</f>
        <v>39.642181995479113</v>
      </c>
      <c r="I30" s="342"/>
      <c r="J30" s="342">
        <f>'[1]tabla dinámica IO men'!E510</f>
        <v>39.642181995479113</v>
      </c>
    </row>
    <row r="31" spans="3:10" hidden="1" outlineLevel="1">
      <c r="C31" s="51" t="s">
        <v>38</v>
      </c>
      <c r="D31" s="339">
        <f>GETPIVOTDATA("dato",'[1]tabla dinámica IO men'!$A$96,"categoría","1*","mes",12,"año",2008)</f>
        <v>51.16</v>
      </c>
      <c r="E31" s="339">
        <f>GETPIVOTDATA("dato",'[1]tabla dinámica IO men'!$A$96,"categoría","2*","mes",12,"año",2008)</f>
        <v>58.28</v>
      </c>
      <c r="F31" s="339">
        <f>GETPIVOTDATA("dato",'[1]tabla dinámica IO men'!$A$96,"categoría","3 *","mes",12,"año",2008)</f>
        <v>40.71</v>
      </c>
      <c r="G31" s="339">
        <f>GETPIVOTDATA("dato",'[1]tabla dinámica IO men'!$A$96,"categoría","4* Y 5*","mes",12,"año",2008)</f>
        <v>32.433179723502306</v>
      </c>
      <c r="H31" s="339">
        <f>GETPIVOTDATA("dato",'[1]tabla dinámica IO men'!$A$96,"categoría","hoteleros","mes",12,"año",2008)</f>
        <v>44.16</v>
      </c>
      <c r="I31" s="339"/>
      <c r="J31" s="339">
        <f>GETPIVOTDATA("dato",'[1]tabla dinámica IO men'!$A$96,"categoría","total","mes",12,"año",2008)</f>
        <v>44.16</v>
      </c>
    </row>
    <row r="32" spans="3:10" hidden="1" outlineLevel="1">
      <c r="C32" s="51" t="s">
        <v>39</v>
      </c>
      <c r="D32" s="339">
        <f>GETPIVOTDATA("dato",'[1]tabla dinámica IO men'!$A$96,"categoría","1*","mes",11,"año",2008)</f>
        <v>53.62</v>
      </c>
      <c r="E32" s="339">
        <f>GETPIVOTDATA("dato",'[1]tabla dinámica IO men'!$A$96,"categoría","2*","mes",11,"año",2008)</f>
        <v>63.22</v>
      </c>
      <c r="F32" s="339">
        <f>GETPIVOTDATA("dato",'[1]tabla dinámica IO men'!$A$96,"categoría","3 *","mes",11,"año",2008)</f>
        <v>54.62</v>
      </c>
      <c r="G32" s="339">
        <f>GETPIVOTDATA("dato",'[1]tabla dinámica IO men'!$A$96,"categoría","4* Y 5*","mes",11,"año",2008)</f>
        <v>36.245775729646695</v>
      </c>
      <c r="H32" s="339">
        <f>GETPIVOTDATA("dato",'[1]tabla dinámica IO men'!$A$96,"categoría","hoteleros","mes",11,"año",2008)</f>
        <v>50.74</v>
      </c>
      <c r="I32" s="339"/>
      <c r="J32" s="339">
        <f>GETPIVOTDATA("dato",'[1]tabla dinámica IO men'!$A$96,"categoría","total","mes",11,"año",2008)</f>
        <v>50.74</v>
      </c>
    </row>
    <row r="33" spans="3:10" hidden="1" outlineLevel="1">
      <c r="C33" s="51" t="s">
        <v>40</v>
      </c>
      <c r="D33" s="339">
        <f>GETPIVOTDATA("dato",'[1]tabla dinámica IO men'!$A$96,"categoría","1*","mes",10,"año",2008)</f>
        <v>56.11</v>
      </c>
      <c r="E33" s="339">
        <f>GETPIVOTDATA("dato",'[1]tabla dinámica IO men'!$A$96,"categoría","2*","mes",10,"año",2008)</f>
        <v>63.31</v>
      </c>
      <c r="F33" s="339">
        <f>GETPIVOTDATA("dato",'[1]tabla dinámica IO men'!$A$96,"categoría","3 *","mes",10,"año",2008)</f>
        <v>57.61</v>
      </c>
      <c r="G33" s="339">
        <f>GETPIVOTDATA("dato",'[1]tabla dinámica IO men'!$A$96,"categoría","4* Y 5*","mes",10,"año",2008)</f>
        <v>32.77112135176651</v>
      </c>
      <c r="H33" s="339">
        <f>GETPIVOTDATA("dato",'[1]tabla dinámica IO men'!$A$96,"categoría","hoteleros","mes",10,"año",2008)</f>
        <v>49.88</v>
      </c>
      <c r="I33" s="339"/>
      <c r="J33" s="339">
        <f>GETPIVOTDATA("dato",'[1]tabla dinámica IO men'!$A$96,"categoría","total","mes",10,"año",2008)</f>
        <v>49.88</v>
      </c>
    </row>
    <row r="34" spans="3:10" hidden="1" outlineLevel="1">
      <c r="C34" s="51" t="s">
        <v>41</v>
      </c>
      <c r="D34" s="339">
        <f>GETPIVOTDATA("dato",'[1]tabla dinámica IO men'!$A$96,"categoría","1*","mes",9,"año",2008)</f>
        <v>47.31</v>
      </c>
      <c r="E34" s="339">
        <f>GETPIVOTDATA("dato",'[1]tabla dinámica IO men'!$A$96,"categoría","2*","mes",9,"año",2008)</f>
        <v>44.74</v>
      </c>
      <c r="F34" s="339">
        <f>GETPIVOTDATA("dato",'[1]tabla dinámica IO men'!$A$96,"categoría","3 *","mes",9,"año",2008)</f>
        <v>51.25</v>
      </c>
      <c r="G34" s="339">
        <f>GETPIVOTDATA("dato",'[1]tabla dinámica IO men'!$A$96,"categoría","4* Y 5*","mes",9,"año",2008)</f>
        <v>29.072196620583718</v>
      </c>
      <c r="H34" s="339">
        <f>GETPIVOTDATA("dato",'[1]tabla dinámica IO men'!$A$96,"categoría","hoteleros","mes",9,"año",2008)</f>
        <v>40.82</v>
      </c>
      <c r="I34" s="339"/>
      <c r="J34" s="339">
        <f>GETPIVOTDATA("dato",'[1]tabla dinámica IO men'!$A$96,"categoría","total","mes",9,"año",2008)</f>
        <v>40.82</v>
      </c>
    </row>
    <row r="35" spans="3:10" hidden="1" outlineLevel="1">
      <c r="C35" s="51" t="s">
        <v>42</v>
      </c>
      <c r="D35" s="339">
        <f>GETPIVOTDATA("dato",'[1]tabla dinámica IO men'!$A$96,"categoría","1*","mes",8,"año",2008)</f>
        <v>50.16</v>
      </c>
      <c r="E35" s="339">
        <f>GETPIVOTDATA("dato",'[1]tabla dinámica IO men'!$A$96,"categoría","2*","mes",8,"año",2008)</f>
        <v>36.89</v>
      </c>
      <c r="F35" s="339">
        <f>GETPIVOTDATA("dato",'[1]tabla dinámica IO men'!$A$96,"categoría","3 *","mes",8,"año",2008)</f>
        <v>46.64</v>
      </c>
      <c r="G35" s="339">
        <f>GETPIVOTDATA("dato",'[1]tabla dinámica IO men'!$A$96,"categoría","4* Y 5*","mes",8,"año",2008)</f>
        <v>27.907834101382488</v>
      </c>
      <c r="H35" s="339">
        <f>GETPIVOTDATA("dato",'[1]tabla dinámica IO men'!$A$96,"categoría","hoteleros","mes",8,"año",2008)</f>
        <v>36.9</v>
      </c>
      <c r="I35" s="339"/>
      <c r="J35" s="339">
        <f>GETPIVOTDATA("dato",'[1]tabla dinámica IO men'!$A$96,"categoría","total","mes",8,"año",2008)</f>
        <v>36.9</v>
      </c>
    </row>
    <row r="36" spans="3:10" hidden="1" outlineLevel="1">
      <c r="C36" s="51" t="s">
        <v>43</v>
      </c>
      <c r="D36" s="339">
        <f>GETPIVOTDATA("dato",'[1]tabla dinámica IO men'!$A$96,"categoría","1*","mes",7,"año",2008)</f>
        <v>58.03</v>
      </c>
      <c r="E36" s="339">
        <f>GETPIVOTDATA("dato",'[1]tabla dinámica IO men'!$A$96,"categoría","2*","mes",7,"año",2008)</f>
        <v>60.48</v>
      </c>
      <c r="F36" s="339">
        <f>GETPIVOTDATA("dato",'[1]tabla dinámica IO men'!$A$96,"categoría","3 *","mes",7,"año",2008)</f>
        <v>46.41</v>
      </c>
      <c r="G36" s="339">
        <f>GETPIVOTDATA("dato",'[1]tabla dinámica IO men'!$A$96,"categoría","4* Y 5*","mes",7,"año",2008)</f>
        <v>38.141321044546849</v>
      </c>
      <c r="H36" s="339">
        <f>GETPIVOTDATA("dato",'[1]tabla dinámica IO men'!$A$96,"categoría","hoteleros","mes",7,"año",2008)</f>
        <v>48.89</v>
      </c>
      <c r="I36" s="339"/>
      <c r="J36" s="339">
        <f>GETPIVOTDATA("dato",'[1]tabla dinámica IO men'!$A$96,"categoría","total","mes",7,"año",2008)</f>
        <v>48.89</v>
      </c>
    </row>
    <row r="37" spans="3:10" hidden="1" outlineLevel="1">
      <c r="C37" s="51" t="s">
        <v>44</v>
      </c>
      <c r="D37" s="339">
        <f>GETPIVOTDATA("dato",'[1]tabla dinámica IO men'!$A$96,"categoría","1*","mes",6,"año",2008)</f>
        <v>49.7</v>
      </c>
      <c r="E37" s="339">
        <f>GETPIVOTDATA("dato",'[1]tabla dinámica IO men'!$A$96,"categoría","2*","mes",6,"año",2008)</f>
        <v>53.95</v>
      </c>
      <c r="F37" s="339">
        <f>GETPIVOTDATA("dato",'[1]tabla dinámica IO men'!$A$96,"categoría","3 *","mes",6,"año",2008)</f>
        <v>54.57</v>
      </c>
      <c r="G37" s="339">
        <f>GETPIVOTDATA("dato",'[1]tabla dinámica IO men'!$A$96,"categoría","4* Y 5*","mes",6,"año",2008)</f>
        <v>34.602150537634408</v>
      </c>
      <c r="H37" s="339">
        <f>GETPIVOTDATA("dato",'[1]tabla dinámica IO men'!$A$96,"categoría","hoteleros","mes",6,"año",2008)</f>
        <v>46.79</v>
      </c>
      <c r="I37" s="339"/>
      <c r="J37" s="339">
        <f>GETPIVOTDATA("dato",'[1]tabla dinámica IO men'!$A$96,"categoría","total","mes",6,"año",2008)</f>
        <v>46.79</v>
      </c>
    </row>
    <row r="38" spans="3:10" hidden="1" outlineLevel="1">
      <c r="C38" s="51" t="s">
        <v>45</v>
      </c>
      <c r="D38" s="339">
        <f>GETPIVOTDATA("dato",'[1]tabla dinámica IO men'!$A$96,"categoría","1*","mes",5,"año",2008)</f>
        <v>49.18</v>
      </c>
      <c r="E38" s="339">
        <f>GETPIVOTDATA("dato",'[1]tabla dinámica IO men'!$A$96,"categoría","2*","mes",5,"año",2008)</f>
        <v>61.72</v>
      </c>
      <c r="F38" s="339">
        <f>GETPIVOTDATA("dato",'[1]tabla dinámica IO men'!$A$96,"categoría","3 *","mes",5,"año",2008)</f>
        <v>50.07</v>
      </c>
      <c r="G38" s="339">
        <f>GETPIVOTDATA("dato",'[1]tabla dinámica IO men'!$A$96,"categoría","4* Y 5*","mes",5,"año",2008)</f>
        <v>53.382488479262676</v>
      </c>
      <c r="H38" s="339">
        <f>GETPIVOTDATA("dato",'[1]tabla dinámica IO men'!$A$96,"categoría","hoteleros","mes",5,"año",2008)</f>
        <v>54.87</v>
      </c>
      <c r="I38" s="339"/>
      <c r="J38" s="339">
        <f>GETPIVOTDATA("dato",'[1]tabla dinámica IO men'!$A$96,"categoría","total","mes",5,"año",2008)</f>
        <v>54.87</v>
      </c>
    </row>
    <row r="39" spans="3:10" hidden="1" outlineLevel="1">
      <c r="C39" s="51" t="s">
        <v>46</v>
      </c>
      <c r="D39" s="339">
        <f>GETPIVOTDATA("dato",'[1]tabla dinámica IO men'!$A$96,"categoría","1*","mes",4,"año",2008)</f>
        <v>52.55</v>
      </c>
      <c r="E39" s="339">
        <f>GETPIVOTDATA("dato",'[1]tabla dinámica IO men'!$A$96,"categoría","2*","mes",4,"año",2008)</f>
        <v>60.32</v>
      </c>
      <c r="F39" s="339">
        <f>GETPIVOTDATA("dato",'[1]tabla dinámica IO men'!$A$96,"categoría","3 *","mes",4,"año",2008)</f>
        <v>53.13</v>
      </c>
      <c r="G39" s="339">
        <f>GETPIVOTDATA("dato",'[1]tabla dinámica IO men'!$A$96,"categoría","4* Y 5*","mes",4,"año",2008)</f>
        <v>38.983102918586788</v>
      </c>
      <c r="H39" s="339">
        <f>GETPIVOTDATA("dato",'[1]tabla dinámica IO men'!$A$96,"categoría","hoteleros","mes",4,"año",2008)</f>
        <v>50.48</v>
      </c>
      <c r="I39" s="339"/>
      <c r="J39" s="339">
        <f>GETPIVOTDATA("dato",'[1]tabla dinámica IO men'!$A$96,"categoría","total","mes",4,"año",2008)</f>
        <v>50.48</v>
      </c>
    </row>
    <row r="40" spans="3:10" hidden="1" outlineLevel="1">
      <c r="C40" s="51" t="s">
        <v>47</v>
      </c>
      <c r="D40" s="339">
        <f>GETPIVOTDATA("dato",'[1]tabla dinámica IO men'!$A$96,"categoría","1*","mes",3,"año",2008)</f>
        <v>57.17</v>
      </c>
      <c r="E40" s="339">
        <f>GETPIVOTDATA("dato",'[1]tabla dinámica IO men'!$A$96,"categoría","2*","mes",3,"año",2008)</f>
        <v>57.52</v>
      </c>
      <c r="F40" s="339">
        <f>GETPIVOTDATA("dato",'[1]tabla dinámica IO men'!$A$96,"categoría","3 *","mes",3,"año",2008)</f>
        <v>52.09</v>
      </c>
      <c r="G40" s="339">
        <f>GETPIVOTDATA("dato",'[1]tabla dinámica IO men'!$A$96,"categoría","4* Y 5*","mes",3,"año",2008)</f>
        <v>55.594470046082947</v>
      </c>
      <c r="H40" s="339">
        <f>GETPIVOTDATA("dato",'[1]tabla dinámica IO men'!$A$96,"categoría","hoteleros","mes",3,"año",2008)</f>
        <v>55.63</v>
      </c>
      <c r="I40" s="339"/>
      <c r="J40" s="339">
        <f>GETPIVOTDATA("dato",'[1]tabla dinámica IO men'!$A$96,"categoría","total","mes",3,"año",2008)</f>
        <v>55.63</v>
      </c>
    </row>
    <row r="41" spans="3:10" hidden="1" outlineLevel="1">
      <c r="C41" s="51" t="s">
        <v>48</v>
      </c>
      <c r="D41" s="339">
        <f>GETPIVOTDATA("dato",'[1]tabla dinámica IO men'!$A$96,"categoría","1*","mes",2,"año",2008)</f>
        <v>70.989999999999995</v>
      </c>
      <c r="E41" s="339">
        <f>GETPIVOTDATA("dato",'[1]tabla dinámica IO men'!$A$96,"categoría","2*","mes",2,"año",2008)</f>
        <v>75.17</v>
      </c>
      <c r="F41" s="339">
        <f>GETPIVOTDATA("dato",'[1]tabla dinámica IO men'!$A$96,"categoría","3 *","mes",2,"año",2008)</f>
        <v>62.26</v>
      </c>
      <c r="G41" s="339">
        <f>GETPIVOTDATA("dato",'[1]tabla dinámica IO men'!$A$96,"categoría","4* Y 5*","mes",2,"año",2008)</f>
        <v>40.494623655913976</v>
      </c>
      <c r="H41" s="339">
        <f>GETPIVOTDATA("dato",'[1]tabla dinámica IO men'!$A$96,"categoría","hoteleros","mes",2,"año",2008)</f>
        <v>60.05</v>
      </c>
      <c r="I41" s="339"/>
      <c r="J41" s="339">
        <f>GETPIVOTDATA("dato",'[1]tabla dinámica IO men'!$A$96,"categoría","total","mes",2,"año",2008)</f>
        <v>60.05</v>
      </c>
    </row>
    <row r="42" spans="3:10" hidden="1" outlineLevel="1">
      <c r="C42" s="51" t="s">
        <v>49</v>
      </c>
      <c r="D42" s="339">
        <f>GETPIVOTDATA("dato",'[1]tabla dinámica IO men'!$A$96,"categoría","1*","mes",1,"año",2008)</f>
        <v>54.88</v>
      </c>
      <c r="E42" s="339">
        <f>GETPIVOTDATA("dato",'[1]tabla dinámica IO men'!$A$96,"categoría","2*","mes",1,"año",2008)</f>
        <v>66.400000000000006</v>
      </c>
      <c r="F42" s="339">
        <f>GETPIVOTDATA("dato",'[1]tabla dinámica IO men'!$A$96,"categoría","3 *","mes",1,"año",2008)</f>
        <v>42.66</v>
      </c>
      <c r="G42" s="339">
        <f>GETPIVOTDATA("dato",'[1]tabla dinámica IO men'!$A$96,"categoría","4* Y 5*","mes",1,"año",2008)</f>
        <v>38.525345622119815</v>
      </c>
      <c r="H42" s="339">
        <f>GETPIVOTDATA("dato",'[1]tabla dinámica IO men'!$A$96,"categoría","hoteleros","mes",1,"año",2008)</f>
        <v>49.78</v>
      </c>
      <c r="I42" s="339"/>
      <c r="J42" s="339">
        <f>GETPIVOTDATA("dato",'[1]tabla dinámica IO men'!$A$96,"categoría","total","mes",1,"año",2008)</f>
        <v>49.78</v>
      </c>
    </row>
    <row r="43" spans="3:10" collapsed="1">
      <c r="C43" s="58">
        <v>2008</v>
      </c>
      <c r="D43" s="343">
        <f>'[1]tabla dinámica IO men'!D504</f>
        <v>54.185295578738199</v>
      </c>
      <c r="E43" s="343">
        <f>'[1]tabla dinámica IO men'!D505</f>
        <v>58.440492304607204</v>
      </c>
      <c r="F43" s="343">
        <f>'[1]tabla dinámica IO men'!D506</f>
        <v>50.91530054644808</v>
      </c>
      <c r="G43" s="343">
        <f>'[1]tabla dinámica IO men'!D507</f>
        <v>38.805360395524332</v>
      </c>
      <c r="H43" s="343">
        <f>'[1]tabla dinámica IO men'!D509</f>
        <v>49.043617846978854</v>
      </c>
      <c r="I43" s="343"/>
      <c r="J43" s="343">
        <f>'[1]tabla dinámica IO men'!D510</f>
        <v>49.043617846978854</v>
      </c>
    </row>
    <row r="44" spans="3:10" hidden="1" outlineLevel="1">
      <c r="C44" s="51" t="s">
        <v>38</v>
      </c>
      <c r="D44" s="339">
        <f>GETPIVOTDATA("dato",'[1]tabla dinámica IO men'!$A$96,"categoría","1*","mes",12,"año",2007)</f>
        <v>52.99</v>
      </c>
      <c r="E44" s="339">
        <f>GETPIVOTDATA("dato",'[1]tabla dinámica IO men'!$A$96,"categoría","2*","mes",12,"año",2007)</f>
        <v>63.18</v>
      </c>
      <c r="F44" s="339">
        <f>GETPIVOTDATA("dato",'[1]tabla dinámica IO men'!$A$96,"categoría","3 *","mes",12,"año",2007)</f>
        <v>56</v>
      </c>
      <c r="G44" s="339">
        <f>GETPIVOTDATA("dato",'[1]tabla dinámica IO men'!$A$96,"categoría","4* Y 5*","mes",12,"año",2007)</f>
        <v>34.642658509454947</v>
      </c>
      <c r="H44" s="339">
        <f>GETPIVOTDATA("dato",'[1]tabla dinámica IO men'!$A$96,"categoría","hoteleros","mes",12,"año",2007)</f>
        <v>50.58</v>
      </c>
      <c r="I44" s="339"/>
      <c r="J44" s="339">
        <f>GETPIVOTDATA("dato",'[1]tabla dinámica IO men'!$A$96,"categoría","total","mes",12,"año",2007)</f>
        <v>50.58</v>
      </c>
    </row>
    <row r="45" spans="3:10" hidden="1" outlineLevel="1">
      <c r="C45" s="51" t="s">
        <v>39</v>
      </c>
      <c r="D45" s="339">
        <f>GETPIVOTDATA("dato",'[1]tabla dinámica IO men'!$A$96,"categoría","1*","mes",11,"año",2007)</f>
        <v>55.14</v>
      </c>
      <c r="E45" s="339">
        <f>GETPIVOTDATA("dato",'[1]tabla dinámica IO men'!$A$96,"categoría","2*","mes",11,"año",2007)</f>
        <v>70.17</v>
      </c>
      <c r="F45" s="339">
        <f>GETPIVOTDATA("dato",'[1]tabla dinámica IO men'!$A$96,"categoría","3 *","mes",11,"año",2007)</f>
        <v>61.13</v>
      </c>
      <c r="G45" s="339">
        <f>GETPIVOTDATA("dato",'[1]tabla dinámica IO men'!$A$96,"categoría","4* Y 5*","mes",11,"año",2007)</f>
        <v>33.634593993325915</v>
      </c>
      <c r="H45" s="339">
        <f>GETPIVOTDATA("dato",'[1]tabla dinámica IO men'!$A$96,"categoría","hoteleros","mes",11,"año",2007)</f>
        <v>54.26</v>
      </c>
      <c r="I45" s="339"/>
      <c r="J45" s="339">
        <f>GETPIVOTDATA("dato",'[1]tabla dinámica IO men'!$A$96,"categoría","total","mes",11,"año",2007)</f>
        <v>54.26</v>
      </c>
    </row>
    <row r="46" spans="3:10" hidden="1" outlineLevel="1">
      <c r="C46" s="51" t="s">
        <v>40</v>
      </c>
      <c r="D46" s="339">
        <f>GETPIVOTDATA("dato",'[1]tabla dinámica IO men'!$A$96,"categoría","1*","mes",10,"año",2007)</f>
        <v>55.15</v>
      </c>
      <c r="E46" s="339">
        <f>GETPIVOTDATA("dato",'[1]tabla dinámica IO men'!$A$96,"categoría","2*","mes",10,"año",2007)</f>
        <v>64.27</v>
      </c>
      <c r="F46" s="339">
        <f>GETPIVOTDATA("dato",'[1]tabla dinámica IO men'!$A$96,"categoría","3 *","mes",10,"año",2007)</f>
        <v>57.53</v>
      </c>
      <c r="G46" s="339">
        <f>GETPIVOTDATA("dato",'[1]tabla dinámica IO men'!$A$96,"categoría","4* Y 5*","mes",10,"año",2007)</f>
        <v>38.803531701890989</v>
      </c>
      <c r="H46" s="339">
        <f>GETPIVOTDATA("dato",'[1]tabla dinámica IO men'!$A$96,"categoría","hoteleros","mes",10,"año",2007)</f>
        <v>52.95</v>
      </c>
      <c r="I46" s="339"/>
      <c r="J46" s="339">
        <f>GETPIVOTDATA("dato",'[1]tabla dinámica IO men'!$A$96,"categoría","total","mes",10,"año",2007)</f>
        <v>52.95</v>
      </c>
    </row>
    <row r="47" spans="3:10" hidden="1" outlineLevel="1">
      <c r="C47" s="51" t="s">
        <v>41</v>
      </c>
      <c r="D47" s="339">
        <f>GETPIVOTDATA("dato",'[1]tabla dinámica IO men'!$A$96,"categoría","1*","mes",9,"año",2007)</f>
        <v>44.6</v>
      </c>
      <c r="E47" s="339">
        <f>GETPIVOTDATA("dato",'[1]tabla dinámica IO men'!$A$96,"categoría","2*","mes",9,"año",2007)</f>
        <v>56.22</v>
      </c>
      <c r="F47" s="339">
        <f>GETPIVOTDATA("dato",'[1]tabla dinámica IO men'!$A$96,"categoría","3 *","mes",9,"año",2007)</f>
        <v>50.97</v>
      </c>
      <c r="G47" s="339">
        <f>GETPIVOTDATA("dato",'[1]tabla dinámica IO men'!$A$96,"categoría","4* Y 5*","mes",9,"año",2007)</f>
        <v>33.366935483870968</v>
      </c>
      <c r="H47" s="339">
        <f>GETPIVOTDATA("dato",'[1]tabla dinámica IO men'!$A$96,"categoría","hoteleros","mes",9,"año",2007)</f>
        <v>46.27</v>
      </c>
      <c r="I47" s="339"/>
      <c r="J47" s="339">
        <f>GETPIVOTDATA("dato",'[1]tabla dinámica IO men'!$A$96,"categoría","total","mes",9,"año",2007)</f>
        <v>46.27</v>
      </c>
    </row>
    <row r="48" spans="3:10" hidden="1" outlineLevel="1">
      <c r="C48" s="51" t="s">
        <v>42</v>
      </c>
      <c r="D48" s="339">
        <f>GETPIVOTDATA("dato",'[1]tabla dinámica IO men'!$A$96,"categoría","1*","mes",8,"año",2007)</f>
        <v>41.55</v>
      </c>
      <c r="E48" s="339">
        <f>GETPIVOTDATA("dato",'[1]tabla dinámica IO men'!$A$96,"categoría","2*","mes",8,"año",2007)</f>
        <v>35.28</v>
      </c>
      <c r="F48" s="339">
        <f>GETPIVOTDATA("dato",'[1]tabla dinámica IO men'!$A$96,"categoría","3 *","mes",8,"año",2007)</f>
        <v>45.22</v>
      </c>
      <c r="G48" s="339">
        <f>GETPIVOTDATA("dato",'[1]tabla dinámica IO men'!$A$96,"categoría","4* Y 5*","mes",8,"año",2007)</f>
        <v>20.310761957730811</v>
      </c>
      <c r="H48" s="339">
        <f>GETPIVOTDATA("dato",'[1]tabla dinámica IO men'!$A$96,"categoría","hoteleros","mes",8,"año",2007)</f>
        <v>32.880000000000003</v>
      </c>
      <c r="I48" s="339"/>
      <c r="J48" s="339">
        <f>GETPIVOTDATA("dato",'[1]tabla dinámica IO men'!$A$96,"categoría","total","mes",8,"año",2007)</f>
        <v>32.880000000000003</v>
      </c>
    </row>
    <row r="49" spans="3:10" hidden="1" outlineLevel="1">
      <c r="C49" s="51" t="s">
        <v>43</v>
      </c>
      <c r="D49" s="339">
        <f>GETPIVOTDATA("dato",'[1]tabla dinámica IO men'!$A$96,"categoría","1*","mes",7,"año",2007)</f>
        <v>58.26</v>
      </c>
      <c r="E49" s="339">
        <f>GETPIVOTDATA("dato",'[1]tabla dinámica IO men'!$A$96,"categoría","2*","mes",7,"año",2007)</f>
        <v>43.06</v>
      </c>
      <c r="F49" s="339">
        <f>GETPIVOTDATA("dato",'[1]tabla dinámica IO men'!$A$96,"categoría","3 *","mes",7,"año",2007)</f>
        <v>48.29</v>
      </c>
      <c r="G49" s="339">
        <f>GETPIVOTDATA("dato",'[1]tabla dinámica IO men'!$A$96,"categoría","4* Y 5*","mes",7,"año",2007)</f>
        <v>57.713431590656285</v>
      </c>
      <c r="H49" s="339">
        <f>GETPIVOTDATA("dato",'[1]tabla dinámica IO men'!$A$96,"categoría","hoteleros","mes",7,"año",2007)</f>
        <v>50.91</v>
      </c>
      <c r="I49" s="339"/>
      <c r="J49" s="339">
        <f>GETPIVOTDATA("dato",'[1]tabla dinámica IO men'!$A$96,"categoría","total","mes",7,"año",2007)</f>
        <v>50.91</v>
      </c>
    </row>
    <row r="50" spans="3:10" hidden="1" outlineLevel="1">
      <c r="C50" s="51" t="s">
        <v>44</v>
      </c>
      <c r="D50" s="339">
        <f>GETPIVOTDATA("dato",'[1]tabla dinámica IO men'!$A$96,"categoría","1*","mes",6,"año",2007)</f>
        <v>59.28</v>
      </c>
      <c r="E50" s="339">
        <f>GETPIVOTDATA("dato",'[1]tabla dinámica IO men'!$A$96,"categoría","2*","mes",6,"año",2007)</f>
        <v>32.630000000000003</v>
      </c>
      <c r="F50" s="339">
        <f>GETPIVOTDATA("dato",'[1]tabla dinámica IO men'!$A$96,"categoría","3 *","mes",6,"año",2007)</f>
        <v>46.7</v>
      </c>
      <c r="G50" s="339">
        <f>GETPIVOTDATA("dato",'[1]tabla dinámica IO men'!$A$96,"categoría","4* Y 5*","mes",6,"año",2007)</f>
        <v>73.363758946167408</v>
      </c>
      <c r="H50" s="339">
        <f>GETPIVOTDATA("dato",'[1]tabla dinámica IO men'!$A$96,"categoría","hoteleros","mes",6,"año",2007)</f>
        <v>53.6</v>
      </c>
      <c r="I50" s="339"/>
      <c r="J50" s="339">
        <f>GETPIVOTDATA("dato",'[1]tabla dinámica IO men'!$A$96,"categoría","total","mes",6,"año",2007)</f>
        <v>53.6</v>
      </c>
    </row>
    <row r="51" spans="3:10" hidden="1" outlineLevel="1">
      <c r="C51" s="51" t="s">
        <v>45</v>
      </c>
      <c r="D51" s="339">
        <f>GETPIVOTDATA("dato",'[1]tabla dinámica IO men'!$A$96,"categoría","1*","mes",5,"año",2007)</f>
        <v>56.63</v>
      </c>
      <c r="E51" s="339">
        <f>GETPIVOTDATA("dato",'[1]tabla dinámica IO men'!$A$96,"categoría","2*","mes",5,"año",2007)</f>
        <v>46.73</v>
      </c>
      <c r="F51" s="339">
        <f>GETPIVOTDATA("dato",'[1]tabla dinámica IO men'!$A$96,"categoría","3 *","mes",5,"año",2007)</f>
        <v>49.25</v>
      </c>
      <c r="G51" s="339">
        <f>GETPIVOTDATA("dato",'[1]tabla dinámica IO men'!$A$96,"categoría","4* Y 5*","mes",5,"año",2007)</f>
        <v>62.566123846074056</v>
      </c>
      <c r="H51" s="339">
        <f>GETPIVOTDATA("dato",'[1]tabla dinámica IO men'!$A$96,"categoría","hoteleros","mes",5,"año",2007)</f>
        <v>53.87</v>
      </c>
      <c r="I51" s="339"/>
      <c r="J51" s="339">
        <f>GETPIVOTDATA("dato",'[1]tabla dinámica IO men'!$A$96,"categoría","total","mes",5,"año",2007)</f>
        <v>53.87</v>
      </c>
    </row>
    <row r="52" spans="3:10" hidden="1" outlineLevel="1">
      <c r="C52" s="51" t="s">
        <v>46</v>
      </c>
      <c r="D52" s="339">
        <f>GETPIVOTDATA("dato",'[1]tabla dinámica IO men'!$A$96,"categoría","1*","mes",4,"año",2007)</f>
        <v>62.92</v>
      </c>
      <c r="E52" s="339">
        <f>GETPIVOTDATA("dato",'[1]tabla dinámica IO men'!$A$96,"categoría","2*","mes",4,"año",2007)</f>
        <v>51.54</v>
      </c>
      <c r="F52" s="339">
        <f>GETPIVOTDATA("dato",'[1]tabla dinámica IO men'!$A$96,"categoría","3 *","mes",4,"año",2007)</f>
        <v>56.88</v>
      </c>
      <c r="G52" s="339">
        <f>GETPIVOTDATA("dato",'[1]tabla dinámica IO men'!$A$96,"categoría","4* Y 5*","mes",4,"año",2007)</f>
        <v>56.781799951595616</v>
      </c>
      <c r="H52" s="339">
        <f>GETPIVOTDATA("dato",'[1]tabla dinámica IO men'!$A$96,"categoría","hoteleros","mes",4,"año",2007)</f>
        <v>56.34</v>
      </c>
      <c r="I52" s="339"/>
      <c r="J52" s="339">
        <f>GETPIVOTDATA("dato",'[1]tabla dinámica IO men'!$A$96,"categoría","total","mes",4,"año",2007)</f>
        <v>56.34</v>
      </c>
    </row>
    <row r="53" spans="3:10" hidden="1" outlineLevel="1">
      <c r="C53" s="51" t="s">
        <v>47</v>
      </c>
      <c r="D53" s="339">
        <f>GETPIVOTDATA("dato",'[1]tabla dinámica IO men'!$A$96,"categoría","1*","mes",3,"año",2007)</f>
        <v>71.98</v>
      </c>
      <c r="E53" s="339">
        <f>GETPIVOTDATA("dato",'[1]tabla dinámica IO men'!$A$96,"categoría","2*","mes",3,"año",2007)</f>
        <v>60.87</v>
      </c>
      <c r="F53" s="339">
        <f>GETPIVOTDATA("dato",'[1]tabla dinámica IO men'!$A$96,"categoría","3 *","mes",3,"año",2007)</f>
        <v>59.1</v>
      </c>
      <c r="G53" s="339">
        <f>GETPIVOTDATA("dato",'[1]tabla dinámica IO men'!$A$96,"categoría","4* Y 5*","mes",3,"año",2007)</f>
        <v>58.607336721640216</v>
      </c>
      <c r="H53" s="339">
        <f>GETPIVOTDATA("dato",'[1]tabla dinámica IO men'!$A$96,"categoría","hoteleros","mes",3,"año",2007)</f>
        <v>60.77</v>
      </c>
      <c r="I53" s="339"/>
      <c r="J53" s="339">
        <f>GETPIVOTDATA("dato",'[1]tabla dinámica IO men'!$A$96,"categoría","total","mes",3,"año",2007)</f>
        <v>60.77</v>
      </c>
    </row>
    <row r="54" spans="3:10" hidden="1" outlineLevel="1">
      <c r="C54" s="51" t="s">
        <v>48</v>
      </c>
      <c r="D54" s="339">
        <f>GETPIVOTDATA("dato",'[1]tabla dinámica IO men'!$A$96,"categoría","1*","mes",2,"año",2007)</f>
        <v>77.459999999999994</v>
      </c>
      <c r="E54" s="339">
        <f>GETPIVOTDATA("dato",'[1]tabla dinámica IO men'!$A$96,"categoría","2*","mes",2,"año",2007)</f>
        <v>56.45</v>
      </c>
      <c r="F54" s="339">
        <f>GETPIVOTDATA("dato",'[1]tabla dinámica IO men'!$A$96,"categoría","3 *","mes",2,"año",2007)</f>
        <v>52.42</v>
      </c>
      <c r="G54" s="339">
        <f>GETPIVOTDATA("dato",'[1]tabla dinámica IO men'!$A$96,"categoría","4* Y 5*","mes",2,"año",2007)</f>
        <v>43.377243024582512</v>
      </c>
      <c r="H54" s="339">
        <f>GETPIVOTDATA("dato",'[1]tabla dinámica IO men'!$A$96,"categoría","hoteleros","mes",2,"año",2007)</f>
        <v>54.65</v>
      </c>
      <c r="I54" s="339"/>
      <c r="J54" s="339">
        <f>GETPIVOTDATA("dato",'[1]tabla dinámica IO men'!$A$96,"categoría","total","mes",2,"año",2007)</f>
        <v>54.65</v>
      </c>
    </row>
    <row r="55" spans="3:10" hidden="1" outlineLevel="1">
      <c r="C55" s="51" t="s">
        <v>49</v>
      </c>
      <c r="D55" s="339">
        <f>GETPIVOTDATA("dato",'[1]tabla dinámica IO men'!$A$96,"categoría","1*","mes",1,"año",2007)</f>
        <v>63.37</v>
      </c>
      <c r="E55" s="339">
        <f>GETPIVOTDATA("dato",'[1]tabla dinámica IO men'!$A$96,"categoría","2*","mes",1,"año",2007)</f>
        <v>42.93</v>
      </c>
      <c r="F55" s="339">
        <f>GETPIVOTDATA("dato",'[1]tabla dinámica IO men'!$A$96,"categoría","3 *","mes",1,"año",2007)</f>
        <v>41.79</v>
      </c>
      <c r="G55" s="339">
        <f>GETPIVOTDATA("dato",'[1]tabla dinámica IO men'!$A$96,"categoría","4* Y 5*","mes",1,"año",2007)</f>
        <v>51.322476921481176</v>
      </c>
      <c r="H55" s="339">
        <f>GETPIVOTDATA("dato",'[1]tabla dinámica IO men'!$A$96,"categoría","hoteleros","mes",1,"año",2007)</f>
        <v>47.67</v>
      </c>
      <c r="I55" s="339"/>
      <c r="J55" s="339">
        <f>GETPIVOTDATA("dato",'[1]tabla dinámica IO men'!$A$96,"categoría","total","mes",1,"año",2007)</f>
        <v>47.67</v>
      </c>
    </row>
    <row r="56" spans="3:10" collapsed="1">
      <c r="C56" s="58">
        <v>2007</v>
      </c>
      <c r="D56" s="343">
        <f>'[1]tabla dinámica IO men'!C504</f>
        <v>57.89371486969852</v>
      </c>
      <c r="E56" s="343">
        <f>'[1]tabla dinámica IO men'!C505</f>
        <v>51.901156214653767</v>
      </c>
      <c r="F56" s="343">
        <f>'[1]tabla dinámica IO men'!C506</f>
        <v>52.096421024449477</v>
      </c>
      <c r="G56" s="343">
        <f>'[1]tabla dinámica IO men'!C507</f>
        <v>47.973205741626792</v>
      </c>
      <c r="H56" s="343">
        <f>'[1]tabla dinámica IO men'!C509</f>
        <v>51.168644894245233</v>
      </c>
      <c r="I56" s="343"/>
      <c r="J56" s="343">
        <f>'[1]tabla dinámica IO men'!C510</f>
        <v>51.168644894245233</v>
      </c>
    </row>
    <row r="57" spans="3:10" hidden="1" outlineLevel="1">
      <c r="C57" s="51" t="s">
        <v>38</v>
      </c>
      <c r="D57" s="339">
        <f>GETPIVOTDATA("dato",'[1]tabla dinámica IO men'!$A$96,"categoría","1*","mes",12,"año",2006)</f>
        <v>64.28</v>
      </c>
      <c r="E57" s="339">
        <f>GETPIVOTDATA("dato",'[1]tabla dinámica IO men'!$A$96,"categoría","2*","mes",12,"año",2006)</f>
        <v>59.39</v>
      </c>
      <c r="F57" s="339">
        <f>GETPIVOTDATA("dato",'[1]tabla dinámica IO men'!$A$96,"categoría","3 *","mes",12,"año",2006)</f>
        <v>45.45</v>
      </c>
      <c r="G57" s="339">
        <f>GETPIVOTDATA("dato",'[1]tabla dinámica IO men'!$A$96,"categoría","4* Y 5*","mes",12,"año",2006)</f>
        <v>57.383397296269408</v>
      </c>
      <c r="H57" s="339">
        <f>GETPIVOTDATA("dato",'[1]tabla dinámica IO men'!$A$96,"categoría","hoteleros","mes",12,"año",2006)</f>
        <v>56.16</v>
      </c>
      <c r="I57" s="339"/>
      <c r="J57" s="339">
        <f>GETPIVOTDATA("dato",'[1]tabla dinámica IO men'!$A$96,"categoría","total","mes",12,"año",2006)</f>
        <v>56.16</v>
      </c>
    </row>
    <row r="58" spans="3:10" hidden="1" outlineLevel="1">
      <c r="C58" s="51" t="s">
        <v>39</v>
      </c>
      <c r="D58" s="339">
        <f>GETPIVOTDATA("dato",'[1]tabla dinámica IO men'!$A$96,"categoría","1*","mes",11,"año",2006)</f>
        <v>67.069999999999993</v>
      </c>
      <c r="E58" s="339">
        <f>GETPIVOTDATA("dato",'[1]tabla dinámica IO men'!$A$96,"categoría","2*","mes",11,"año",2006)</f>
        <v>60.97</v>
      </c>
      <c r="F58" s="339">
        <f>GETPIVOTDATA("dato",'[1]tabla dinámica IO men'!$A$96,"categoría","3 *","mes",11,"año",2006)</f>
        <v>51.39</v>
      </c>
      <c r="G58" s="339">
        <f>GETPIVOTDATA("dato",'[1]tabla dinámica IO men'!$A$96,"categoría","4* Y 5*","mes",11,"año",2006)</f>
        <v>55.059986861667184</v>
      </c>
      <c r="H58" s="339">
        <f>GETPIVOTDATA("dato",'[1]tabla dinámica IO men'!$A$96,"categoría","hoteleros","mes",11,"año",2006)</f>
        <v>58.06</v>
      </c>
      <c r="I58" s="339"/>
      <c r="J58" s="339">
        <f>GETPIVOTDATA("dato",'[1]tabla dinámica IO men'!$A$96,"categoría","total","mes",11,"año",2006)</f>
        <v>58.06</v>
      </c>
    </row>
    <row r="59" spans="3:10" hidden="1" outlineLevel="1">
      <c r="C59" s="51" t="s">
        <v>40</v>
      </c>
      <c r="D59" s="339">
        <f>GETPIVOTDATA("dato",'[1]tabla dinámica IO men'!$A$96,"categoría","1*","mes",10,"año",2006)</f>
        <v>63</v>
      </c>
      <c r="E59" s="339">
        <f>GETPIVOTDATA("dato",'[1]tabla dinámica IO men'!$A$96,"categoría","2*","mes",10,"año",2006)</f>
        <v>52.56</v>
      </c>
      <c r="F59" s="339">
        <f>GETPIVOTDATA("dato",'[1]tabla dinámica IO men'!$A$96,"categoría","3 *","mes",10,"año",2006)</f>
        <v>35.54</v>
      </c>
      <c r="G59" s="339">
        <f>GETPIVOTDATA("dato",'[1]tabla dinámica IO men'!$A$96,"categoría","4* Y 5*","mes",10,"año",2006)</f>
        <v>52.14189399439892</v>
      </c>
      <c r="H59" s="339">
        <f>GETPIVOTDATA("dato",'[1]tabla dinámica IO men'!$A$96,"categoría","hoteleros","mes",10,"año",2006)</f>
        <v>49.77</v>
      </c>
      <c r="I59" s="339"/>
      <c r="J59" s="339">
        <f>GETPIVOTDATA("dato",'[1]tabla dinámica IO men'!$A$96,"categoría","total","mes",10,"año",2006)</f>
        <v>49.77</v>
      </c>
    </row>
    <row r="60" spans="3:10" hidden="1" outlineLevel="1">
      <c r="C60" s="51" t="s">
        <v>41</v>
      </c>
      <c r="D60" s="339">
        <f>GETPIVOTDATA("dato",'[1]tabla dinámica IO men'!$A$96,"categoría","1*","mes",9,"año",2006)</f>
        <v>72.36</v>
      </c>
      <c r="E60" s="339">
        <f>GETPIVOTDATA("dato",'[1]tabla dinámica IO men'!$A$96,"categoría","2*","mes",9,"año",2006)</f>
        <v>52.43</v>
      </c>
      <c r="F60" s="339">
        <f>GETPIVOTDATA("dato",'[1]tabla dinámica IO men'!$A$96,"categoría","3 *","mes",9,"año",2006)</f>
        <v>37.520000000000003</v>
      </c>
      <c r="G60" s="339">
        <f>GETPIVOTDATA("dato",'[1]tabla dinámica IO men'!$A$96,"categoría","4* Y 5*","mes",9,"año",2006)</f>
        <v>42.910486464059744</v>
      </c>
      <c r="H60" s="339">
        <f>GETPIVOTDATA("dato",'[1]tabla dinámica IO men'!$A$96,"categoría","hoteleros","mes",9,"año",2006)</f>
        <v>48.3</v>
      </c>
      <c r="I60" s="339"/>
      <c r="J60" s="339">
        <f>GETPIVOTDATA("dato",'[1]tabla dinámica IO men'!$A$96,"categoría","total","mes",9,"año",2006)</f>
        <v>48.3</v>
      </c>
    </row>
    <row r="61" spans="3:10" hidden="1" outlineLevel="1">
      <c r="C61" s="51" t="s">
        <v>42</v>
      </c>
      <c r="D61" s="339">
        <f>GETPIVOTDATA("dato",'[1]tabla dinámica IO men'!$A$96,"categoría","1*","mes",8,"año",2006)</f>
        <v>66.849999999999994</v>
      </c>
      <c r="E61" s="339">
        <f>GETPIVOTDATA("dato",'[1]tabla dinámica IO men'!$A$96,"categoría","2*","mes",8,"año",2006)</f>
        <v>43.79</v>
      </c>
      <c r="F61" s="339">
        <f>GETPIVOTDATA("dato",'[1]tabla dinámica IO men'!$A$96,"categoría","3 *","mes",8,"año",2006)</f>
        <v>31.85</v>
      </c>
      <c r="G61" s="339">
        <f>GETPIVOTDATA("dato",'[1]tabla dinámica IO men'!$A$96,"categoría","4* Y 5*","mes",8,"año",2006)</f>
        <v>35.138125367354704</v>
      </c>
      <c r="H61" s="339">
        <f>GETPIVOTDATA("dato",'[1]tabla dinámica IO men'!$A$96,"categoría","hoteleros","mes",8,"año",2006)</f>
        <v>40.409999999999997</v>
      </c>
      <c r="I61" s="339"/>
      <c r="J61" s="339">
        <f>GETPIVOTDATA("dato",'[1]tabla dinámica IO men'!$A$96,"categoría","total","mes",8,"año",2006)</f>
        <v>40.409999999999997</v>
      </c>
    </row>
    <row r="62" spans="3:10" hidden="1" outlineLevel="1">
      <c r="C62" s="51" t="s">
        <v>43</v>
      </c>
      <c r="D62" s="339">
        <f>GETPIVOTDATA("dato",'[1]tabla dinámica IO men'!$A$96,"categoría","1*","mes",7,"año",2006)</f>
        <v>44.81</v>
      </c>
      <c r="E62" s="339">
        <f>GETPIVOTDATA("dato",'[1]tabla dinámica IO men'!$A$96,"categoría","2*","mes",7,"año",2006)</f>
        <v>49.32</v>
      </c>
      <c r="F62" s="339">
        <f>GETPIVOTDATA("dato",'[1]tabla dinámica IO men'!$A$96,"categoría","3 *","mes",7,"año",2006)</f>
        <v>39.78</v>
      </c>
      <c r="G62" s="339">
        <f>GETPIVOTDATA("dato",'[1]tabla dinámica IO men'!$A$96,"categoría","4* Y 5*","mes",7,"año",2006)</f>
        <v>43.207827680392768</v>
      </c>
      <c r="H62" s="339">
        <f>GETPIVOTDATA("dato",'[1]tabla dinámica IO men'!$A$96,"categoría","hoteleros","mes",7,"año",2006)</f>
        <v>44.65</v>
      </c>
      <c r="I62" s="339"/>
      <c r="J62" s="339">
        <f>GETPIVOTDATA("dato",'[1]tabla dinámica IO men'!$A$96,"categoría","total","mes",7,"año",2006)</f>
        <v>44.65</v>
      </c>
    </row>
    <row r="63" spans="3:10" hidden="1" outlineLevel="1">
      <c r="C63" s="51" t="s">
        <v>44</v>
      </c>
      <c r="D63" s="339">
        <f>GETPIVOTDATA("dato",'[1]tabla dinámica IO men'!$A$96,"categoría","1*","mes",6,"año",2006)</f>
        <v>43.82</v>
      </c>
      <c r="E63" s="339">
        <f>GETPIVOTDATA("dato",'[1]tabla dinámica IO men'!$A$96,"categoría","2*","mes",6,"año",2006)</f>
        <v>52.19</v>
      </c>
      <c r="F63" s="339">
        <f>GETPIVOTDATA("dato",'[1]tabla dinámica IO men'!$A$96,"categoría","3 *","mes",6,"año",2006)</f>
        <v>49.69</v>
      </c>
      <c r="G63" s="339">
        <f>GETPIVOTDATA("dato",'[1]tabla dinámica IO men'!$A$96,"categoría","4* Y 5*","mes",6,"año",2006)</f>
        <v>34.640943193997856</v>
      </c>
      <c r="H63" s="339">
        <f>GETPIVOTDATA("dato",'[1]tabla dinámica IO men'!$A$96,"categoría","hoteleros","mes",6,"año",2006)</f>
        <v>44.6</v>
      </c>
      <c r="I63" s="339"/>
      <c r="J63" s="339">
        <f>GETPIVOTDATA("dato",'[1]tabla dinámica IO men'!$A$96,"categoría","total","mes",6,"año",2006)</f>
        <v>44.6</v>
      </c>
    </row>
    <row r="64" spans="3:10" hidden="1" outlineLevel="1">
      <c r="C64" s="51" t="s">
        <v>45</v>
      </c>
      <c r="D64" s="339">
        <f>GETPIVOTDATA("dato",'[1]tabla dinámica IO men'!$A$96,"categoría","1*","mes",5,"año",2006)</f>
        <v>36.43</v>
      </c>
      <c r="E64" s="339">
        <f>GETPIVOTDATA("dato",'[1]tabla dinámica IO men'!$A$96,"categoría","2*","mes",5,"año",2006)</f>
        <v>46.71</v>
      </c>
      <c r="F64" s="339">
        <f>GETPIVOTDATA("dato",'[1]tabla dinámica IO men'!$A$96,"categoría","3 *","mes",5,"año",2006)</f>
        <v>50.72</v>
      </c>
      <c r="G64" s="339">
        <f>GETPIVOTDATA("dato",'[1]tabla dinámica IO men'!$A$96,"categoría","4* Y 5*","mes",5,"año",2006)</f>
        <v>35.00328458320368</v>
      </c>
      <c r="H64" s="339">
        <f>GETPIVOTDATA("dato",'[1]tabla dinámica IO men'!$A$96,"categoría","hoteleros","mes",5,"año",2006)</f>
        <v>42.41</v>
      </c>
      <c r="I64" s="339"/>
      <c r="J64" s="339">
        <f>GETPIVOTDATA("dato",'[1]tabla dinámica IO men'!$A$96,"categoría","total","mes",5,"año",2006)</f>
        <v>42.41</v>
      </c>
    </row>
    <row r="65" spans="3:10" hidden="1" outlineLevel="1">
      <c r="C65" s="51" t="s">
        <v>46</v>
      </c>
      <c r="D65" s="339">
        <f>GETPIVOTDATA("dato",'[1]tabla dinámica IO men'!$A$96,"categoría","1*","mes",4,"año",2006)</f>
        <v>31.82</v>
      </c>
      <c r="E65" s="339">
        <f>GETPIVOTDATA("dato",'[1]tabla dinámica IO men'!$A$96,"categoría","2*","mes",4,"año",2006)</f>
        <v>49.1</v>
      </c>
      <c r="F65" s="339">
        <f>GETPIVOTDATA("dato",'[1]tabla dinámica IO men'!$A$96,"categoría","3 *","mes",4,"año",2006)</f>
        <v>49.12</v>
      </c>
      <c r="G65" s="339">
        <f>GETPIVOTDATA("dato",'[1]tabla dinámica IO men'!$A$96,"categoría","4* Y 5*","mes",4,"año",2006)</f>
        <v>48.456591639871384</v>
      </c>
      <c r="H65" s="339">
        <f>GETPIVOTDATA("dato",'[1]tabla dinámica IO men'!$A$96,"categoría","hoteleros","mes",4,"año",2006)</f>
        <v>47.18</v>
      </c>
      <c r="I65" s="339"/>
      <c r="J65" s="339">
        <f>GETPIVOTDATA("dato",'[1]tabla dinámica IO men'!$A$96,"categoría","total","mes",4,"año",2006)</f>
        <v>47.18</v>
      </c>
    </row>
    <row r="66" spans="3:10" hidden="1" outlineLevel="1">
      <c r="C66" s="51" t="s">
        <v>47</v>
      </c>
      <c r="D66" s="339">
        <f>GETPIVOTDATA("dato",'[1]tabla dinámica IO men'!$A$96,"categoría","1*","mes",3,"año",2006)</f>
        <v>48.55</v>
      </c>
      <c r="E66" s="339">
        <f>GETPIVOTDATA("dato",'[1]tabla dinámica IO men'!$A$96,"categoría","2*","mes",3,"año",2006)</f>
        <v>59.04</v>
      </c>
      <c r="F66" s="339">
        <f>GETPIVOTDATA("dato",'[1]tabla dinámica IO men'!$A$96,"categoría","3 *","mes",3,"año",2006)</f>
        <v>53.62</v>
      </c>
      <c r="G66" s="339">
        <f>GETPIVOTDATA("dato",'[1]tabla dinámica IO men'!$A$96,"categoría","4* Y 5*","mes",3,"año",2006)</f>
        <v>50.433910728485984</v>
      </c>
      <c r="H66" s="339">
        <f>GETPIVOTDATA("dato",'[1]tabla dinámica IO men'!$A$96,"categoría","hoteleros","mes",3,"año",2006)</f>
        <v>53.79</v>
      </c>
      <c r="I66" s="339"/>
      <c r="J66" s="339">
        <f>GETPIVOTDATA("dato",'[1]tabla dinámica IO men'!$A$96,"categoría","total","mes",3,"año",2006)</f>
        <v>53.79</v>
      </c>
    </row>
    <row r="67" spans="3:10" hidden="1" outlineLevel="1">
      <c r="C67" s="51" t="s">
        <v>48</v>
      </c>
      <c r="D67" s="339">
        <f>GETPIVOTDATA("dato",'[1]tabla dinámica IO men'!$A$96,"categoría","1*","mes",2,"año",2006)</f>
        <v>46.87</v>
      </c>
      <c r="E67" s="339">
        <f>GETPIVOTDATA("dato",'[1]tabla dinámica IO men'!$A$96,"categoría","2*","mes",2,"año",2006)</f>
        <v>64.28</v>
      </c>
      <c r="F67" s="339">
        <f>GETPIVOTDATA("dato",'[1]tabla dinámica IO men'!$A$96,"categoría","3 *","mes",2,"año",2006)</f>
        <v>61.14</v>
      </c>
      <c r="G67" s="339">
        <f>GETPIVOTDATA("dato",'[1]tabla dinámica IO men'!$A$96,"categoría","4* Y 5*","mes",2,"año",2006)</f>
        <v>55.209768794977798</v>
      </c>
      <c r="H67" s="339">
        <f>GETPIVOTDATA("dato",'[1]tabla dinámica IO men'!$A$96,"categoría","hoteleros","mes",2,"año",2006)</f>
        <v>58.68</v>
      </c>
      <c r="I67" s="339"/>
      <c r="J67" s="339">
        <f>GETPIVOTDATA("dato",'[1]tabla dinámica IO men'!$A$96,"categoría","total","mes",2,"año",2006)</f>
        <v>58.68</v>
      </c>
    </row>
    <row r="68" spans="3:10" hidden="1" outlineLevel="1">
      <c r="C68" s="51" t="s">
        <v>49</v>
      </c>
      <c r="D68" s="339">
        <f>GETPIVOTDATA("dato",'[1]tabla dinámica IO men'!$A$96,"categoría","1*","mes",1,"año",2006)</f>
        <v>33.369999999999997</v>
      </c>
      <c r="E68" s="339">
        <f>GETPIVOTDATA("dato",'[1]tabla dinámica IO men'!$A$96,"categoría","2*","mes",1,"año",2006)</f>
        <v>49.91</v>
      </c>
      <c r="F68" s="339">
        <f>GETPIVOTDATA("dato",'[1]tabla dinámica IO men'!$A$96,"categoría","3 *","mes",1,"año",2006)</f>
        <v>46.19</v>
      </c>
      <c r="G68" s="339">
        <f>GETPIVOTDATA("dato",'[1]tabla dinámica IO men'!$A$96,"categoría","4* Y 5*","mes",1,"año",2006)</f>
        <v>33.022162292984824</v>
      </c>
      <c r="H68" s="339">
        <f>GETPIVOTDATA("dato",'[1]tabla dinámica IO men'!$A$96,"categoría","hoteleros","mes",1,"año",2006)</f>
        <v>41.49</v>
      </c>
      <c r="I68" s="339"/>
      <c r="J68" s="339">
        <f>GETPIVOTDATA("dato",'[1]tabla dinámica IO men'!$A$96,"categoría","total","mes",1,"año",2006)</f>
        <v>41.49</v>
      </c>
    </row>
    <row r="69" spans="3:10" collapsed="1">
      <c r="C69" s="58">
        <v>2006</v>
      </c>
      <c r="D69" s="343">
        <f>'[1]tabla dinámica IO men'!B504</f>
        <v>51.619411702240626</v>
      </c>
      <c r="E69" s="343">
        <f>'[1]tabla dinámica IO men'!B505</f>
        <v>53.21258011813498</v>
      </c>
      <c r="F69" s="343">
        <f>'[1]tabla dinámica IO men'!B506</f>
        <v>45.866692482695193</v>
      </c>
      <c r="G69" s="343">
        <f>'[1]tabla dinámica IO men'!B507</f>
        <v>45.403103848243262</v>
      </c>
      <c r="H69" s="343">
        <f>'[1]tabla dinámica IO men'!B509</f>
        <v>48.703241505442456</v>
      </c>
      <c r="I69" s="343"/>
      <c r="J69" s="343">
        <f>'[1]tabla dinámica IO men'!B510</f>
        <v>48.703241505442456</v>
      </c>
    </row>
    <row r="70" spans="3:10" ht="15" customHeight="1">
      <c r="C70" s="165" t="s">
        <v>33</v>
      </c>
      <c r="D70" s="165"/>
      <c r="E70" s="165"/>
      <c r="F70" s="165"/>
      <c r="G70" s="165"/>
      <c r="H70" s="165"/>
      <c r="I70" s="165"/>
      <c r="J70" s="165"/>
    </row>
    <row r="72" spans="3:10" ht="30" customHeight="1"/>
    <row r="74" spans="3:10" ht="30" customHeight="1"/>
  </sheetData>
  <mergeCells count="2">
    <mergeCell ref="C3:J3"/>
    <mergeCell ref="C70:J7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C3:J57"/>
  <sheetViews>
    <sheetView showGridLines="0" showRowColHeaders="0" zoomScaleNormal="100" workbookViewId="0">
      <selection activeCell="I13" sqref="I13"/>
    </sheetView>
  </sheetViews>
  <sheetFormatPr baseColWidth="10" defaultRowHeight="15" outlineLevelRow="1"/>
  <cols>
    <col min="1" max="1" width="14.28515625" style="120" customWidth="1"/>
    <col min="2" max="8" width="11.42578125" style="120"/>
    <col min="9" max="9" width="14" style="120" customWidth="1"/>
    <col min="10" max="11" width="11.42578125" style="120"/>
    <col min="12" max="12" width="14.28515625" style="120" customWidth="1"/>
    <col min="13" max="16384" width="11.42578125" style="120"/>
  </cols>
  <sheetData>
    <row r="3" spans="3:10" ht="38.25" customHeight="1">
      <c r="C3" s="159" t="s">
        <v>255</v>
      </c>
      <c r="D3" s="159"/>
      <c r="E3" s="159"/>
      <c r="F3" s="159"/>
      <c r="G3" s="159"/>
      <c r="H3" s="159"/>
      <c r="I3" s="159"/>
      <c r="J3" s="159"/>
    </row>
    <row r="4" spans="3:10" ht="30">
      <c r="C4" s="160"/>
      <c r="D4" s="127" t="s">
        <v>253</v>
      </c>
      <c r="E4" s="127" t="s">
        <v>113</v>
      </c>
      <c r="F4" s="127" t="s">
        <v>114</v>
      </c>
      <c r="G4" s="127" t="s">
        <v>254</v>
      </c>
      <c r="H4" s="161" t="s">
        <v>35</v>
      </c>
      <c r="I4" s="161" t="s">
        <v>116</v>
      </c>
      <c r="J4" s="162" t="s">
        <v>37</v>
      </c>
    </row>
    <row r="5" spans="3:10" hidden="1">
      <c r="C5" s="51" t="s">
        <v>38</v>
      </c>
      <c r="D5" s="166">
        <f>IFERROR('tablas evol IO CAT '!D5/'tablas evol IO CAT '!D18-1,"-")</f>
        <v>-1</v>
      </c>
      <c r="E5" s="166">
        <f>IFERROR('tablas evol IO CAT '!E5/'tablas evol IO CAT '!E18-1,"-")</f>
        <v>-1</v>
      </c>
      <c r="F5" s="166">
        <f>IFERROR('tablas evol IO CAT '!F5/'tablas evol IO CAT '!F18-1,"-")</f>
        <v>-1</v>
      </c>
      <c r="G5" s="166">
        <f>IFERROR('tablas evol IO CAT '!G5/'tablas evol IO CAT '!G18-1,"-")</f>
        <v>-1</v>
      </c>
      <c r="H5" s="166">
        <f>IFERROR('tablas evol IO CAT '!H5/'tablas evol IO CAT '!H18-1,"-")</f>
        <v>-1</v>
      </c>
      <c r="I5" s="166" t="str">
        <f>IFERROR('tablas evol IO CAT '!I5/'tablas evol IO CAT '!I18-1,"-")</f>
        <v>-</v>
      </c>
      <c r="J5" s="166">
        <f>IFERROR('tablas evol IO CAT '!J5/'tablas evol IO CAT '!J18-1,"-")</f>
        <v>-1</v>
      </c>
    </row>
    <row r="6" spans="3:10" hidden="1">
      <c r="C6" s="51" t="s">
        <v>39</v>
      </c>
      <c r="D6" s="166">
        <f>IFERROR('tablas evol IO CAT '!D6/'tablas evol IO CAT '!D19-1,"-")</f>
        <v>-1</v>
      </c>
      <c r="E6" s="166">
        <f>IFERROR('tablas evol IO CAT '!E6/'tablas evol IO CAT '!E19-1,"-")</f>
        <v>-1</v>
      </c>
      <c r="F6" s="166">
        <f>IFERROR('tablas evol IO CAT '!F6/'tablas evol IO CAT '!F19-1,"-")</f>
        <v>-1</v>
      </c>
      <c r="G6" s="166">
        <f>IFERROR('tablas evol IO CAT '!G6/'tablas evol IO CAT '!G19-1,"-")</f>
        <v>-1</v>
      </c>
      <c r="H6" s="166">
        <f>IFERROR('tablas evol IO CAT '!H6/'tablas evol IO CAT '!H19-1,"-")</f>
        <v>-1</v>
      </c>
      <c r="I6" s="166" t="str">
        <f>IFERROR('tablas evol IO CAT '!I6/'tablas evol IO CAT '!I19-1,"-")</f>
        <v>-</v>
      </c>
      <c r="J6" s="166">
        <f>IFERROR('tablas evol IO CAT '!J6/'tablas evol IO CAT '!J19-1,"-")</f>
        <v>-1</v>
      </c>
    </row>
    <row r="7" spans="3:10" hidden="1">
      <c r="C7" s="51" t="s">
        <v>40</v>
      </c>
      <c r="D7" s="166">
        <f>IFERROR('tablas evol IO CAT '!D7/'tablas evol IO CAT '!D20-1,"-")</f>
        <v>-1</v>
      </c>
      <c r="E7" s="166">
        <f>IFERROR('tablas evol IO CAT '!E7/'tablas evol IO CAT '!E20-1,"-")</f>
        <v>-1</v>
      </c>
      <c r="F7" s="166">
        <f>IFERROR('tablas evol IO CAT '!F7/'tablas evol IO CAT '!F20-1,"-")</f>
        <v>-1</v>
      </c>
      <c r="G7" s="166">
        <f>IFERROR('tablas evol IO CAT '!G7/'tablas evol IO CAT '!G20-1,"-")</f>
        <v>-1</v>
      </c>
      <c r="H7" s="166">
        <f>IFERROR('tablas evol IO CAT '!H7/'tablas evol IO CAT '!H20-1,"-")</f>
        <v>-1</v>
      </c>
      <c r="I7" s="166" t="str">
        <f>IFERROR('tablas evol IO CAT '!I7/'tablas evol IO CAT '!I20-1,"-")</f>
        <v>-</v>
      </c>
      <c r="J7" s="166">
        <f>IFERROR('tablas evol IO CAT '!J7/'tablas evol IO CAT '!J20-1,"-")</f>
        <v>-1</v>
      </c>
    </row>
    <row r="8" spans="3:10" hidden="1">
      <c r="C8" s="51" t="s">
        <v>41</v>
      </c>
      <c r="D8" s="166">
        <f>IFERROR('tablas evol IO CAT '!D8/'tablas evol IO CAT '!D21-1,"-")</f>
        <v>-1</v>
      </c>
      <c r="E8" s="166">
        <f>IFERROR('tablas evol IO CAT '!E8/'tablas evol IO CAT '!E21-1,"-")</f>
        <v>-1</v>
      </c>
      <c r="F8" s="166">
        <f>IFERROR('tablas evol IO CAT '!F8/'tablas evol IO CAT '!F21-1,"-")</f>
        <v>-1</v>
      </c>
      <c r="G8" s="166">
        <f>IFERROR('tablas evol IO CAT '!G8/'tablas evol IO CAT '!G21-1,"-")</f>
        <v>-1</v>
      </c>
      <c r="H8" s="166">
        <f>IFERROR('tablas evol IO CAT '!H8/'tablas evol IO CAT '!H21-1,"-")</f>
        <v>-1</v>
      </c>
      <c r="I8" s="166" t="str">
        <f>IFERROR('tablas evol IO CAT '!I8/'tablas evol IO CAT '!I21-1,"-")</f>
        <v>-</v>
      </c>
      <c r="J8" s="166">
        <f>IFERROR('tablas evol IO CAT '!J8/'tablas evol IO CAT '!J21-1,"-")</f>
        <v>-1</v>
      </c>
    </row>
    <row r="9" spans="3:10" hidden="1">
      <c r="C9" s="51" t="s">
        <v>42</v>
      </c>
      <c r="D9" s="166">
        <f>IFERROR('tablas evol IO CAT '!D9/'tablas evol IO CAT '!D22-1,"-")</f>
        <v>-1</v>
      </c>
      <c r="E9" s="166">
        <f>IFERROR('tablas evol IO CAT '!E9/'tablas evol IO CAT '!E22-1,"-")</f>
        <v>-1</v>
      </c>
      <c r="F9" s="166">
        <f>IFERROR('tablas evol IO CAT '!F9/'tablas evol IO CAT '!F22-1,"-")</f>
        <v>-1</v>
      </c>
      <c r="G9" s="166">
        <f>IFERROR('tablas evol IO CAT '!G9/'tablas evol IO CAT '!G22-1,"-")</f>
        <v>-1</v>
      </c>
      <c r="H9" s="166">
        <f>IFERROR('tablas evol IO CAT '!H9/'tablas evol IO CAT '!H22-1,"-")</f>
        <v>-1</v>
      </c>
      <c r="I9" s="166" t="str">
        <f>IFERROR('tablas evol IO CAT '!I9/'tablas evol IO CAT '!I22-1,"-")</f>
        <v>-</v>
      </c>
      <c r="J9" s="166">
        <f>IFERROR('tablas evol IO CAT '!J9/'tablas evol IO CAT '!J22-1,"-")</f>
        <v>-1</v>
      </c>
    </row>
    <row r="10" spans="3:10">
      <c r="C10" s="51" t="s">
        <v>43</v>
      </c>
      <c r="D10" s="166">
        <f>IFERROR('tablas evol IO CAT '!D10/'tablas evol IO CAT '!D23-1,"-")</f>
        <v>-9.9549774887443654E-2</v>
      </c>
      <c r="E10" s="166">
        <f>IFERROR('tablas evol IO CAT '!E10/'tablas evol IO CAT '!E23-1,"-")</f>
        <v>-0.18620096684083143</v>
      </c>
      <c r="F10" s="166">
        <f>IFERROR('tablas evol IO CAT '!F10/'tablas evol IO CAT '!F23-1,"-")</f>
        <v>-0.15067034612431152</v>
      </c>
      <c r="G10" s="166">
        <f>IFERROR('tablas evol IO CAT '!G10/'tablas evol IO CAT '!G23-1,"-")</f>
        <v>0.80121158911325696</v>
      </c>
      <c r="H10" s="166">
        <f>IFERROR('tablas evol IO CAT '!H10/'tablas evol IO CAT '!H23-1,"-")</f>
        <v>8.2004555808656177E-2</v>
      </c>
      <c r="I10" s="166" t="str">
        <f>IFERROR('tablas evol IO CAT '!I10/'tablas evol IO CAT '!I23-1,"-")</f>
        <v>-</v>
      </c>
      <c r="J10" s="166">
        <f>IFERROR('tablas evol IO CAT '!J10/'tablas evol IO CAT '!J23-1,"-")</f>
        <v>8.2004555808656177E-2</v>
      </c>
    </row>
    <row r="11" spans="3:10">
      <c r="C11" s="51" t="s">
        <v>44</v>
      </c>
      <c r="D11" s="166">
        <f>IFERROR('tablas evol IO CAT '!D11/'tablas evol IO CAT '!D24-1,"-")</f>
        <v>-2.7920664206642187E-2</v>
      </c>
      <c r="E11" s="166">
        <f>IFERROR('tablas evol IO CAT '!E11/'tablas evol IO CAT '!E24-1,"-")</f>
        <v>5.4784857747472326E-2</v>
      </c>
      <c r="F11" s="166">
        <f>IFERROR('tablas evol IO CAT '!F11/'tablas evol IO CAT '!F24-1,"-")</f>
        <v>0.1660073659800847</v>
      </c>
      <c r="G11" s="166">
        <f>IFERROR('tablas evol IO CAT '!G11/'tablas evol IO CAT '!G24-1,"-")</f>
        <v>-0.34197802197802196</v>
      </c>
      <c r="H11" s="166">
        <f>IFERROR('tablas evol IO CAT '!H11/'tablas evol IO CAT '!H24-1,"-")</f>
        <v>-6.0264251654686407E-2</v>
      </c>
      <c r="I11" s="166" t="str">
        <f>IFERROR('tablas evol IO CAT '!I11/'tablas evol IO CAT '!I24-1,"-")</f>
        <v>-</v>
      </c>
      <c r="J11" s="166">
        <f>IFERROR('tablas evol IO CAT '!J11/'tablas evol IO CAT '!J24-1,"-")</f>
        <v>-6.0264251654686407E-2</v>
      </c>
    </row>
    <row r="12" spans="3:10">
      <c r="C12" s="51" t="s">
        <v>45</v>
      </c>
      <c r="D12" s="166">
        <f>IFERROR('tablas evol IO CAT '!D12/'tablas evol IO CAT '!D25-1,"-")</f>
        <v>-4.2242912072031014E-2</v>
      </c>
      <c r="E12" s="166">
        <f>IFERROR('tablas evol IO CAT '!E12/'tablas evol IO CAT '!E25-1,"-")</f>
        <v>-0.1766542694768003</v>
      </c>
      <c r="F12" s="166">
        <f>IFERROR('tablas evol IO CAT '!F12/'tablas evol IO CAT '!F25-1,"-")</f>
        <v>-7.5365939985204911E-2</v>
      </c>
      <c r="G12" s="166">
        <f>IFERROR('tablas evol IO CAT '!G12/'tablas evol IO CAT '!G25-1,"-")</f>
        <v>-0.22230863237418075</v>
      </c>
      <c r="H12" s="166">
        <f>IFERROR('tablas evol IO CAT '!H12/'tablas evol IO CAT '!H25-1,"-")</f>
        <v>-0.15112897834020211</v>
      </c>
      <c r="I12" s="166" t="str">
        <f>IFERROR('tablas evol IO CAT '!I12/'tablas evol IO CAT '!I25-1,"-")</f>
        <v>-</v>
      </c>
      <c r="J12" s="166">
        <f>IFERROR('tablas evol IO CAT '!J12/'tablas evol IO CAT '!J25-1,"-")</f>
        <v>-0.15112897834020211</v>
      </c>
    </row>
    <row r="13" spans="3:10">
      <c r="C13" s="51" t="s">
        <v>46</v>
      </c>
      <c r="D13" s="166">
        <f>IFERROR('tablas evol IO CAT '!D13/'tablas evol IO CAT '!D26-1,"-")</f>
        <v>-0.11403722669267646</v>
      </c>
      <c r="E13" s="166">
        <f>IFERROR('tablas evol IO CAT '!E13/'tablas evol IO CAT '!E26-1,"-")</f>
        <v>-0.16183867880764935</v>
      </c>
      <c r="F13" s="166">
        <f>IFERROR('tablas evol IO CAT '!F13/'tablas evol IO CAT '!F26-1,"-")</f>
        <v>0.14752812854136321</v>
      </c>
      <c r="G13" s="166">
        <f>IFERROR('tablas evol IO CAT '!G13/'tablas evol IO CAT '!G26-1,"-")</f>
        <v>-0.1335246082542485</v>
      </c>
      <c r="H13" s="166">
        <f>IFERROR('tablas evol IO CAT '!H13/'tablas evol IO CAT '!H26-1,"-")</f>
        <v>-6.6802700073436361E-2</v>
      </c>
      <c r="I13" s="166" t="str">
        <f>IFERROR('tablas evol IO CAT '!I13/'tablas evol IO CAT '!I26-1,"-")</f>
        <v>-</v>
      </c>
      <c r="J13" s="166">
        <f>IFERROR('tablas evol IO CAT '!J13/'tablas evol IO CAT '!J26-1,"-")</f>
        <v>-6.6802700073436361E-2</v>
      </c>
    </row>
    <row r="14" spans="3:10">
      <c r="C14" s="51" t="s">
        <v>47</v>
      </c>
      <c r="D14" s="166">
        <f>IFERROR('tablas evol IO CAT '!D14/'tablas evol IO CAT '!D27-1,"-")</f>
        <v>-4.5082594344091009E-2</v>
      </c>
      <c r="E14" s="166">
        <f>IFERROR('tablas evol IO CAT '!E14/'tablas evol IO CAT '!E27-1,"-")</f>
        <v>-0.39879229233705582</v>
      </c>
      <c r="F14" s="166">
        <f>IFERROR('tablas evol IO CAT '!F14/'tablas evol IO CAT '!F27-1,"-")</f>
        <v>-9.185450997407385E-2</v>
      </c>
      <c r="G14" s="166">
        <f>IFERROR('tablas evol IO CAT '!G14/'tablas evol IO CAT '!G27-1,"-")</f>
        <v>-0.11497623622206499</v>
      </c>
      <c r="H14" s="166">
        <f>IFERROR('tablas evol IO CAT '!H14/'tablas evol IO CAT '!H27-1,"-")</f>
        <v>-0.21527156681848048</v>
      </c>
      <c r="I14" s="166" t="str">
        <f>IFERROR('tablas evol IO CAT '!I14/'tablas evol IO CAT '!I27-1,"-")</f>
        <v>-</v>
      </c>
      <c r="J14" s="166">
        <f>IFERROR('tablas evol IO CAT '!J14/'tablas evol IO CAT '!J27-1,"-")</f>
        <v>-0.21527156681848048</v>
      </c>
    </row>
    <row r="15" spans="3:10">
      <c r="C15" s="51" t="s">
        <v>48</v>
      </c>
      <c r="D15" s="166">
        <f>IFERROR('tablas evol IO CAT '!D15/'tablas evol IO CAT '!D28-1,"-")</f>
        <v>0.36815548495608286</v>
      </c>
      <c r="E15" s="166">
        <f>IFERROR('tablas evol IO CAT '!E15/'tablas evol IO CAT '!E28-1,"-")</f>
        <v>-3.2838154808444098E-2</v>
      </c>
      <c r="F15" s="166">
        <f>IFERROR('tablas evol IO CAT '!F15/'tablas evol IO CAT '!F28-1,"-")</f>
        <v>3.1140657802659177E-2</v>
      </c>
      <c r="G15" s="166">
        <f>IFERROR('tablas evol IO CAT '!G15/'tablas evol IO CAT '!G28-1,"-")</f>
        <v>-0.36051236140761667</v>
      </c>
      <c r="H15" s="166">
        <f>IFERROR('tablas evol IO CAT '!H15/'tablas evol IO CAT '!H28-1,"-")</f>
        <v>-0.10880548538433776</v>
      </c>
      <c r="I15" s="166" t="str">
        <f>IFERROR('tablas evol IO CAT '!I15/'tablas evol IO CAT '!I28-1,"-")</f>
        <v>-</v>
      </c>
      <c r="J15" s="166">
        <f>IFERROR('tablas evol IO CAT '!J15/'tablas evol IO CAT '!J28-1,"-")</f>
        <v>-0.10880548538433776</v>
      </c>
    </row>
    <row r="16" spans="3:10">
      <c r="C16" s="51" t="s">
        <v>49</v>
      </c>
      <c r="D16" s="166">
        <f>IFERROR('tablas evol IO CAT '!D16/'tablas evol IO CAT '!D29-1,"-")</f>
        <v>4.7594807839144826E-2</v>
      </c>
      <c r="E16" s="166">
        <f>IFERROR('tablas evol IO CAT '!E16/'tablas evol IO CAT '!E29-1,"-")</f>
        <v>-0.25547445255474455</v>
      </c>
      <c r="F16" s="166">
        <f>IFERROR('tablas evol IO CAT '!F16/'tablas evol IO CAT '!F29-1,"-")</f>
        <v>0.18264150943396218</v>
      </c>
      <c r="G16" s="166">
        <f>IFERROR('tablas evol IO CAT '!G16/'tablas evol IO CAT '!G29-1,"-")</f>
        <v>-0.21537402083154</v>
      </c>
      <c r="H16" s="166">
        <f>IFERROR('tablas evol IO CAT '!H16/'tablas evol IO CAT '!H29-1,"-")</f>
        <v>-0.12205567451820132</v>
      </c>
      <c r="I16" s="166" t="str">
        <f>IFERROR('tablas evol IO CAT '!I16/'tablas evol IO CAT '!I29-1,"-")</f>
        <v>-</v>
      </c>
      <c r="J16" s="166">
        <f>IFERROR('tablas evol IO CAT '!J16/'tablas evol IO CAT '!J29-1,"-")</f>
        <v>-0.12205567451820132</v>
      </c>
    </row>
    <row r="17" spans="3:10" ht="30">
      <c r="C17" s="69" t="s">
        <v>55</v>
      </c>
      <c r="D17" s="167">
        <f>'[1]tabla dinámica municipios'!$L$392/'[1]tabla dinámica municipios'!$B$392-1</f>
        <v>2.190455210654596E-2</v>
      </c>
      <c r="E17" s="167">
        <f>'[1]tabla dinámica municipios'!$N$392/'[1]tabla dinámica municipios'!$D$392-1</f>
        <v>-0.18082242643646151</v>
      </c>
      <c r="F17" s="167">
        <f>'[1]tabla dinámica municipios'!$O$392/'[1]tabla dinámica municipios'!$E$392-1</f>
        <v>2.2554556229519518E-2</v>
      </c>
      <c r="G17" s="167">
        <f>'[1]tabla dinámica municipios'!$Q$392/'[1]tabla dinámica municipios'!$G$392-1</f>
        <v>-0.16694188688969713</v>
      </c>
      <c r="H17" s="167">
        <f>'[1]tabla dinámica municipios'!$T$392/'[1]tabla dinámica municipios'!$J$392-1</f>
        <v>-9.9145053207750466E-2</v>
      </c>
      <c r="I17" s="167" t="s">
        <v>32</v>
      </c>
      <c r="J17" s="167">
        <f>'[1]tabla dinámica municipios'!$U$392/'[1]tabla dinámica municipios'!$K$392-1</f>
        <v>-9.9145053207750466E-2</v>
      </c>
    </row>
    <row r="18" spans="3:10" hidden="1" outlineLevel="1">
      <c r="C18" s="51" t="s">
        <v>38</v>
      </c>
      <c r="D18" s="166">
        <f>IFERROR('tablas evol IO CAT '!D18/'tablas evol IO CAT '!D31-1,"-")</f>
        <v>-0.13081036091704701</v>
      </c>
      <c r="E18" s="166">
        <f>IFERROR('tablas evol IO CAT '!E18/'tablas evol IO CAT '!E31-1,"-")</f>
        <v>-0.17705667178165518</v>
      </c>
      <c r="F18" s="166">
        <f>IFERROR('tablas evol IO CAT '!F18/'tablas evol IO CAT '!F31-1,"-")</f>
        <v>0.20688698843579845</v>
      </c>
      <c r="G18" s="166">
        <f>IFERROR('tablas evol IO CAT '!G18/'tablas evol IO CAT '!G31-1,"-")</f>
        <v>0.37008619873069981</v>
      </c>
      <c r="H18" s="166">
        <f>IFERROR('tablas evol IO CAT '!H18/'tablas evol IO CAT '!H31-1,"-")</f>
        <v>5.2430183702336208E-2</v>
      </c>
      <c r="I18" s="166" t="str">
        <f>IFERROR('tablas evol IO CAT '!I18/'tablas evol IO CAT '!I31-1,"-")</f>
        <v>-</v>
      </c>
      <c r="J18" s="166">
        <f>IFERROR('tablas evol IO CAT '!J18/'tablas evol IO CAT '!J31-1,"-")</f>
        <v>5.2430183702336208E-2</v>
      </c>
    </row>
    <row r="19" spans="3:10" hidden="1" outlineLevel="1">
      <c r="C19" s="51" t="s">
        <v>39</v>
      </c>
      <c r="D19" s="166">
        <f>IFERROR('tablas evol IO CAT '!D19/'tablas evol IO CAT '!D32-1,"-")</f>
        <v>-0.17909983836876786</v>
      </c>
      <c r="E19" s="166">
        <f>IFERROR('tablas evol IO CAT '!E19/'tablas evol IO CAT '!E32-1,"-")</f>
        <v>-0.29610100348241475</v>
      </c>
      <c r="F19" s="166">
        <f>IFERROR('tablas evol IO CAT '!F19/'tablas evol IO CAT '!F32-1,"-")</f>
        <v>-0.13803625466651515</v>
      </c>
      <c r="G19" s="166">
        <f>IFERROR('tablas evol IO CAT '!G19/'tablas evol IO CAT '!G32-1,"-")</f>
        <v>-0.31043962253489288</v>
      </c>
      <c r="H19" s="166">
        <f>IFERROR('tablas evol IO CAT '!H19/'tablas evol IO CAT '!H32-1,"-")</f>
        <v>-0.27316398872826997</v>
      </c>
      <c r="I19" s="166" t="str">
        <f>IFERROR('tablas evol IO CAT '!I19/'tablas evol IO CAT '!I32-1,"-")</f>
        <v>-</v>
      </c>
      <c r="J19" s="166">
        <f>IFERROR('tablas evol IO CAT '!J19/'tablas evol IO CAT '!J32-1,"-")</f>
        <v>-0.27316398872826997</v>
      </c>
    </row>
    <row r="20" spans="3:10" hidden="1" outlineLevel="1">
      <c r="C20" s="51" t="s">
        <v>40</v>
      </c>
      <c r="D20" s="166">
        <f>IFERROR('tablas evol IO CAT '!D20/'tablas evol IO CAT '!D33-1,"-")</f>
        <v>-0.23623527517951493</v>
      </c>
      <c r="E20" s="166">
        <f>IFERROR('tablas evol IO CAT '!E20/'tablas evol IO CAT '!E33-1,"-")</f>
        <v>-0.35077066953641955</v>
      </c>
      <c r="F20" s="166">
        <f>IFERROR('tablas evol IO CAT '!F20/'tablas evol IO CAT '!F33-1,"-")</f>
        <v>-0.1694565448040688</v>
      </c>
      <c r="G20" s="166">
        <f>IFERROR('tablas evol IO CAT '!G20/'tablas evol IO CAT '!G33-1,"-")</f>
        <v>-0.14483922377425695</v>
      </c>
      <c r="H20" s="166">
        <f>IFERROR('tablas evol IO CAT '!H20/'tablas evol IO CAT '!H33-1,"-")</f>
        <v>-0.25178565215282012</v>
      </c>
      <c r="I20" s="166" t="str">
        <f>IFERROR('tablas evol IO CAT '!I20/'tablas evol IO CAT '!I33-1,"-")</f>
        <v>-</v>
      </c>
      <c r="J20" s="166">
        <f>IFERROR('tablas evol IO CAT '!J20/'tablas evol IO CAT '!J33-1,"-")</f>
        <v>-0.25178565215282012</v>
      </c>
    </row>
    <row r="21" spans="3:10" hidden="1" outlineLevel="1">
      <c r="C21" s="51" t="s">
        <v>41</v>
      </c>
      <c r="D21" s="166">
        <f>IFERROR('tablas evol IO CAT '!D21/'tablas evol IO CAT '!D34-1,"-")</f>
        <v>-7.9898541534559331E-2</v>
      </c>
      <c r="E21" s="166">
        <f>IFERROR('tablas evol IO CAT '!E21/'tablas evol IO CAT '!E34-1,"-")</f>
        <v>-0.24072418417523478</v>
      </c>
      <c r="F21" s="166">
        <f>IFERROR('tablas evol IO CAT '!F21/'tablas evol IO CAT '!F34-1,"-")</f>
        <v>-8.6439024390243868E-2</v>
      </c>
      <c r="G21" s="166">
        <f>IFERROR('tablas evol IO CAT '!G21/'tablas evol IO CAT '!G34-1,"-")</f>
        <v>-0.10087005530311044</v>
      </c>
      <c r="H21" s="166">
        <f>IFERROR('tablas evol IO CAT '!H21/'tablas evol IO CAT '!H34-1,"-")</f>
        <v>-0.15654091131798142</v>
      </c>
      <c r="I21" s="166" t="str">
        <f>IFERROR('tablas evol IO CAT '!I21/'tablas evol IO CAT '!I34-1,"-")</f>
        <v>-</v>
      </c>
      <c r="J21" s="166">
        <f>IFERROR('tablas evol IO CAT '!J21/'tablas evol IO CAT '!J34-1,"-")</f>
        <v>-0.15654091131798142</v>
      </c>
    </row>
    <row r="22" spans="3:10" hidden="1" outlineLevel="1">
      <c r="C22" s="51" t="s">
        <v>42</v>
      </c>
      <c r="D22" s="166">
        <f>IFERROR('tablas evol IO CAT '!D22/'tablas evol IO CAT '!D35-1,"-")</f>
        <v>-0.19298245614035092</v>
      </c>
      <c r="E22" s="166">
        <f>IFERROR('tablas evol IO CAT '!E22/'tablas evol IO CAT '!E35-1,"-")</f>
        <v>-0.22228246137164542</v>
      </c>
      <c r="F22" s="166">
        <f>IFERROR('tablas evol IO CAT '!F22/'tablas evol IO CAT '!F35-1,"-")</f>
        <v>-0.30510291595197259</v>
      </c>
      <c r="G22" s="166">
        <f>IFERROR('tablas evol IO CAT '!G22/'tablas evol IO CAT '!G35-1,"-")</f>
        <v>-0.22380008806693075</v>
      </c>
      <c r="H22" s="166">
        <f>IFERROR('tablas evol IO CAT '!H22/'tablas evol IO CAT '!H35-1,"-")</f>
        <v>-0.25338753387533874</v>
      </c>
      <c r="I22" s="166" t="str">
        <f>IFERROR('tablas evol IO CAT '!I22/'tablas evol IO CAT '!I35-1,"-")</f>
        <v>-</v>
      </c>
      <c r="J22" s="166">
        <f>IFERROR('tablas evol IO CAT '!J22/'tablas evol IO CAT '!J35-1,"-")</f>
        <v>-0.25338753387533874</v>
      </c>
    </row>
    <row r="23" spans="3:10" hidden="1" outlineLevel="1">
      <c r="C23" s="51" t="s">
        <v>43</v>
      </c>
      <c r="D23" s="166">
        <f>IFERROR('tablas evol IO CAT '!D23/'tablas evol IO CAT '!D36-1,"-")</f>
        <v>-0.31104601068412896</v>
      </c>
      <c r="E23" s="166">
        <f>IFERROR('tablas evol IO CAT '!E23/'tablas evol IO CAT '!E36-1,"-")</f>
        <v>-0.29480820105820105</v>
      </c>
      <c r="F23" s="166">
        <f>IFERROR('tablas evol IO CAT '!F23/'tablas evol IO CAT '!F36-1,"-")</f>
        <v>-5.3652230122818279E-2</v>
      </c>
      <c r="G23" s="166">
        <f>IFERROR('tablas evol IO CAT '!G23/'tablas evol IO CAT '!G36-1,"-")</f>
        <v>-0.35779299234796613</v>
      </c>
      <c r="H23" s="166">
        <f>IFERROR('tablas evol IO CAT '!H23/'tablas evol IO CAT '!H36-1,"-")</f>
        <v>-0.28165268971159751</v>
      </c>
      <c r="I23" s="166" t="str">
        <f>IFERROR('tablas evol IO CAT '!I23/'tablas evol IO CAT '!I36-1,"-")</f>
        <v>-</v>
      </c>
      <c r="J23" s="166">
        <f>IFERROR('tablas evol IO CAT '!J23/'tablas evol IO CAT '!J36-1,"-")</f>
        <v>-0.28165268971159751</v>
      </c>
    </row>
    <row r="24" spans="3:10" hidden="1" outlineLevel="1">
      <c r="C24" s="51" t="s">
        <v>44</v>
      </c>
      <c r="D24" s="166">
        <f>IFERROR('tablas evol IO CAT '!D24/'tablas evol IO CAT '!D37-1,"-")</f>
        <v>-0.19930744525892508</v>
      </c>
      <c r="E24" s="166">
        <f>IFERROR('tablas evol IO CAT '!E24/'tablas evol IO CAT '!E37-1,"-")</f>
        <v>-0.22025467769273865</v>
      </c>
      <c r="F24" s="166">
        <f>IFERROR('tablas evol IO CAT '!F24/'tablas evol IO CAT '!F37-1,"-")</f>
        <v>-0.22792406252435449</v>
      </c>
      <c r="G24" s="166">
        <f>IFERROR('tablas evol IO CAT '!G24/'tablas evol IO CAT '!G37-1,"-")</f>
        <v>-0.12336855189558738</v>
      </c>
      <c r="H24" s="166">
        <f>IFERROR('tablas evol IO CAT '!H24/'tablas evol IO CAT '!H37-1,"-")</f>
        <v>-0.20901038000067951</v>
      </c>
      <c r="I24" s="166" t="str">
        <f>IFERROR('tablas evol IO CAT '!I24/'tablas evol IO CAT '!I37-1,"-")</f>
        <v>-</v>
      </c>
      <c r="J24" s="166">
        <f>IFERROR('tablas evol IO CAT '!J24/'tablas evol IO CAT '!J37-1,"-")</f>
        <v>-0.20901038000067951</v>
      </c>
    </row>
    <row r="25" spans="3:10" hidden="1" outlineLevel="1">
      <c r="C25" s="51" t="s">
        <v>45</v>
      </c>
      <c r="D25" s="166">
        <f>IFERROR('tablas evol IO CAT '!D25/'tablas evol IO CAT '!D38-1,"-")</f>
        <v>-0.25111834078893858</v>
      </c>
      <c r="E25" s="166">
        <f>IFERROR('tablas evol IO CAT '!E25/'tablas evol IO CAT '!E38-1,"-")</f>
        <v>-0.21856772521062873</v>
      </c>
      <c r="F25" s="166">
        <f>IFERROR('tablas evol IO CAT '!F25/'tablas evol IO CAT '!F38-1,"-")</f>
        <v>-5.9117235869782347E-2</v>
      </c>
      <c r="G25" s="166">
        <f>IFERROR('tablas evol IO CAT '!G25/'tablas evol IO CAT '!G38-1,"-")</f>
        <v>-0.48198664825046045</v>
      </c>
      <c r="H25" s="166">
        <f>IFERROR('tablas evol IO CAT '!H25/'tablas evol IO CAT '!H38-1,"-")</f>
        <v>-0.29979952615272454</v>
      </c>
      <c r="I25" s="166" t="str">
        <f>IFERROR('tablas evol IO CAT '!I25/'tablas evol IO CAT '!I38-1,"-")</f>
        <v>-</v>
      </c>
      <c r="J25" s="166">
        <f>IFERROR('tablas evol IO CAT '!J25/'tablas evol IO CAT '!J38-1,"-")</f>
        <v>-0.29979952615272454</v>
      </c>
    </row>
    <row r="26" spans="3:10" hidden="1" outlineLevel="1">
      <c r="C26" s="51" t="s">
        <v>46</v>
      </c>
      <c r="D26" s="166">
        <f>IFERROR('tablas evol IO CAT '!D26/'tablas evol IO CAT '!D39-1,"-")</f>
        <v>-0.21960038058991438</v>
      </c>
      <c r="E26" s="166">
        <f>IFERROR('tablas evol IO CAT '!E26/'tablas evol IO CAT '!E39-1,"-")</f>
        <v>-0.1739058355437666</v>
      </c>
      <c r="F26" s="166">
        <f>IFERROR('tablas evol IO CAT '!F26/'tablas evol IO CAT '!F39-1,"-")</f>
        <v>-0.14473931865236223</v>
      </c>
      <c r="G26" s="166">
        <f>IFERROR('tablas evol IO CAT '!G26/'tablas evol IO CAT '!G39-1,"-")</f>
        <v>-0.26203273176241881</v>
      </c>
      <c r="H26" s="166">
        <f>IFERROR('tablas evol IO CAT '!H26/'tablas evol IO CAT '!H39-1,"-")</f>
        <v>-0.22147385103011097</v>
      </c>
      <c r="I26" s="166" t="str">
        <f>IFERROR('tablas evol IO CAT '!I26/'tablas evol IO CAT '!I39-1,"-")</f>
        <v>-</v>
      </c>
      <c r="J26" s="166">
        <f>IFERROR('tablas evol IO CAT '!J26/'tablas evol IO CAT '!J39-1,"-")</f>
        <v>-0.22147385103011097</v>
      </c>
    </row>
    <row r="27" spans="3:10" hidden="1" outlineLevel="1">
      <c r="C27" s="51" t="s">
        <v>47</v>
      </c>
      <c r="D27" s="166">
        <f>IFERROR('tablas evol IO CAT '!D27/'tablas evol IO CAT '!D40-1,"-")</f>
        <v>-0.22564281966066113</v>
      </c>
      <c r="E27" s="166">
        <f>IFERROR('tablas evol IO CAT '!E27/'tablas evol IO CAT '!E40-1,"-")</f>
        <v>0.19175938803894277</v>
      </c>
      <c r="F27" s="166">
        <f>IFERROR('tablas evol IO CAT '!F27/'tablas evol IO CAT '!F40-1,"-")</f>
        <v>-2.87963140717995E-3</v>
      </c>
      <c r="G27" s="166">
        <f>IFERROR('tablas evol IO CAT '!G27/'tablas evol IO CAT '!G40-1,"-")</f>
        <v>-0.45352564102564097</v>
      </c>
      <c r="H27" s="166">
        <f>IFERROR('tablas evol IO CAT '!H27/'tablas evol IO CAT '!H40-1,"-")</f>
        <v>-0.15998561927017807</v>
      </c>
      <c r="I27" s="166" t="str">
        <f>IFERROR('tablas evol IO CAT '!I27/'tablas evol IO CAT '!I40-1,"-")</f>
        <v>-</v>
      </c>
      <c r="J27" s="166">
        <f>IFERROR('tablas evol IO CAT '!J27/'tablas evol IO CAT '!J40-1,"-")</f>
        <v>-0.15998561927017807</v>
      </c>
    </row>
    <row r="28" spans="3:10" hidden="1" outlineLevel="1">
      <c r="C28" s="51" t="s">
        <v>48</v>
      </c>
      <c r="D28" s="166">
        <f>IFERROR('tablas evol IO CAT '!D28/'tablas evol IO CAT '!D41-1,"-")</f>
        <v>-0.24623186364276661</v>
      </c>
      <c r="E28" s="166">
        <f>IFERROR('tablas evol IO CAT '!E28/'tablas evol IO CAT '!E41-1,"-")</f>
        <v>-0.14926167353997599</v>
      </c>
      <c r="F28" s="166">
        <f>IFERROR('tablas evol IO CAT '!F28/'tablas evol IO CAT '!F41-1,"-")</f>
        <v>-8.1914551879216257E-2</v>
      </c>
      <c r="G28" s="166">
        <f>IFERROR('tablas evol IO CAT '!G28/'tablas evol IO CAT '!G41-1,"-")</f>
        <v>0.21969664126935973</v>
      </c>
      <c r="H28" s="166">
        <f>IFERROR('tablas evol IO CAT '!H28/'tablas evol IO CAT '!H41-1,"-")</f>
        <v>-7.7102414654454554E-2</v>
      </c>
      <c r="I28" s="166" t="str">
        <f>IFERROR('tablas evol IO CAT '!I28/'tablas evol IO CAT '!I41-1,"-")</f>
        <v>-</v>
      </c>
      <c r="J28" s="166">
        <f>IFERROR('tablas evol IO CAT '!J28/'tablas evol IO CAT '!J41-1,"-")</f>
        <v>-7.7102414654454554E-2</v>
      </c>
    </row>
    <row r="29" spans="3:10" hidden="1" outlineLevel="1">
      <c r="C29" s="51" t="s">
        <v>49</v>
      </c>
      <c r="D29" s="166">
        <f>IFERROR('tablas evol IO CAT '!D29/'tablas evol IO CAT '!D42-1,"-")</f>
        <v>-0.28407434402332365</v>
      </c>
      <c r="E29" s="166">
        <f>IFERROR('tablas evol IO CAT '!E29/'tablas evol IO CAT '!E42-1,"-")</f>
        <v>-0.17469879518072295</v>
      </c>
      <c r="F29" s="166">
        <f>IFERROR('tablas evol IO CAT '!F29/'tablas evol IO CAT '!F42-1,"-")</f>
        <v>-6.8213783403656691E-2</v>
      </c>
      <c r="G29" s="166">
        <f>IFERROR('tablas evol IO CAT '!G29/'tablas evol IO CAT '!G42-1,"-")</f>
        <v>-7.3604465709728895E-2</v>
      </c>
      <c r="H29" s="166">
        <f>IFERROR('tablas evol IO CAT '!H29/'tablas evol IO CAT '!H42-1,"-")</f>
        <v>-0.15568501406187218</v>
      </c>
      <c r="I29" s="166" t="str">
        <f>IFERROR('tablas evol IO CAT '!I29/'tablas evol IO CAT '!I42-1,"-")</f>
        <v>-</v>
      </c>
      <c r="J29" s="166">
        <f>IFERROR('tablas evol IO CAT '!J29/'tablas evol IO CAT '!J42-1,"-")</f>
        <v>-0.15568501406187218</v>
      </c>
    </row>
    <row r="30" spans="3:10" collapsed="1">
      <c r="C30" s="56">
        <v>2009</v>
      </c>
      <c r="D30" s="168">
        <f>IFERROR('tablas evol IO CAT '!D30/'tablas evol IO CAT '!D43-1,"-")</f>
        <v>-0.21731241191373052</v>
      </c>
      <c r="E30" s="168">
        <f>IFERROR('tablas evol IO CAT '!E30/'tablas evol IO CAT '!E43-1,"-")</f>
        <v>-0.19397343542524992</v>
      </c>
      <c r="F30" s="168">
        <f>IFERROR('tablas evol IO CAT '!F30/'tablas evol IO CAT '!F43-1,"-")</f>
        <v>-0.10031471247553392</v>
      </c>
      <c r="G30" s="168">
        <f>IFERROR('tablas evol IO CAT '!G30/'tablas evol IO CAT '!G43-1,"-")</f>
        <v>-0.20413682481573137</v>
      </c>
      <c r="H30" s="168">
        <f>IFERROR('tablas evol IO CAT '!H30/'tablas evol IO CAT '!H43-1,"-")</f>
        <v>-0.19169539818276027</v>
      </c>
      <c r="I30" s="168" t="str">
        <f>IFERROR('tablas evol IO CAT '!I30/'tablas evol IO CAT '!I43-1,"-")</f>
        <v>-</v>
      </c>
      <c r="J30" s="168">
        <f>IFERROR('tablas evol IO CAT '!J30/'tablas evol IO CAT '!J43-1,"-")</f>
        <v>-0.19169539818276027</v>
      </c>
    </row>
    <row r="31" spans="3:10" hidden="1" outlineLevel="1">
      <c r="C31" s="51" t="s">
        <v>38</v>
      </c>
      <c r="D31" s="166">
        <f>IFERROR('tablas evol IO CAT '!D31/'tablas evol IO CAT '!D44-1,"-")</f>
        <v>-3.4534817890168101E-2</v>
      </c>
      <c r="E31" s="166">
        <f>IFERROR('tablas evol IO CAT '!E31/'tablas evol IO CAT '!E44-1,"-")</f>
        <v>-7.7556188667299741E-2</v>
      </c>
      <c r="F31" s="166">
        <f>IFERROR('tablas evol IO CAT '!F31/'tablas evol IO CAT '!F44-1,"-")</f>
        <v>-0.27303571428571427</v>
      </c>
      <c r="G31" s="166">
        <f>IFERROR('tablas evol IO CAT '!G31/'tablas evol IO CAT '!G44-1,"-")</f>
        <v>-6.3779134772512069E-2</v>
      </c>
      <c r="H31" s="166">
        <f>IFERROR('tablas evol IO CAT '!H31/'tablas evol IO CAT '!H44-1,"-")</f>
        <v>-0.12692763938315543</v>
      </c>
      <c r="I31" s="166" t="str">
        <f>IFERROR('tablas evol IO CAT '!I31/'tablas evol IO CAT '!I44-1,"-")</f>
        <v>-</v>
      </c>
      <c r="J31" s="166">
        <f>IFERROR('tablas evol IO CAT '!J31/'tablas evol IO CAT '!J44-1,"-")</f>
        <v>-0.12692763938315543</v>
      </c>
    </row>
    <row r="32" spans="3:10" hidden="1" outlineLevel="1">
      <c r="C32" s="51" t="s">
        <v>39</v>
      </c>
      <c r="D32" s="166">
        <f>IFERROR('tablas evol IO CAT '!D32/'tablas evol IO CAT '!D45-1,"-")</f>
        <v>-2.7566195139644645E-2</v>
      </c>
      <c r="E32" s="166">
        <f>IFERROR('tablas evol IO CAT '!E32/'tablas evol IO CAT '!E45-1,"-")</f>
        <v>-9.9045176001140156E-2</v>
      </c>
      <c r="F32" s="166">
        <f>IFERROR('tablas evol IO CAT '!F32/'tablas evol IO CAT '!F45-1,"-")</f>
        <v>-0.10649435628987414</v>
      </c>
      <c r="G32" s="166">
        <f>IFERROR('tablas evol IO CAT '!G32/'tablas evol IO CAT '!G45-1,"-")</f>
        <v>7.7633811689206578E-2</v>
      </c>
      <c r="H32" s="166">
        <f>IFERROR('tablas evol IO CAT '!H32/'tablas evol IO CAT '!H45-1,"-")</f>
        <v>-6.4872834500552812E-2</v>
      </c>
      <c r="I32" s="166" t="str">
        <f>IFERROR('tablas evol IO CAT '!I32/'tablas evol IO CAT '!I45-1,"-")</f>
        <v>-</v>
      </c>
      <c r="J32" s="166">
        <f>IFERROR('tablas evol IO CAT '!J32/'tablas evol IO CAT '!J45-1,"-")</f>
        <v>-6.4872834500552812E-2</v>
      </c>
    </row>
    <row r="33" spans="3:10" hidden="1" outlineLevel="1">
      <c r="C33" s="51" t="s">
        <v>40</v>
      </c>
      <c r="D33" s="166">
        <f>IFERROR('tablas evol IO CAT '!D33/'tablas evol IO CAT '!D46-1,"-")</f>
        <v>1.7407071622846715E-2</v>
      </c>
      <c r="E33" s="166">
        <f>IFERROR('tablas evol IO CAT '!E33/'tablas evol IO CAT '!E46-1,"-")</f>
        <v>-1.4936984596234493E-2</v>
      </c>
      <c r="F33" s="166">
        <f>IFERROR('tablas evol IO CAT '!F33/'tablas evol IO CAT '!F46-1,"-")</f>
        <v>1.3905788284374054E-3</v>
      </c>
      <c r="G33" s="166">
        <f>IFERROR('tablas evol IO CAT '!G33/'tablas evol IO CAT '!G46-1,"-")</f>
        <v>-0.15546034305507572</v>
      </c>
      <c r="H33" s="166">
        <f>IFERROR('tablas evol IO CAT '!H33/'tablas evol IO CAT '!H46-1,"-")</f>
        <v>-5.7979225684608116E-2</v>
      </c>
      <c r="I33" s="166" t="str">
        <f>IFERROR('tablas evol IO CAT '!I33/'tablas evol IO CAT '!I46-1,"-")</f>
        <v>-</v>
      </c>
      <c r="J33" s="166">
        <f>IFERROR('tablas evol IO CAT '!J33/'tablas evol IO CAT '!J46-1,"-")</f>
        <v>-5.7979225684608116E-2</v>
      </c>
    </row>
    <row r="34" spans="3:10" hidden="1" outlineLevel="1">
      <c r="C34" s="51" t="s">
        <v>41</v>
      </c>
      <c r="D34" s="166">
        <f>IFERROR('tablas evol IO CAT '!D34/'tablas evol IO CAT '!D47-1,"-")</f>
        <v>6.0762331838565053E-2</v>
      </c>
      <c r="E34" s="166">
        <f>IFERROR('tablas evol IO CAT '!E34/'tablas evol IO CAT '!E47-1,"-")</f>
        <v>-0.20419779437922447</v>
      </c>
      <c r="F34" s="166">
        <f>IFERROR('tablas evol IO CAT '!F34/'tablas evol IO CAT '!F47-1,"-")</f>
        <v>5.4934275063762694E-3</v>
      </c>
      <c r="G34" s="166">
        <f>IFERROR('tablas evol IO CAT '!G34/'tablas evol IO CAT '!G47-1,"-")</f>
        <v>-0.12871241547978707</v>
      </c>
      <c r="H34" s="166">
        <f>IFERROR('tablas evol IO CAT '!H34/'tablas evol IO CAT '!H47-1,"-")</f>
        <v>-0.11778690296088179</v>
      </c>
      <c r="I34" s="166" t="str">
        <f>IFERROR('tablas evol IO CAT '!I34/'tablas evol IO CAT '!I47-1,"-")</f>
        <v>-</v>
      </c>
      <c r="J34" s="166">
        <f>IFERROR('tablas evol IO CAT '!J34/'tablas evol IO CAT '!J47-1,"-")</f>
        <v>-0.11778690296088179</v>
      </c>
    </row>
    <row r="35" spans="3:10" hidden="1" outlineLevel="1">
      <c r="C35" s="51" t="s">
        <v>42</v>
      </c>
      <c r="D35" s="166">
        <f>IFERROR('tablas evol IO CAT '!D35/'tablas evol IO CAT '!D48-1,"-")</f>
        <v>0.20722021660649825</v>
      </c>
      <c r="E35" s="166">
        <f>IFERROR('tablas evol IO CAT '!E35/'tablas evol IO CAT '!E48-1,"-")</f>
        <v>4.5634920634920695E-2</v>
      </c>
      <c r="F35" s="166">
        <f>IFERROR('tablas evol IO CAT '!F35/'tablas evol IO CAT '!F48-1,"-")</f>
        <v>3.1402034498009712E-2</v>
      </c>
      <c r="G35" s="166">
        <f>IFERROR('tablas evol IO CAT '!G35/'tablas evol IO CAT '!G48-1,"-")</f>
        <v>0.37404171047162671</v>
      </c>
      <c r="H35" s="166">
        <f>IFERROR('tablas evol IO CAT '!H35/'tablas evol IO CAT '!H48-1,"-")</f>
        <v>0.12226277372262762</v>
      </c>
      <c r="I35" s="166" t="str">
        <f>IFERROR('tablas evol IO CAT '!I35/'tablas evol IO CAT '!I48-1,"-")</f>
        <v>-</v>
      </c>
      <c r="J35" s="166">
        <f>IFERROR('tablas evol IO CAT '!J35/'tablas evol IO CAT '!J48-1,"-")</f>
        <v>0.12226277372262762</v>
      </c>
    </row>
    <row r="36" spans="3:10" hidden="1" outlineLevel="1">
      <c r="C36" s="51" t="s">
        <v>43</v>
      </c>
      <c r="D36" s="166">
        <f>IFERROR('tablas evol IO CAT '!D36/'tablas evol IO CAT '!D49-1,"-")</f>
        <v>-3.9478201167181259E-3</v>
      </c>
      <c r="E36" s="166">
        <f>IFERROR('tablas evol IO CAT '!E36/'tablas evol IO CAT '!E49-1,"-")</f>
        <v>0.40455178820250803</v>
      </c>
      <c r="F36" s="166">
        <f>IFERROR('tablas evol IO CAT '!F36/'tablas evol IO CAT '!F49-1,"-")</f>
        <v>-3.8931455787947877E-2</v>
      </c>
      <c r="G36" s="166">
        <f>IFERROR('tablas evol IO CAT '!G36/'tablas evol IO CAT '!G49-1,"-")</f>
        <v>-0.33912574606425117</v>
      </c>
      <c r="H36" s="166">
        <f>IFERROR('tablas evol IO CAT '!H36/'tablas evol IO CAT '!H49-1,"-")</f>
        <v>-3.9677862895305394E-2</v>
      </c>
      <c r="I36" s="166" t="str">
        <f>IFERROR('tablas evol IO CAT '!I36/'tablas evol IO CAT '!I49-1,"-")</f>
        <v>-</v>
      </c>
      <c r="J36" s="166">
        <f>IFERROR('tablas evol IO CAT '!J36/'tablas evol IO CAT '!J49-1,"-")</f>
        <v>-3.9677862895305394E-2</v>
      </c>
    </row>
    <row r="37" spans="3:10" hidden="1" outlineLevel="1">
      <c r="C37" s="51" t="s">
        <v>44</v>
      </c>
      <c r="D37" s="166">
        <f>IFERROR('tablas evol IO CAT '!D37/'tablas evol IO CAT '!D50-1,"-")</f>
        <v>-0.16160593792172739</v>
      </c>
      <c r="E37" s="166">
        <f>IFERROR('tablas evol IO CAT '!E37/'tablas evol IO CAT '!E50-1,"-")</f>
        <v>0.6533864541832668</v>
      </c>
      <c r="F37" s="166">
        <f>IFERROR('tablas evol IO CAT '!F37/'tablas evol IO CAT '!F50-1,"-")</f>
        <v>0.16852248394004277</v>
      </c>
      <c r="G37" s="166">
        <f>IFERROR('tablas evol IO CAT '!G37/'tablas evol IO CAT '!G50-1,"-")</f>
        <v>-0.52834817851925164</v>
      </c>
      <c r="H37" s="166">
        <f>IFERROR('tablas evol IO CAT '!H37/'tablas evol IO CAT '!H50-1,"-")</f>
        <v>-0.12705223880597016</v>
      </c>
      <c r="I37" s="166" t="str">
        <f>IFERROR('tablas evol IO CAT '!I37/'tablas evol IO CAT '!I50-1,"-")</f>
        <v>-</v>
      </c>
      <c r="J37" s="166">
        <f>IFERROR('tablas evol IO CAT '!J37/'tablas evol IO CAT '!J50-1,"-")</f>
        <v>-0.12705223880597016</v>
      </c>
    </row>
    <row r="38" spans="3:10" hidden="1" outlineLevel="1">
      <c r="C38" s="51" t="s">
        <v>45</v>
      </c>
      <c r="D38" s="166">
        <f>IFERROR('tablas evol IO CAT '!D38/'tablas evol IO CAT '!D51-1,"-")</f>
        <v>-0.13155571251986586</v>
      </c>
      <c r="E38" s="166">
        <f>IFERROR('tablas evol IO CAT '!E38/'tablas evol IO CAT '!E51-1,"-")</f>
        <v>0.32077894286325703</v>
      </c>
      <c r="F38" s="166">
        <f>IFERROR('tablas evol IO CAT '!F38/'tablas evol IO CAT '!F51-1,"-")</f>
        <v>1.6649746192893389E-2</v>
      </c>
      <c r="G38" s="166">
        <f>IFERROR('tablas evol IO CAT '!G38/'tablas evol IO CAT '!G51-1,"-")</f>
        <v>-0.14678287230011355</v>
      </c>
      <c r="H38" s="166">
        <f>IFERROR('tablas evol IO CAT '!H38/'tablas evol IO CAT '!H51-1,"-")</f>
        <v>1.8563207722294361E-2</v>
      </c>
      <c r="I38" s="166" t="str">
        <f>IFERROR('tablas evol IO CAT '!I38/'tablas evol IO CAT '!I51-1,"-")</f>
        <v>-</v>
      </c>
      <c r="J38" s="166">
        <f>IFERROR('tablas evol IO CAT '!J38/'tablas evol IO CAT '!J51-1,"-")</f>
        <v>1.8563207722294361E-2</v>
      </c>
    </row>
    <row r="39" spans="3:10" hidden="1" outlineLevel="1">
      <c r="C39" s="51" t="s">
        <v>46</v>
      </c>
      <c r="D39" s="166">
        <f>IFERROR('tablas evol IO CAT '!D39/'tablas evol IO CAT '!D52-1,"-")</f>
        <v>-0.1648124602670058</v>
      </c>
      <c r="E39" s="166">
        <f>IFERROR('tablas evol IO CAT '!E39/'tablas evol IO CAT '!E52-1,"-")</f>
        <v>0.17035312378734968</v>
      </c>
      <c r="F39" s="166">
        <f>IFERROR('tablas evol IO CAT '!F39/'tablas evol IO CAT '!F52-1,"-")</f>
        <v>-6.5928270042194037E-2</v>
      </c>
      <c r="G39" s="166">
        <f>IFERROR('tablas evol IO CAT '!G39/'tablas evol IO CAT '!G52-1,"-")</f>
        <v>-0.31345778133453961</v>
      </c>
      <c r="H39" s="166">
        <f>IFERROR('tablas evol IO CAT '!H39/'tablas evol IO CAT '!H52-1,"-")</f>
        <v>-0.10401135960241403</v>
      </c>
      <c r="I39" s="166" t="str">
        <f>IFERROR('tablas evol IO CAT '!I39/'tablas evol IO CAT '!I52-1,"-")</f>
        <v>-</v>
      </c>
      <c r="J39" s="166">
        <f>IFERROR('tablas evol IO CAT '!J39/'tablas evol IO CAT '!J52-1,"-")</f>
        <v>-0.10401135960241403</v>
      </c>
    </row>
    <row r="40" spans="3:10" hidden="1" outlineLevel="1">
      <c r="C40" s="51" t="s">
        <v>47</v>
      </c>
      <c r="D40" s="166">
        <f>IFERROR('tablas evol IO CAT '!D40/'tablas evol IO CAT '!D53-1,"-")</f>
        <v>-0.20575159766601836</v>
      </c>
      <c r="E40" s="166">
        <f>IFERROR('tablas evol IO CAT '!E40/'tablas evol IO CAT '!E53-1,"-")</f>
        <v>-5.5035321176277185E-2</v>
      </c>
      <c r="F40" s="166">
        <f>IFERROR('tablas evol IO CAT '!F40/'tablas evol IO CAT '!F53-1,"-")</f>
        <v>-0.11861252115059218</v>
      </c>
      <c r="G40" s="166">
        <f>IFERROR('tablas evol IO CAT '!G40/'tablas evol IO CAT '!G53-1,"-")</f>
        <v>-5.1407670849591747E-2</v>
      </c>
      <c r="H40" s="166">
        <f>IFERROR('tablas evol IO CAT '!H40/'tablas evol IO CAT '!H53-1,"-")</f>
        <v>-8.45812078328122E-2</v>
      </c>
      <c r="I40" s="166" t="str">
        <f>IFERROR('tablas evol IO CAT '!I40/'tablas evol IO CAT '!I53-1,"-")</f>
        <v>-</v>
      </c>
      <c r="J40" s="166">
        <f>IFERROR('tablas evol IO CAT '!J40/'tablas evol IO CAT '!J53-1,"-")</f>
        <v>-8.45812078328122E-2</v>
      </c>
    </row>
    <row r="41" spans="3:10" hidden="1" outlineLevel="1">
      <c r="C41" s="51" t="s">
        <v>48</v>
      </c>
      <c r="D41" s="166">
        <f>IFERROR('tablas evol IO CAT '!D41/'tablas evol IO CAT '!D54-1,"-")</f>
        <v>-8.3526981667957689E-2</v>
      </c>
      <c r="E41" s="166">
        <f>IFERROR('tablas evol IO CAT '!E41/'tablas evol IO CAT '!E54-1,"-")</f>
        <v>0.33162090345438444</v>
      </c>
      <c r="F41" s="166">
        <f>IFERROR('tablas evol IO CAT '!F41/'tablas evol IO CAT '!F54-1,"-")</f>
        <v>0.18771461274322765</v>
      </c>
      <c r="G41" s="166">
        <f>IFERROR('tablas evol IO CAT '!G41/'tablas evol IO CAT '!G54-1,"-")</f>
        <v>-6.6454646899410164E-2</v>
      </c>
      <c r="H41" s="166">
        <f>IFERROR('tablas evol IO CAT '!H41/'tablas evol IO CAT '!H54-1,"-")</f>
        <v>9.8810612991765856E-2</v>
      </c>
      <c r="I41" s="166" t="str">
        <f>IFERROR('tablas evol IO CAT '!I41/'tablas evol IO CAT '!I54-1,"-")</f>
        <v>-</v>
      </c>
      <c r="J41" s="166">
        <f>IFERROR('tablas evol IO CAT '!J41/'tablas evol IO CAT '!J54-1,"-")</f>
        <v>9.8810612991765856E-2</v>
      </c>
    </row>
    <row r="42" spans="3:10" hidden="1" outlineLevel="1">
      <c r="C42" s="51" t="s">
        <v>49</v>
      </c>
      <c r="D42" s="166">
        <f>IFERROR('tablas evol IO CAT '!D42/'tablas evol IO CAT '!D55-1,"-")</f>
        <v>-0.13397506706643514</v>
      </c>
      <c r="E42" s="166">
        <f>IFERROR('tablas evol IO CAT '!E42/'tablas evol IO CAT '!E55-1,"-")</f>
        <v>0.54670393664104378</v>
      </c>
      <c r="F42" s="166">
        <f>IFERROR('tablas evol IO CAT '!F42/'tablas evol IO CAT '!F55-1,"-")</f>
        <v>2.0818377602297211E-2</v>
      </c>
      <c r="G42" s="166">
        <f>IFERROR('tablas evol IO CAT '!G42/'tablas evol IO CAT '!G55-1,"-")</f>
        <v>-0.24934749971128312</v>
      </c>
      <c r="H42" s="166">
        <f>IFERROR('tablas evol IO CAT '!H42/'tablas evol IO CAT '!H55-1,"-")</f>
        <v>4.4262638976295454E-2</v>
      </c>
      <c r="I42" s="166" t="str">
        <f>IFERROR('tablas evol IO CAT '!I42/'tablas evol IO CAT '!I55-1,"-")</f>
        <v>-</v>
      </c>
      <c r="J42" s="166">
        <f>IFERROR('tablas evol IO CAT '!J42/'tablas evol IO CAT '!J55-1,"-")</f>
        <v>4.4262638976295454E-2</v>
      </c>
    </row>
    <row r="43" spans="3:10" collapsed="1">
      <c r="C43" s="58">
        <v>2008</v>
      </c>
      <c r="D43" s="169">
        <f>IFERROR('tablas evol IO CAT '!D43/'tablas evol IO CAT '!D56-1,"-")</f>
        <v>-6.4055645751993406E-2</v>
      </c>
      <c r="E43" s="169">
        <f>IFERROR('tablas evol IO CAT '!E43/'tablas evol IO CAT '!E56-1,"-")</f>
        <v>0.12599596168740312</v>
      </c>
      <c r="F43" s="169">
        <f>IFERROR('tablas evol IO CAT '!F43/'tablas evol IO CAT '!F56-1,"-")</f>
        <v>-2.2671816120479416E-2</v>
      </c>
      <c r="G43" s="169">
        <f>IFERROR('tablas evol IO CAT '!G43/'tablas evol IO CAT '!G56-1,"-")</f>
        <v>-0.1911034546133622</v>
      </c>
      <c r="H43" s="169">
        <f>IFERROR('tablas evol IO CAT '!H43/'tablas evol IO CAT '!H56-1,"-")</f>
        <v>-4.1529867590950675E-2</v>
      </c>
      <c r="I43" s="169" t="str">
        <f>IFERROR('tablas evol IO CAT '!I43/'tablas evol IO CAT '!I56-1,"-")</f>
        <v>-</v>
      </c>
      <c r="J43" s="169">
        <f>IFERROR('tablas evol IO CAT '!J43/'tablas evol IO CAT '!J56-1,"-")</f>
        <v>-4.1529867590950675E-2</v>
      </c>
    </row>
    <row r="44" spans="3:10" hidden="1" outlineLevel="1">
      <c r="C44" s="51" t="s">
        <v>38</v>
      </c>
      <c r="D44" s="166">
        <f>IFERROR('tablas evol IO CAT '!D44/'tablas evol IO CAT '!D57-1,"-")</f>
        <v>-0.17563783447417547</v>
      </c>
      <c r="E44" s="166">
        <f>IFERROR('tablas evol IO CAT '!E44/'tablas evol IO CAT '!E57-1,"-")</f>
        <v>6.3815457147667898E-2</v>
      </c>
      <c r="F44" s="166">
        <f>IFERROR('tablas evol IO CAT '!F44/'tablas evol IO CAT '!F57-1,"-")</f>
        <v>0.23212321232123201</v>
      </c>
      <c r="G44" s="166">
        <f>IFERROR('tablas evol IO CAT '!G44/'tablas evol IO CAT '!G57-1,"-")</f>
        <v>-0.39629474479185067</v>
      </c>
      <c r="H44" s="166">
        <f>IFERROR('tablas evol IO CAT '!H44/'tablas evol IO CAT '!H57-1,"-")</f>
        <v>-9.9358974358974339E-2</v>
      </c>
      <c r="I44" s="166" t="str">
        <f>IFERROR('tablas evol IO CAT '!I44/'tablas evol IO CAT '!I57-1,"-")</f>
        <v>-</v>
      </c>
      <c r="J44" s="166">
        <f>IFERROR('tablas evol IO CAT '!J44/'tablas evol IO CAT '!J57-1,"-")</f>
        <v>-9.9358974358974339E-2</v>
      </c>
    </row>
    <row r="45" spans="3:10" hidden="1" outlineLevel="1">
      <c r="C45" s="51" t="s">
        <v>39</v>
      </c>
      <c r="D45" s="166">
        <f>IFERROR('tablas evol IO CAT '!D45/'tablas evol IO CAT '!D58-1,"-")</f>
        <v>-0.17787386312807507</v>
      </c>
      <c r="E45" s="166">
        <f>IFERROR('tablas evol IO CAT '!E45/'tablas evol IO CAT '!E58-1,"-")</f>
        <v>0.15089388223716593</v>
      </c>
      <c r="F45" s="166">
        <f>IFERROR('tablas evol IO CAT '!F45/'tablas evol IO CAT '!F58-1,"-")</f>
        <v>0.189531037166764</v>
      </c>
      <c r="G45" s="166">
        <f>IFERROR('tablas evol IO CAT '!G45/'tablas evol IO CAT '!G58-1,"-")</f>
        <v>-0.38912818708385211</v>
      </c>
      <c r="H45" s="166">
        <f>IFERROR('tablas evol IO CAT '!H45/'tablas evol IO CAT '!H58-1,"-")</f>
        <v>-6.5449534963830547E-2</v>
      </c>
      <c r="I45" s="166" t="str">
        <f>IFERROR('tablas evol IO CAT '!I45/'tablas evol IO CAT '!I58-1,"-")</f>
        <v>-</v>
      </c>
      <c r="J45" s="166">
        <f>IFERROR('tablas evol IO CAT '!J45/'tablas evol IO CAT '!J58-1,"-")</f>
        <v>-6.5449534963830547E-2</v>
      </c>
    </row>
    <row r="46" spans="3:10" hidden="1" outlineLevel="1">
      <c r="C46" s="51" t="s">
        <v>40</v>
      </c>
      <c r="D46" s="166">
        <f>IFERROR('tablas evol IO CAT '!D46/'tablas evol IO CAT '!D59-1,"-")</f>
        <v>-0.1246031746031746</v>
      </c>
      <c r="E46" s="166">
        <f>IFERROR('tablas evol IO CAT '!E46/'tablas evol IO CAT '!E59-1,"-")</f>
        <v>0.22279299847792977</v>
      </c>
      <c r="F46" s="166">
        <f>IFERROR('tablas evol IO CAT '!F46/'tablas evol IO CAT '!F59-1,"-")</f>
        <v>0.61873944850872253</v>
      </c>
      <c r="G46" s="166">
        <f>IFERROR('tablas evol IO CAT '!G46/'tablas evol IO CAT '!G59-1,"-")</f>
        <v>-0.255808933483328</v>
      </c>
      <c r="H46" s="166">
        <f>IFERROR('tablas evol IO CAT '!H46/'tablas evol IO CAT '!H59-1,"-")</f>
        <v>6.3893911995177799E-2</v>
      </c>
      <c r="I46" s="166" t="str">
        <f>IFERROR('tablas evol IO CAT '!I46/'tablas evol IO CAT '!I59-1,"-")</f>
        <v>-</v>
      </c>
      <c r="J46" s="166">
        <f>IFERROR('tablas evol IO CAT '!J46/'tablas evol IO CAT '!J59-1,"-")</f>
        <v>6.3893911995177799E-2</v>
      </c>
    </row>
    <row r="47" spans="3:10" hidden="1" outlineLevel="1">
      <c r="C47" s="51" t="s">
        <v>41</v>
      </c>
      <c r="D47" s="166">
        <f>IFERROR('tablas evol IO CAT '!D47/'tablas evol IO CAT '!D60-1,"-")</f>
        <v>-0.38363736871199561</v>
      </c>
      <c r="E47" s="166">
        <f>IFERROR('tablas evol IO CAT '!E47/'tablas evol IO CAT '!E60-1,"-")</f>
        <v>7.2286858668701104E-2</v>
      </c>
      <c r="F47" s="166">
        <f>IFERROR('tablas evol IO CAT '!F47/'tablas evol IO CAT '!F60-1,"-")</f>
        <v>0.35847547974413629</v>
      </c>
      <c r="G47" s="166">
        <f>IFERROR('tablas evol IO CAT '!G47/'tablas evol IO CAT '!G60-1,"-")</f>
        <v>-0.22240603094029487</v>
      </c>
      <c r="H47" s="166">
        <f>IFERROR('tablas evol IO CAT '!H47/'tablas evol IO CAT '!H60-1,"-")</f>
        <v>-4.2028985507246208E-2</v>
      </c>
      <c r="I47" s="166" t="str">
        <f>IFERROR('tablas evol IO CAT '!I47/'tablas evol IO CAT '!I60-1,"-")</f>
        <v>-</v>
      </c>
      <c r="J47" s="166">
        <f>IFERROR('tablas evol IO CAT '!J47/'tablas evol IO CAT '!J60-1,"-")</f>
        <v>-4.2028985507246208E-2</v>
      </c>
    </row>
    <row r="48" spans="3:10" hidden="1" outlineLevel="1">
      <c r="C48" s="51" t="s">
        <v>42</v>
      </c>
      <c r="D48" s="166">
        <f>IFERROR('tablas evol IO CAT '!D48/'tablas evol IO CAT '!D61-1,"-")</f>
        <v>-0.37845923709798057</v>
      </c>
      <c r="E48" s="166">
        <f>IFERROR('tablas evol IO CAT '!E48/'tablas evol IO CAT '!E61-1,"-")</f>
        <v>-0.19433660653117146</v>
      </c>
      <c r="F48" s="166">
        <f>IFERROR('tablas evol IO CAT '!F48/'tablas evol IO CAT '!F61-1,"-")</f>
        <v>0.41978021978021962</v>
      </c>
      <c r="G48" s="166">
        <f>IFERROR('tablas evol IO CAT '!G48/'tablas evol IO CAT '!G61-1,"-")</f>
        <v>-0.42197366121868718</v>
      </c>
      <c r="H48" s="166">
        <f>IFERROR('tablas evol IO CAT '!H48/'tablas evol IO CAT '!H61-1,"-")</f>
        <v>-0.18634001484780982</v>
      </c>
      <c r="I48" s="166" t="str">
        <f>IFERROR('tablas evol IO CAT '!I48/'tablas evol IO CAT '!I61-1,"-")</f>
        <v>-</v>
      </c>
      <c r="J48" s="166">
        <f>IFERROR('tablas evol IO CAT '!J48/'tablas evol IO CAT '!J61-1,"-")</f>
        <v>-0.18634001484780982</v>
      </c>
    </row>
    <row r="49" spans="3:10" hidden="1" outlineLevel="1">
      <c r="C49" s="51" t="s">
        <v>43</v>
      </c>
      <c r="D49" s="166">
        <f>IFERROR('tablas evol IO CAT '!D49/'tablas evol IO CAT '!D62-1,"-")</f>
        <v>0.30015621513055102</v>
      </c>
      <c r="E49" s="166">
        <f>IFERROR('tablas evol IO CAT '!E49/'tablas evol IO CAT '!E62-1,"-")</f>
        <v>-0.12692619626926194</v>
      </c>
      <c r="F49" s="166">
        <f>IFERROR('tablas evol IO CAT '!F49/'tablas evol IO CAT '!F62-1,"-")</f>
        <v>0.21392659627953736</v>
      </c>
      <c r="G49" s="166">
        <f>IFERROR('tablas evol IO CAT '!G49/'tablas evol IO CAT '!G62-1,"-")</f>
        <v>0.33571703760626681</v>
      </c>
      <c r="H49" s="166">
        <f>IFERROR('tablas evol IO CAT '!H49/'tablas evol IO CAT '!H62-1,"-")</f>
        <v>0.14020156774916015</v>
      </c>
      <c r="I49" s="166" t="str">
        <f>IFERROR('tablas evol IO CAT '!I49/'tablas evol IO CAT '!I62-1,"-")</f>
        <v>-</v>
      </c>
      <c r="J49" s="166">
        <f>IFERROR('tablas evol IO CAT '!J49/'tablas evol IO CAT '!J62-1,"-")</f>
        <v>0.14020156774916015</v>
      </c>
    </row>
    <row r="50" spans="3:10" hidden="1" outlineLevel="1">
      <c r="C50" s="51" t="s">
        <v>44</v>
      </c>
      <c r="D50" s="166">
        <f>IFERROR('tablas evol IO CAT '!D50/'tablas evol IO CAT '!D63-1,"-")</f>
        <v>0.35280693747147418</v>
      </c>
      <c r="E50" s="166">
        <f>IFERROR('tablas evol IO CAT '!E50/'tablas evol IO CAT '!E63-1,"-")</f>
        <v>-0.3747844414638819</v>
      </c>
      <c r="F50" s="166">
        <f>IFERROR('tablas evol IO CAT '!F50/'tablas evol IO CAT '!F63-1,"-")</f>
        <v>-6.0173073052928072E-2</v>
      </c>
      <c r="G50" s="166">
        <f>IFERROR('tablas evol IO CAT '!G50/'tablas evol IO CAT '!G63-1,"-")</f>
        <v>1.1178337591823699</v>
      </c>
      <c r="H50" s="166">
        <f>IFERROR('tablas evol IO CAT '!H50/'tablas evol IO CAT '!H63-1,"-")</f>
        <v>0.20179372197309409</v>
      </c>
      <c r="I50" s="166" t="str">
        <f>IFERROR('tablas evol IO CAT '!I50/'tablas evol IO CAT '!I63-1,"-")</f>
        <v>-</v>
      </c>
      <c r="J50" s="166">
        <f>IFERROR('tablas evol IO CAT '!J50/'tablas evol IO CAT '!J63-1,"-")</f>
        <v>0.20179372197309409</v>
      </c>
    </row>
    <row r="51" spans="3:10" hidden="1" outlineLevel="1">
      <c r="C51" s="51" t="s">
        <v>45</v>
      </c>
      <c r="D51" s="166">
        <f>IFERROR('tablas evol IO CAT '!D51/'tablas evol IO CAT '!D64-1,"-")</f>
        <v>0.55448805929179246</v>
      </c>
      <c r="E51" s="166">
        <f>IFERROR('tablas evol IO CAT '!E51/'tablas evol IO CAT '!E64-1,"-")</f>
        <v>4.2817383857829405E-4</v>
      </c>
      <c r="F51" s="166">
        <f>IFERROR('tablas evol IO CAT '!F51/'tablas evol IO CAT '!F64-1,"-")</f>
        <v>-2.898264984227128E-2</v>
      </c>
      <c r="G51" s="166">
        <f>IFERROR('tablas evol IO CAT '!G51/'tablas evol IO CAT '!G64-1,"-")</f>
        <v>0.78743579612801251</v>
      </c>
      <c r="H51" s="166">
        <f>IFERROR('tablas evol IO CAT '!H51/'tablas evol IO CAT '!H64-1,"-")</f>
        <v>0.27021928790379635</v>
      </c>
      <c r="I51" s="166" t="str">
        <f>IFERROR('tablas evol IO CAT '!I51/'tablas evol IO CAT '!I64-1,"-")</f>
        <v>-</v>
      </c>
      <c r="J51" s="166">
        <f>IFERROR('tablas evol IO CAT '!J51/'tablas evol IO CAT '!J64-1,"-")</f>
        <v>0.27021928790379635</v>
      </c>
    </row>
    <row r="52" spans="3:10" hidden="1" outlineLevel="1">
      <c r="C52" s="51" t="s">
        <v>46</v>
      </c>
      <c r="D52" s="166">
        <f>IFERROR('tablas evol IO CAT '!D52/'tablas evol IO CAT '!D65-1,"-")</f>
        <v>0.9773727215587682</v>
      </c>
      <c r="E52" s="166">
        <f>IFERROR('tablas evol IO CAT '!E52/'tablas evol IO CAT '!E65-1,"-")</f>
        <v>4.969450101832984E-2</v>
      </c>
      <c r="F52" s="166">
        <f>IFERROR('tablas evol IO CAT '!F52/'tablas evol IO CAT '!F65-1,"-")</f>
        <v>0.1579804560260587</v>
      </c>
      <c r="G52" s="166">
        <f>IFERROR('tablas evol IO CAT '!G52/'tablas evol IO CAT '!G65-1,"-")</f>
        <v>0.17180755042775298</v>
      </c>
      <c r="H52" s="166">
        <f>IFERROR('tablas evol IO CAT '!H52/'tablas evol IO CAT '!H65-1,"-")</f>
        <v>0.19415006358626541</v>
      </c>
      <c r="I52" s="166" t="str">
        <f>IFERROR('tablas evol IO CAT '!I52/'tablas evol IO CAT '!I65-1,"-")</f>
        <v>-</v>
      </c>
      <c r="J52" s="166">
        <f>IFERROR('tablas evol IO CAT '!J52/'tablas evol IO CAT '!J65-1,"-")</f>
        <v>0.19415006358626541</v>
      </c>
    </row>
    <row r="53" spans="3:10" hidden="1" outlineLevel="1">
      <c r="C53" s="51" t="s">
        <v>47</v>
      </c>
      <c r="D53" s="166">
        <f>IFERROR('tablas evol IO CAT '!D53/'tablas evol IO CAT '!D66-1,"-")</f>
        <v>0.48259526261586005</v>
      </c>
      <c r="E53" s="166">
        <f>IFERROR('tablas evol IO CAT '!E53/'tablas evol IO CAT '!E66-1,"-")</f>
        <v>3.0995934959349603E-2</v>
      </c>
      <c r="F53" s="166">
        <f>IFERROR('tablas evol IO CAT '!F53/'tablas evol IO CAT '!F66-1,"-")</f>
        <v>0.10220067139127198</v>
      </c>
      <c r="G53" s="166">
        <f>IFERROR('tablas evol IO CAT '!G53/'tablas evol IO CAT '!G66-1,"-")</f>
        <v>0.1620621100980324</v>
      </c>
      <c r="H53" s="166">
        <f>IFERROR('tablas evol IO CAT '!H53/'tablas evol IO CAT '!H66-1,"-")</f>
        <v>0.12976389663506227</v>
      </c>
      <c r="I53" s="166" t="str">
        <f>IFERROR('tablas evol IO CAT '!I53/'tablas evol IO CAT '!I66-1,"-")</f>
        <v>-</v>
      </c>
      <c r="J53" s="166">
        <f>IFERROR('tablas evol IO CAT '!J53/'tablas evol IO CAT '!J66-1,"-")</f>
        <v>0.12976389663506227</v>
      </c>
    </row>
    <row r="54" spans="3:10" hidden="1" outlineLevel="1">
      <c r="C54" s="51" t="s">
        <v>48</v>
      </c>
      <c r="D54" s="166">
        <f>IFERROR('tablas evol IO CAT '!D54/'tablas evol IO CAT '!D67-1,"-")</f>
        <v>0.65265628333688919</v>
      </c>
      <c r="E54" s="166">
        <f>IFERROR('tablas evol IO CAT '!E54/'tablas evol IO CAT '!E67-1,"-")</f>
        <v>-0.12181082762912254</v>
      </c>
      <c r="F54" s="166">
        <f>IFERROR('tablas evol IO CAT '!F54/'tablas evol IO CAT '!F67-1,"-")</f>
        <v>-0.14262348707883543</v>
      </c>
      <c r="G54" s="166">
        <f>IFERROR('tablas evol IO CAT '!G54/'tablas evol IO CAT '!G67-1,"-")</f>
        <v>-0.21431942260681303</v>
      </c>
      <c r="H54" s="166">
        <f>IFERROR('tablas evol IO CAT '!H54/'tablas evol IO CAT '!H67-1,"-")</f>
        <v>-6.8677573278800308E-2</v>
      </c>
      <c r="I54" s="166" t="str">
        <f>IFERROR('tablas evol IO CAT '!I54/'tablas evol IO CAT '!I67-1,"-")</f>
        <v>-</v>
      </c>
      <c r="J54" s="166">
        <f>IFERROR('tablas evol IO CAT '!J54/'tablas evol IO CAT '!J67-1,"-")</f>
        <v>-6.8677573278800308E-2</v>
      </c>
    </row>
    <row r="55" spans="3:10" hidden="1" outlineLevel="1">
      <c r="C55" s="51" t="s">
        <v>49</v>
      </c>
      <c r="D55" s="166">
        <f>IFERROR('tablas evol IO CAT '!D55/'tablas evol IO CAT '!D68-1,"-")</f>
        <v>0.89901108780341632</v>
      </c>
      <c r="E55" s="166">
        <f>IFERROR('tablas evol IO CAT '!E55/'tablas evol IO CAT '!E68-1,"-")</f>
        <v>-0.1398517331196153</v>
      </c>
      <c r="F55" s="166">
        <f>IFERROR('tablas evol IO CAT '!F55/'tablas evol IO CAT '!F68-1,"-")</f>
        <v>-9.5258714007360856E-2</v>
      </c>
      <c r="G55" s="166">
        <f>IFERROR('tablas evol IO CAT '!G55/'tablas evol IO CAT '!G68-1,"-")</f>
        <v>0.5541828080829232</v>
      </c>
      <c r="H55" s="166">
        <f>IFERROR('tablas evol IO CAT '!H55/'tablas evol IO CAT '!H68-1,"-")</f>
        <v>0.14895155459146792</v>
      </c>
      <c r="I55" s="166" t="str">
        <f>IFERROR('tablas evol IO CAT '!I55/'tablas evol IO CAT '!I68-1,"-")</f>
        <v>-</v>
      </c>
      <c r="J55" s="166">
        <f>IFERROR('tablas evol IO CAT '!J55/'tablas evol IO CAT '!J68-1,"-")</f>
        <v>0.14895155459146792</v>
      </c>
    </row>
    <row r="56" spans="3:10" collapsed="1">
      <c r="C56" s="58">
        <v>2007</v>
      </c>
      <c r="D56" s="169">
        <f>IFERROR('tablas evol IO CAT '!D56/'tablas evol IO CAT '!D69-1,"-")</f>
        <v>0.12154929629284306</v>
      </c>
      <c r="E56" s="169">
        <f>IFERROR('tablas evol IO CAT '!E56/'tablas evol IO CAT '!E69-1,"-")</f>
        <v>-2.4644997490626763E-2</v>
      </c>
      <c r="F56" s="169">
        <f>IFERROR('tablas evol IO CAT '!F56/'tablas evol IO CAT '!F69-1,"-")</f>
        <v>0.13582249350342113</v>
      </c>
      <c r="G56" s="169">
        <f>IFERROR('tablas evol IO CAT '!G56/'tablas evol IO CAT '!G69-1,"-")</f>
        <v>5.6606303876799213E-2</v>
      </c>
      <c r="H56" s="169">
        <f>IFERROR('tablas evol IO CAT '!H56/'tablas evol IO CAT '!H69-1,"-")</f>
        <v>5.0620930200863112E-2</v>
      </c>
      <c r="I56" s="169" t="str">
        <f>IFERROR('tablas evol IO CAT '!I56/'tablas evol IO CAT '!I69-1,"-")</f>
        <v>-</v>
      </c>
      <c r="J56" s="169">
        <f>IFERROR('tablas evol IO CAT '!J56/'tablas evol IO CAT '!J69-1,"-")</f>
        <v>5.0620930200863112E-2</v>
      </c>
    </row>
    <row r="57" spans="3:10" ht="15" customHeight="1">
      <c r="C57" s="165" t="s">
        <v>33</v>
      </c>
      <c r="D57" s="165"/>
      <c r="E57" s="165"/>
      <c r="F57" s="165"/>
      <c r="G57" s="165"/>
      <c r="H57" s="165"/>
      <c r="I57" s="165"/>
      <c r="J57" s="165"/>
    </row>
  </sheetData>
  <mergeCells count="2">
    <mergeCell ref="C3:J3"/>
    <mergeCell ref="C57:J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7:L28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2" width="11.42578125" style="2"/>
    <col min="3" max="3" width="41" style="2" customWidth="1"/>
    <col min="4" max="4" width="12.7109375" style="2" customWidth="1"/>
    <col min="5" max="5" width="12.85546875" style="2" customWidth="1"/>
    <col min="6" max="6" width="10.5703125" style="2" customWidth="1"/>
    <col min="7" max="7" width="10.7109375" style="2" customWidth="1"/>
    <col min="8" max="13" width="11.42578125" style="2"/>
    <col min="14" max="14" width="13.7109375" style="2" customWidth="1"/>
    <col min="15" max="258" width="11.42578125" style="2"/>
    <col min="259" max="259" width="41" style="2" customWidth="1"/>
    <col min="260" max="260" width="12.7109375" style="2" customWidth="1"/>
    <col min="261" max="261" width="12.85546875" style="2" customWidth="1"/>
    <col min="262" max="262" width="10.5703125" style="2" customWidth="1"/>
    <col min="263" max="263" width="10.7109375" style="2" customWidth="1"/>
    <col min="264" max="269" width="11.42578125" style="2"/>
    <col min="270" max="270" width="13.7109375" style="2" customWidth="1"/>
    <col min="271" max="514" width="11.42578125" style="2"/>
    <col min="515" max="515" width="41" style="2" customWidth="1"/>
    <col min="516" max="516" width="12.7109375" style="2" customWidth="1"/>
    <col min="517" max="517" width="12.85546875" style="2" customWidth="1"/>
    <col min="518" max="518" width="10.5703125" style="2" customWidth="1"/>
    <col min="519" max="519" width="10.7109375" style="2" customWidth="1"/>
    <col min="520" max="525" width="11.42578125" style="2"/>
    <col min="526" max="526" width="13.7109375" style="2" customWidth="1"/>
    <col min="527" max="770" width="11.42578125" style="2"/>
    <col min="771" max="771" width="41" style="2" customWidth="1"/>
    <col min="772" max="772" width="12.7109375" style="2" customWidth="1"/>
    <col min="773" max="773" width="12.85546875" style="2" customWidth="1"/>
    <col min="774" max="774" width="10.5703125" style="2" customWidth="1"/>
    <col min="775" max="775" width="10.7109375" style="2" customWidth="1"/>
    <col min="776" max="781" width="11.42578125" style="2"/>
    <col min="782" max="782" width="13.7109375" style="2" customWidth="1"/>
    <col min="783" max="1026" width="11.42578125" style="2"/>
    <col min="1027" max="1027" width="41" style="2" customWidth="1"/>
    <col min="1028" max="1028" width="12.7109375" style="2" customWidth="1"/>
    <col min="1029" max="1029" width="12.85546875" style="2" customWidth="1"/>
    <col min="1030" max="1030" width="10.5703125" style="2" customWidth="1"/>
    <col min="1031" max="1031" width="10.7109375" style="2" customWidth="1"/>
    <col min="1032" max="1037" width="11.42578125" style="2"/>
    <col min="1038" max="1038" width="13.7109375" style="2" customWidth="1"/>
    <col min="1039" max="1282" width="11.42578125" style="2"/>
    <col min="1283" max="1283" width="41" style="2" customWidth="1"/>
    <col min="1284" max="1284" width="12.7109375" style="2" customWidth="1"/>
    <col min="1285" max="1285" width="12.85546875" style="2" customWidth="1"/>
    <col min="1286" max="1286" width="10.5703125" style="2" customWidth="1"/>
    <col min="1287" max="1287" width="10.7109375" style="2" customWidth="1"/>
    <col min="1288" max="1293" width="11.42578125" style="2"/>
    <col min="1294" max="1294" width="13.7109375" style="2" customWidth="1"/>
    <col min="1295" max="1538" width="11.42578125" style="2"/>
    <col min="1539" max="1539" width="41" style="2" customWidth="1"/>
    <col min="1540" max="1540" width="12.7109375" style="2" customWidth="1"/>
    <col min="1541" max="1541" width="12.85546875" style="2" customWidth="1"/>
    <col min="1542" max="1542" width="10.5703125" style="2" customWidth="1"/>
    <col min="1543" max="1543" width="10.7109375" style="2" customWidth="1"/>
    <col min="1544" max="1549" width="11.42578125" style="2"/>
    <col min="1550" max="1550" width="13.7109375" style="2" customWidth="1"/>
    <col min="1551" max="1794" width="11.42578125" style="2"/>
    <col min="1795" max="1795" width="41" style="2" customWidth="1"/>
    <col min="1796" max="1796" width="12.7109375" style="2" customWidth="1"/>
    <col min="1797" max="1797" width="12.85546875" style="2" customWidth="1"/>
    <col min="1798" max="1798" width="10.5703125" style="2" customWidth="1"/>
    <col min="1799" max="1799" width="10.7109375" style="2" customWidth="1"/>
    <col min="1800" max="1805" width="11.42578125" style="2"/>
    <col min="1806" max="1806" width="13.7109375" style="2" customWidth="1"/>
    <col min="1807" max="2050" width="11.42578125" style="2"/>
    <col min="2051" max="2051" width="41" style="2" customWidth="1"/>
    <col min="2052" max="2052" width="12.7109375" style="2" customWidth="1"/>
    <col min="2053" max="2053" width="12.85546875" style="2" customWidth="1"/>
    <col min="2054" max="2054" width="10.5703125" style="2" customWidth="1"/>
    <col min="2055" max="2055" width="10.7109375" style="2" customWidth="1"/>
    <col min="2056" max="2061" width="11.42578125" style="2"/>
    <col min="2062" max="2062" width="13.7109375" style="2" customWidth="1"/>
    <col min="2063" max="2306" width="11.42578125" style="2"/>
    <col min="2307" max="2307" width="41" style="2" customWidth="1"/>
    <col min="2308" max="2308" width="12.7109375" style="2" customWidth="1"/>
    <col min="2309" max="2309" width="12.85546875" style="2" customWidth="1"/>
    <col min="2310" max="2310" width="10.5703125" style="2" customWidth="1"/>
    <col min="2311" max="2311" width="10.7109375" style="2" customWidth="1"/>
    <col min="2312" max="2317" width="11.42578125" style="2"/>
    <col min="2318" max="2318" width="13.7109375" style="2" customWidth="1"/>
    <col min="2319" max="2562" width="11.42578125" style="2"/>
    <col min="2563" max="2563" width="41" style="2" customWidth="1"/>
    <col min="2564" max="2564" width="12.7109375" style="2" customWidth="1"/>
    <col min="2565" max="2565" width="12.85546875" style="2" customWidth="1"/>
    <col min="2566" max="2566" width="10.5703125" style="2" customWidth="1"/>
    <col min="2567" max="2567" width="10.7109375" style="2" customWidth="1"/>
    <col min="2568" max="2573" width="11.42578125" style="2"/>
    <col min="2574" max="2574" width="13.7109375" style="2" customWidth="1"/>
    <col min="2575" max="2818" width="11.42578125" style="2"/>
    <col min="2819" max="2819" width="41" style="2" customWidth="1"/>
    <col min="2820" max="2820" width="12.7109375" style="2" customWidth="1"/>
    <col min="2821" max="2821" width="12.85546875" style="2" customWidth="1"/>
    <col min="2822" max="2822" width="10.5703125" style="2" customWidth="1"/>
    <col min="2823" max="2823" width="10.7109375" style="2" customWidth="1"/>
    <col min="2824" max="2829" width="11.42578125" style="2"/>
    <col min="2830" max="2830" width="13.7109375" style="2" customWidth="1"/>
    <col min="2831" max="3074" width="11.42578125" style="2"/>
    <col min="3075" max="3075" width="41" style="2" customWidth="1"/>
    <col min="3076" max="3076" width="12.7109375" style="2" customWidth="1"/>
    <col min="3077" max="3077" width="12.85546875" style="2" customWidth="1"/>
    <col min="3078" max="3078" width="10.5703125" style="2" customWidth="1"/>
    <col min="3079" max="3079" width="10.7109375" style="2" customWidth="1"/>
    <col min="3080" max="3085" width="11.42578125" style="2"/>
    <col min="3086" max="3086" width="13.7109375" style="2" customWidth="1"/>
    <col min="3087" max="3330" width="11.42578125" style="2"/>
    <col min="3331" max="3331" width="41" style="2" customWidth="1"/>
    <col min="3332" max="3332" width="12.7109375" style="2" customWidth="1"/>
    <col min="3333" max="3333" width="12.85546875" style="2" customWidth="1"/>
    <col min="3334" max="3334" width="10.5703125" style="2" customWidth="1"/>
    <col min="3335" max="3335" width="10.7109375" style="2" customWidth="1"/>
    <col min="3336" max="3341" width="11.42578125" style="2"/>
    <col min="3342" max="3342" width="13.7109375" style="2" customWidth="1"/>
    <col min="3343" max="3586" width="11.42578125" style="2"/>
    <col min="3587" max="3587" width="41" style="2" customWidth="1"/>
    <col min="3588" max="3588" width="12.7109375" style="2" customWidth="1"/>
    <col min="3589" max="3589" width="12.85546875" style="2" customWidth="1"/>
    <col min="3590" max="3590" width="10.5703125" style="2" customWidth="1"/>
    <col min="3591" max="3591" width="10.7109375" style="2" customWidth="1"/>
    <col min="3592" max="3597" width="11.42578125" style="2"/>
    <col min="3598" max="3598" width="13.7109375" style="2" customWidth="1"/>
    <col min="3599" max="3842" width="11.42578125" style="2"/>
    <col min="3843" max="3843" width="41" style="2" customWidth="1"/>
    <col min="3844" max="3844" width="12.7109375" style="2" customWidth="1"/>
    <col min="3845" max="3845" width="12.85546875" style="2" customWidth="1"/>
    <col min="3846" max="3846" width="10.5703125" style="2" customWidth="1"/>
    <col min="3847" max="3847" width="10.7109375" style="2" customWidth="1"/>
    <col min="3848" max="3853" width="11.42578125" style="2"/>
    <col min="3854" max="3854" width="13.7109375" style="2" customWidth="1"/>
    <col min="3855" max="4098" width="11.42578125" style="2"/>
    <col min="4099" max="4099" width="41" style="2" customWidth="1"/>
    <col min="4100" max="4100" width="12.7109375" style="2" customWidth="1"/>
    <col min="4101" max="4101" width="12.85546875" style="2" customWidth="1"/>
    <col min="4102" max="4102" width="10.5703125" style="2" customWidth="1"/>
    <col min="4103" max="4103" width="10.7109375" style="2" customWidth="1"/>
    <col min="4104" max="4109" width="11.42578125" style="2"/>
    <col min="4110" max="4110" width="13.7109375" style="2" customWidth="1"/>
    <col min="4111" max="4354" width="11.42578125" style="2"/>
    <col min="4355" max="4355" width="41" style="2" customWidth="1"/>
    <col min="4356" max="4356" width="12.7109375" style="2" customWidth="1"/>
    <col min="4357" max="4357" width="12.85546875" style="2" customWidth="1"/>
    <col min="4358" max="4358" width="10.5703125" style="2" customWidth="1"/>
    <col min="4359" max="4359" width="10.7109375" style="2" customWidth="1"/>
    <col min="4360" max="4365" width="11.42578125" style="2"/>
    <col min="4366" max="4366" width="13.7109375" style="2" customWidth="1"/>
    <col min="4367" max="4610" width="11.42578125" style="2"/>
    <col min="4611" max="4611" width="41" style="2" customWidth="1"/>
    <col min="4612" max="4612" width="12.7109375" style="2" customWidth="1"/>
    <col min="4613" max="4613" width="12.85546875" style="2" customWidth="1"/>
    <col min="4614" max="4614" width="10.5703125" style="2" customWidth="1"/>
    <col min="4615" max="4615" width="10.7109375" style="2" customWidth="1"/>
    <col min="4616" max="4621" width="11.42578125" style="2"/>
    <col min="4622" max="4622" width="13.7109375" style="2" customWidth="1"/>
    <col min="4623" max="4866" width="11.42578125" style="2"/>
    <col min="4867" max="4867" width="41" style="2" customWidth="1"/>
    <col min="4868" max="4868" width="12.7109375" style="2" customWidth="1"/>
    <col min="4869" max="4869" width="12.85546875" style="2" customWidth="1"/>
    <col min="4870" max="4870" width="10.5703125" style="2" customWidth="1"/>
    <col min="4871" max="4871" width="10.7109375" style="2" customWidth="1"/>
    <col min="4872" max="4877" width="11.42578125" style="2"/>
    <col min="4878" max="4878" width="13.7109375" style="2" customWidth="1"/>
    <col min="4879" max="5122" width="11.42578125" style="2"/>
    <col min="5123" max="5123" width="41" style="2" customWidth="1"/>
    <col min="5124" max="5124" width="12.7109375" style="2" customWidth="1"/>
    <col min="5125" max="5125" width="12.85546875" style="2" customWidth="1"/>
    <col min="5126" max="5126" width="10.5703125" style="2" customWidth="1"/>
    <col min="5127" max="5127" width="10.7109375" style="2" customWidth="1"/>
    <col min="5128" max="5133" width="11.42578125" style="2"/>
    <col min="5134" max="5134" width="13.7109375" style="2" customWidth="1"/>
    <col min="5135" max="5378" width="11.42578125" style="2"/>
    <col min="5379" max="5379" width="41" style="2" customWidth="1"/>
    <col min="5380" max="5380" width="12.7109375" style="2" customWidth="1"/>
    <col min="5381" max="5381" width="12.85546875" style="2" customWidth="1"/>
    <col min="5382" max="5382" width="10.5703125" style="2" customWidth="1"/>
    <col min="5383" max="5383" width="10.7109375" style="2" customWidth="1"/>
    <col min="5384" max="5389" width="11.42578125" style="2"/>
    <col min="5390" max="5390" width="13.7109375" style="2" customWidth="1"/>
    <col min="5391" max="5634" width="11.42578125" style="2"/>
    <col min="5635" max="5635" width="41" style="2" customWidth="1"/>
    <col min="5636" max="5636" width="12.7109375" style="2" customWidth="1"/>
    <col min="5637" max="5637" width="12.85546875" style="2" customWidth="1"/>
    <col min="5638" max="5638" width="10.5703125" style="2" customWidth="1"/>
    <col min="5639" max="5639" width="10.7109375" style="2" customWidth="1"/>
    <col min="5640" max="5645" width="11.42578125" style="2"/>
    <col min="5646" max="5646" width="13.7109375" style="2" customWidth="1"/>
    <col min="5647" max="5890" width="11.42578125" style="2"/>
    <col min="5891" max="5891" width="41" style="2" customWidth="1"/>
    <col min="5892" max="5892" width="12.7109375" style="2" customWidth="1"/>
    <col min="5893" max="5893" width="12.85546875" style="2" customWidth="1"/>
    <col min="5894" max="5894" width="10.5703125" style="2" customWidth="1"/>
    <col min="5895" max="5895" width="10.7109375" style="2" customWidth="1"/>
    <col min="5896" max="5901" width="11.42578125" style="2"/>
    <col min="5902" max="5902" width="13.7109375" style="2" customWidth="1"/>
    <col min="5903" max="6146" width="11.42578125" style="2"/>
    <col min="6147" max="6147" width="41" style="2" customWidth="1"/>
    <col min="6148" max="6148" width="12.7109375" style="2" customWidth="1"/>
    <col min="6149" max="6149" width="12.85546875" style="2" customWidth="1"/>
    <col min="6150" max="6150" width="10.5703125" style="2" customWidth="1"/>
    <col min="6151" max="6151" width="10.7109375" style="2" customWidth="1"/>
    <col min="6152" max="6157" width="11.42578125" style="2"/>
    <col min="6158" max="6158" width="13.7109375" style="2" customWidth="1"/>
    <col min="6159" max="6402" width="11.42578125" style="2"/>
    <col min="6403" max="6403" width="41" style="2" customWidth="1"/>
    <col min="6404" max="6404" width="12.7109375" style="2" customWidth="1"/>
    <col min="6405" max="6405" width="12.85546875" style="2" customWidth="1"/>
    <col min="6406" max="6406" width="10.5703125" style="2" customWidth="1"/>
    <col min="6407" max="6407" width="10.7109375" style="2" customWidth="1"/>
    <col min="6408" max="6413" width="11.42578125" style="2"/>
    <col min="6414" max="6414" width="13.7109375" style="2" customWidth="1"/>
    <col min="6415" max="6658" width="11.42578125" style="2"/>
    <col min="6659" max="6659" width="41" style="2" customWidth="1"/>
    <col min="6660" max="6660" width="12.7109375" style="2" customWidth="1"/>
    <col min="6661" max="6661" width="12.85546875" style="2" customWidth="1"/>
    <col min="6662" max="6662" width="10.5703125" style="2" customWidth="1"/>
    <col min="6663" max="6663" width="10.7109375" style="2" customWidth="1"/>
    <col min="6664" max="6669" width="11.42578125" style="2"/>
    <col min="6670" max="6670" width="13.7109375" style="2" customWidth="1"/>
    <col min="6671" max="6914" width="11.42578125" style="2"/>
    <col min="6915" max="6915" width="41" style="2" customWidth="1"/>
    <col min="6916" max="6916" width="12.7109375" style="2" customWidth="1"/>
    <col min="6917" max="6917" width="12.85546875" style="2" customWidth="1"/>
    <col min="6918" max="6918" width="10.5703125" style="2" customWidth="1"/>
    <col min="6919" max="6919" width="10.7109375" style="2" customWidth="1"/>
    <col min="6920" max="6925" width="11.42578125" style="2"/>
    <col min="6926" max="6926" width="13.7109375" style="2" customWidth="1"/>
    <col min="6927" max="7170" width="11.42578125" style="2"/>
    <col min="7171" max="7171" width="41" style="2" customWidth="1"/>
    <col min="7172" max="7172" width="12.7109375" style="2" customWidth="1"/>
    <col min="7173" max="7173" width="12.85546875" style="2" customWidth="1"/>
    <col min="7174" max="7174" width="10.5703125" style="2" customWidth="1"/>
    <col min="7175" max="7175" width="10.7109375" style="2" customWidth="1"/>
    <col min="7176" max="7181" width="11.42578125" style="2"/>
    <col min="7182" max="7182" width="13.7109375" style="2" customWidth="1"/>
    <col min="7183" max="7426" width="11.42578125" style="2"/>
    <col min="7427" max="7427" width="41" style="2" customWidth="1"/>
    <col min="7428" max="7428" width="12.7109375" style="2" customWidth="1"/>
    <col min="7429" max="7429" width="12.85546875" style="2" customWidth="1"/>
    <col min="7430" max="7430" width="10.5703125" style="2" customWidth="1"/>
    <col min="7431" max="7431" width="10.7109375" style="2" customWidth="1"/>
    <col min="7432" max="7437" width="11.42578125" style="2"/>
    <col min="7438" max="7438" width="13.7109375" style="2" customWidth="1"/>
    <col min="7439" max="7682" width="11.42578125" style="2"/>
    <col min="7683" max="7683" width="41" style="2" customWidth="1"/>
    <col min="7684" max="7684" width="12.7109375" style="2" customWidth="1"/>
    <col min="7685" max="7685" width="12.85546875" style="2" customWidth="1"/>
    <col min="7686" max="7686" width="10.5703125" style="2" customWidth="1"/>
    <col min="7687" max="7687" width="10.7109375" style="2" customWidth="1"/>
    <col min="7688" max="7693" width="11.42578125" style="2"/>
    <col min="7694" max="7694" width="13.7109375" style="2" customWidth="1"/>
    <col min="7695" max="7938" width="11.42578125" style="2"/>
    <col min="7939" max="7939" width="41" style="2" customWidth="1"/>
    <col min="7940" max="7940" width="12.7109375" style="2" customWidth="1"/>
    <col min="7941" max="7941" width="12.85546875" style="2" customWidth="1"/>
    <col min="7942" max="7942" width="10.5703125" style="2" customWidth="1"/>
    <col min="7943" max="7943" width="10.7109375" style="2" customWidth="1"/>
    <col min="7944" max="7949" width="11.42578125" style="2"/>
    <col min="7950" max="7950" width="13.7109375" style="2" customWidth="1"/>
    <col min="7951" max="8194" width="11.42578125" style="2"/>
    <col min="8195" max="8195" width="41" style="2" customWidth="1"/>
    <col min="8196" max="8196" width="12.7109375" style="2" customWidth="1"/>
    <col min="8197" max="8197" width="12.85546875" style="2" customWidth="1"/>
    <col min="8198" max="8198" width="10.5703125" style="2" customWidth="1"/>
    <col min="8199" max="8199" width="10.7109375" style="2" customWidth="1"/>
    <col min="8200" max="8205" width="11.42578125" style="2"/>
    <col min="8206" max="8206" width="13.7109375" style="2" customWidth="1"/>
    <col min="8207" max="8450" width="11.42578125" style="2"/>
    <col min="8451" max="8451" width="41" style="2" customWidth="1"/>
    <col min="8452" max="8452" width="12.7109375" style="2" customWidth="1"/>
    <col min="8453" max="8453" width="12.85546875" style="2" customWidth="1"/>
    <col min="8454" max="8454" width="10.5703125" style="2" customWidth="1"/>
    <col min="8455" max="8455" width="10.7109375" style="2" customWidth="1"/>
    <col min="8456" max="8461" width="11.42578125" style="2"/>
    <col min="8462" max="8462" width="13.7109375" style="2" customWidth="1"/>
    <col min="8463" max="8706" width="11.42578125" style="2"/>
    <col min="8707" max="8707" width="41" style="2" customWidth="1"/>
    <col min="8708" max="8708" width="12.7109375" style="2" customWidth="1"/>
    <col min="8709" max="8709" width="12.85546875" style="2" customWidth="1"/>
    <col min="8710" max="8710" width="10.5703125" style="2" customWidth="1"/>
    <col min="8711" max="8711" width="10.7109375" style="2" customWidth="1"/>
    <col min="8712" max="8717" width="11.42578125" style="2"/>
    <col min="8718" max="8718" width="13.7109375" style="2" customWidth="1"/>
    <col min="8719" max="8962" width="11.42578125" style="2"/>
    <col min="8963" max="8963" width="41" style="2" customWidth="1"/>
    <col min="8964" max="8964" width="12.7109375" style="2" customWidth="1"/>
    <col min="8965" max="8965" width="12.85546875" style="2" customWidth="1"/>
    <col min="8966" max="8966" width="10.5703125" style="2" customWidth="1"/>
    <col min="8967" max="8967" width="10.7109375" style="2" customWidth="1"/>
    <col min="8968" max="8973" width="11.42578125" style="2"/>
    <col min="8974" max="8974" width="13.7109375" style="2" customWidth="1"/>
    <col min="8975" max="9218" width="11.42578125" style="2"/>
    <col min="9219" max="9219" width="41" style="2" customWidth="1"/>
    <col min="9220" max="9220" width="12.7109375" style="2" customWidth="1"/>
    <col min="9221" max="9221" width="12.85546875" style="2" customWidth="1"/>
    <col min="9222" max="9222" width="10.5703125" style="2" customWidth="1"/>
    <col min="9223" max="9223" width="10.7109375" style="2" customWidth="1"/>
    <col min="9224" max="9229" width="11.42578125" style="2"/>
    <col min="9230" max="9230" width="13.7109375" style="2" customWidth="1"/>
    <col min="9231" max="9474" width="11.42578125" style="2"/>
    <col min="9475" max="9475" width="41" style="2" customWidth="1"/>
    <col min="9476" max="9476" width="12.7109375" style="2" customWidth="1"/>
    <col min="9477" max="9477" width="12.85546875" style="2" customWidth="1"/>
    <col min="9478" max="9478" width="10.5703125" style="2" customWidth="1"/>
    <col min="9479" max="9479" width="10.7109375" style="2" customWidth="1"/>
    <col min="9480" max="9485" width="11.42578125" style="2"/>
    <col min="9486" max="9486" width="13.7109375" style="2" customWidth="1"/>
    <col min="9487" max="9730" width="11.42578125" style="2"/>
    <col min="9731" max="9731" width="41" style="2" customWidth="1"/>
    <col min="9732" max="9732" width="12.7109375" style="2" customWidth="1"/>
    <col min="9733" max="9733" width="12.85546875" style="2" customWidth="1"/>
    <col min="9734" max="9734" width="10.5703125" style="2" customWidth="1"/>
    <col min="9735" max="9735" width="10.7109375" style="2" customWidth="1"/>
    <col min="9736" max="9741" width="11.42578125" style="2"/>
    <col min="9742" max="9742" width="13.7109375" style="2" customWidth="1"/>
    <col min="9743" max="9986" width="11.42578125" style="2"/>
    <col min="9987" max="9987" width="41" style="2" customWidth="1"/>
    <col min="9988" max="9988" width="12.7109375" style="2" customWidth="1"/>
    <col min="9989" max="9989" width="12.85546875" style="2" customWidth="1"/>
    <col min="9990" max="9990" width="10.5703125" style="2" customWidth="1"/>
    <col min="9991" max="9991" width="10.7109375" style="2" customWidth="1"/>
    <col min="9992" max="9997" width="11.42578125" style="2"/>
    <col min="9998" max="9998" width="13.7109375" style="2" customWidth="1"/>
    <col min="9999" max="10242" width="11.42578125" style="2"/>
    <col min="10243" max="10243" width="41" style="2" customWidth="1"/>
    <col min="10244" max="10244" width="12.7109375" style="2" customWidth="1"/>
    <col min="10245" max="10245" width="12.85546875" style="2" customWidth="1"/>
    <col min="10246" max="10246" width="10.5703125" style="2" customWidth="1"/>
    <col min="10247" max="10247" width="10.7109375" style="2" customWidth="1"/>
    <col min="10248" max="10253" width="11.42578125" style="2"/>
    <col min="10254" max="10254" width="13.7109375" style="2" customWidth="1"/>
    <col min="10255" max="10498" width="11.42578125" style="2"/>
    <col min="10499" max="10499" width="41" style="2" customWidth="1"/>
    <col min="10500" max="10500" width="12.7109375" style="2" customWidth="1"/>
    <col min="10501" max="10501" width="12.85546875" style="2" customWidth="1"/>
    <col min="10502" max="10502" width="10.5703125" style="2" customWidth="1"/>
    <col min="10503" max="10503" width="10.7109375" style="2" customWidth="1"/>
    <col min="10504" max="10509" width="11.42578125" style="2"/>
    <col min="10510" max="10510" width="13.7109375" style="2" customWidth="1"/>
    <col min="10511" max="10754" width="11.42578125" style="2"/>
    <col min="10755" max="10755" width="41" style="2" customWidth="1"/>
    <col min="10756" max="10756" width="12.7109375" style="2" customWidth="1"/>
    <col min="10757" max="10757" width="12.85546875" style="2" customWidth="1"/>
    <col min="10758" max="10758" width="10.5703125" style="2" customWidth="1"/>
    <col min="10759" max="10759" width="10.7109375" style="2" customWidth="1"/>
    <col min="10760" max="10765" width="11.42578125" style="2"/>
    <col min="10766" max="10766" width="13.7109375" style="2" customWidth="1"/>
    <col min="10767" max="11010" width="11.42578125" style="2"/>
    <col min="11011" max="11011" width="41" style="2" customWidth="1"/>
    <col min="11012" max="11012" width="12.7109375" style="2" customWidth="1"/>
    <col min="11013" max="11013" width="12.85546875" style="2" customWidth="1"/>
    <col min="11014" max="11014" width="10.5703125" style="2" customWidth="1"/>
    <col min="11015" max="11015" width="10.7109375" style="2" customWidth="1"/>
    <col min="11016" max="11021" width="11.42578125" style="2"/>
    <col min="11022" max="11022" width="13.7109375" style="2" customWidth="1"/>
    <col min="11023" max="11266" width="11.42578125" style="2"/>
    <col min="11267" max="11267" width="41" style="2" customWidth="1"/>
    <col min="11268" max="11268" width="12.7109375" style="2" customWidth="1"/>
    <col min="11269" max="11269" width="12.85546875" style="2" customWidth="1"/>
    <col min="11270" max="11270" width="10.5703125" style="2" customWidth="1"/>
    <col min="11271" max="11271" width="10.7109375" style="2" customWidth="1"/>
    <col min="11272" max="11277" width="11.42578125" style="2"/>
    <col min="11278" max="11278" width="13.7109375" style="2" customWidth="1"/>
    <col min="11279" max="11522" width="11.42578125" style="2"/>
    <col min="11523" max="11523" width="41" style="2" customWidth="1"/>
    <col min="11524" max="11524" width="12.7109375" style="2" customWidth="1"/>
    <col min="11525" max="11525" width="12.85546875" style="2" customWidth="1"/>
    <col min="11526" max="11526" width="10.5703125" style="2" customWidth="1"/>
    <col min="11527" max="11527" width="10.7109375" style="2" customWidth="1"/>
    <col min="11528" max="11533" width="11.42578125" style="2"/>
    <col min="11534" max="11534" width="13.7109375" style="2" customWidth="1"/>
    <col min="11535" max="11778" width="11.42578125" style="2"/>
    <col min="11779" max="11779" width="41" style="2" customWidth="1"/>
    <col min="11780" max="11780" width="12.7109375" style="2" customWidth="1"/>
    <col min="11781" max="11781" width="12.85546875" style="2" customWidth="1"/>
    <col min="11782" max="11782" width="10.5703125" style="2" customWidth="1"/>
    <col min="11783" max="11783" width="10.7109375" style="2" customWidth="1"/>
    <col min="11784" max="11789" width="11.42578125" style="2"/>
    <col min="11790" max="11790" width="13.7109375" style="2" customWidth="1"/>
    <col min="11791" max="12034" width="11.42578125" style="2"/>
    <col min="12035" max="12035" width="41" style="2" customWidth="1"/>
    <col min="12036" max="12036" width="12.7109375" style="2" customWidth="1"/>
    <col min="12037" max="12037" width="12.85546875" style="2" customWidth="1"/>
    <col min="12038" max="12038" width="10.5703125" style="2" customWidth="1"/>
    <col min="12039" max="12039" width="10.7109375" style="2" customWidth="1"/>
    <col min="12040" max="12045" width="11.42578125" style="2"/>
    <col min="12046" max="12046" width="13.7109375" style="2" customWidth="1"/>
    <col min="12047" max="12290" width="11.42578125" style="2"/>
    <col min="12291" max="12291" width="41" style="2" customWidth="1"/>
    <col min="12292" max="12292" width="12.7109375" style="2" customWidth="1"/>
    <col min="12293" max="12293" width="12.85546875" style="2" customWidth="1"/>
    <col min="12294" max="12294" width="10.5703125" style="2" customWidth="1"/>
    <col min="12295" max="12295" width="10.7109375" style="2" customWidth="1"/>
    <col min="12296" max="12301" width="11.42578125" style="2"/>
    <col min="12302" max="12302" width="13.7109375" style="2" customWidth="1"/>
    <col min="12303" max="12546" width="11.42578125" style="2"/>
    <col min="12547" max="12547" width="41" style="2" customWidth="1"/>
    <col min="12548" max="12548" width="12.7109375" style="2" customWidth="1"/>
    <col min="12549" max="12549" width="12.85546875" style="2" customWidth="1"/>
    <col min="12550" max="12550" width="10.5703125" style="2" customWidth="1"/>
    <col min="12551" max="12551" width="10.7109375" style="2" customWidth="1"/>
    <col min="12552" max="12557" width="11.42578125" style="2"/>
    <col min="12558" max="12558" width="13.7109375" style="2" customWidth="1"/>
    <col min="12559" max="12802" width="11.42578125" style="2"/>
    <col min="12803" max="12803" width="41" style="2" customWidth="1"/>
    <col min="12804" max="12804" width="12.7109375" style="2" customWidth="1"/>
    <col min="12805" max="12805" width="12.85546875" style="2" customWidth="1"/>
    <col min="12806" max="12806" width="10.5703125" style="2" customWidth="1"/>
    <col min="12807" max="12807" width="10.7109375" style="2" customWidth="1"/>
    <col min="12808" max="12813" width="11.42578125" style="2"/>
    <col min="12814" max="12814" width="13.7109375" style="2" customWidth="1"/>
    <col min="12815" max="13058" width="11.42578125" style="2"/>
    <col min="13059" max="13059" width="41" style="2" customWidth="1"/>
    <col min="13060" max="13060" width="12.7109375" style="2" customWidth="1"/>
    <col min="13061" max="13061" width="12.85546875" style="2" customWidth="1"/>
    <col min="13062" max="13062" width="10.5703125" style="2" customWidth="1"/>
    <col min="13063" max="13063" width="10.7109375" style="2" customWidth="1"/>
    <col min="13064" max="13069" width="11.42578125" style="2"/>
    <col min="13070" max="13070" width="13.7109375" style="2" customWidth="1"/>
    <col min="13071" max="13314" width="11.42578125" style="2"/>
    <col min="13315" max="13315" width="41" style="2" customWidth="1"/>
    <col min="13316" max="13316" width="12.7109375" style="2" customWidth="1"/>
    <col min="13317" max="13317" width="12.85546875" style="2" customWidth="1"/>
    <col min="13318" max="13318" width="10.5703125" style="2" customWidth="1"/>
    <col min="13319" max="13319" width="10.7109375" style="2" customWidth="1"/>
    <col min="13320" max="13325" width="11.42578125" style="2"/>
    <col min="13326" max="13326" width="13.7109375" style="2" customWidth="1"/>
    <col min="13327" max="13570" width="11.42578125" style="2"/>
    <col min="13571" max="13571" width="41" style="2" customWidth="1"/>
    <col min="13572" max="13572" width="12.7109375" style="2" customWidth="1"/>
    <col min="13573" max="13573" width="12.85546875" style="2" customWidth="1"/>
    <col min="13574" max="13574" width="10.5703125" style="2" customWidth="1"/>
    <col min="13575" max="13575" width="10.7109375" style="2" customWidth="1"/>
    <col min="13576" max="13581" width="11.42578125" style="2"/>
    <col min="13582" max="13582" width="13.7109375" style="2" customWidth="1"/>
    <col min="13583" max="13826" width="11.42578125" style="2"/>
    <col min="13827" max="13827" width="41" style="2" customWidth="1"/>
    <col min="13828" max="13828" width="12.7109375" style="2" customWidth="1"/>
    <col min="13829" max="13829" width="12.85546875" style="2" customWidth="1"/>
    <col min="13830" max="13830" width="10.5703125" style="2" customWidth="1"/>
    <col min="13831" max="13831" width="10.7109375" style="2" customWidth="1"/>
    <col min="13832" max="13837" width="11.42578125" style="2"/>
    <col min="13838" max="13838" width="13.7109375" style="2" customWidth="1"/>
    <col min="13839" max="14082" width="11.42578125" style="2"/>
    <col min="14083" max="14083" width="41" style="2" customWidth="1"/>
    <col min="14084" max="14084" width="12.7109375" style="2" customWidth="1"/>
    <col min="14085" max="14085" width="12.85546875" style="2" customWidth="1"/>
    <col min="14086" max="14086" width="10.5703125" style="2" customWidth="1"/>
    <col min="14087" max="14087" width="10.7109375" style="2" customWidth="1"/>
    <col min="14088" max="14093" width="11.42578125" style="2"/>
    <col min="14094" max="14094" width="13.7109375" style="2" customWidth="1"/>
    <col min="14095" max="14338" width="11.42578125" style="2"/>
    <col min="14339" max="14339" width="41" style="2" customWidth="1"/>
    <col min="14340" max="14340" width="12.7109375" style="2" customWidth="1"/>
    <col min="14341" max="14341" width="12.85546875" style="2" customWidth="1"/>
    <col min="14342" max="14342" width="10.5703125" style="2" customWidth="1"/>
    <col min="14343" max="14343" width="10.7109375" style="2" customWidth="1"/>
    <col min="14344" max="14349" width="11.42578125" style="2"/>
    <col min="14350" max="14350" width="13.7109375" style="2" customWidth="1"/>
    <col min="14351" max="14594" width="11.42578125" style="2"/>
    <col min="14595" max="14595" width="41" style="2" customWidth="1"/>
    <col min="14596" max="14596" width="12.7109375" style="2" customWidth="1"/>
    <col min="14597" max="14597" width="12.85546875" style="2" customWidth="1"/>
    <col min="14598" max="14598" width="10.5703125" style="2" customWidth="1"/>
    <col min="14599" max="14599" width="10.7109375" style="2" customWidth="1"/>
    <col min="14600" max="14605" width="11.42578125" style="2"/>
    <col min="14606" max="14606" width="13.7109375" style="2" customWidth="1"/>
    <col min="14607" max="14850" width="11.42578125" style="2"/>
    <col min="14851" max="14851" width="41" style="2" customWidth="1"/>
    <col min="14852" max="14852" width="12.7109375" style="2" customWidth="1"/>
    <col min="14853" max="14853" width="12.85546875" style="2" customWidth="1"/>
    <col min="14854" max="14854" width="10.5703125" style="2" customWidth="1"/>
    <col min="14855" max="14855" width="10.7109375" style="2" customWidth="1"/>
    <col min="14856" max="14861" width="11.42578125" style="2"/>
    <col min="14862" max="14862" width="13.7109375" style="2" customWidth="1"/>
    <col min="14863" max="15106" width="11.42578125" style="2"/>
    <col min="15107" max="15107" width="41" style="2" customWidth="1"/>
    <col min="15108" max="15108" width="12.7109375" style="2" customWidth="1"/>
    <col min="15109" max="15109" width="12.85546875" style="2" customWidth="1"/>
    <col min="15110" max="15110" width="10.5703125" style="2" customWidth="1"/>
    <col min="15111" max="15111" width="10.7109375" style="2" customWidth="1"/>
    <col min="15112" max="15117" width="11.42578125" style="2"/>
    <col min="15118" max="15118" width="13.7109375" style="2" customWidth="1"/>
    <col min="15119" max="15362" width="11.42578125" style="2"/>
    <col min="15363" max="15363" width="41" style="2" customWidth="1"/>
    <col min="15364" max="15364" width="12.7109375" style="2" customWidth="1"/>
    <col min="15365" max="15365" width="12.85546875" style="2" customWidth="1"/>
    <col min="15366" max="15366" width="10.5703125" style="2" customWidth="1"/>
    <col min="15367" max="15367" width="10.7109375" style="2" customWidth="1"/>
    <col min="15368" max="15373" width="11.42578125" style="2"/>
    <col min="15374" max="15374" width="13.7109375" style="2" customWidth="1"/>
    <col min="15375" max="15618" width="11.42578125" style="2"/>
    <col min="15619" max="15619" width="41" style="2" customWidth="1"/>
    <col min="15620" max="15620" width="12.7109375" style="2" customWidth="1"/>
    <col min="15621" max="15621" width="12.85546875" style="2" customWidth="1"/>
    <col min="15622" max="15622" width="10.5703125" style="2" customWidth="1"/>
    <col min="15623" max="15623" width="10.7109375" style="2" customWidth="1"/>
    <col min="15624" max="15629" width="11.42578125" style="2"/>
    <col min="15630" max="15630" width="13.7109375" style="2" customWidth="1"/>
    <col min="15631" max="15874" width="11.42578125" style="2"/>
    <col min="15875" max="15875" width="41" style="2" customWidth="1"/>
    <col min="15876" max="15876" width="12.7109375" style="2" customWidth="1"/>
    <col min="15877" max="15877" width="12.85546875" style="2" customWidth="1"/>
    <col min="15878" max="15878" width="10.5703125" style="2" customWidth="1"/>
    <col min="15879" max="15879" width="10.7109375" style="2" customWidth="1"/>
    <col min="15880" max="15885" width="11.42578125" style="2"/>
    <col min="15886" max="15886" width="13.7109375" style="2" customWidth="1"/>
    <col min="15887" max="16130" width="11.42578125" style="2"/>
    <col min="16131" max="16131" width="41" style="2" customWidth="1"/>
    <col min="16132" max="16132" width="12.7109375" style="2" customWidth="1"/>
    <col min="16133" max="16133" width="12.85546875" style="2" customWidth="1"/>
    <col min="16134" max="16134" width="10.5703125" style="2" customWidth="1"/>
    <col min="16135" max="16135" width="10.7109375" style="2" customWidth="1"/>
    <col min="16136" max="16141" width="11.42578125" style="2"/>
    <col min="16142" max="16142" width="13.7109375" style="2" customWidth="1"/>
    <col min="16143" max="16384" width="11.42578125" style="2"/>
  </cols>
  <sheetData>
    <row r="7" spans="3:7" ht="25.5" customHeight="1">
      <c r="C7" s="245" t="s">
        <v>256</v>
      </c>
      <c r="D7" s="246"/>
      <c r="E7" s="246"/>
      <c r="F7" s="247"/>
    </row>
    <row r="8" spans="3:7" ht="37.5" customHeight="1">
      <c r="C8" s="30" t="s">
        <v>26</v>
      </c>
      <c r="D8" s="31" t="str">
        <f>actualizaciones!A3</f>
        <v>acumulado julio 2009</v>
      </c>
      <c r="E8" s="31" t="str">
        <f>actualizaciones!A2</f>
        <v xml:space="preserve">acumulado julio 2010 </v>
      </c>
      <c r="F8" s="344" t="s">
        <v>257</v>
      </c>
    </row>
    <row r="9" spans="3:7">
      <c r="C9" s="33" t="s">
        <v>258</v>
      </c>
      <c r="D9" s="345">
        <f>'[1]tabla dinámica municipios'!$K$392*100</f>
        <v>41.859501432611275</v>
      </c>
      <c r="E9" s="345">
        <f>'[1]tabla dinámica municipios'!$U$392*100</f>
        <v>37.709338935825123</v>
      </c>
      <c r="F9" s="36">
        <f>E9/D9-1</f>
        <v>-9.9145053207750466E-2</v>
      </c>
      <c r="G9" s="346"/>
    </row>
    <row r="10" spans="3:7">
      <c r="C10" s="37" t="s">
        <v>259</v>
      </c>
      <c r="D10" s="347">
        <f>'[1]tabla dinámica municipios'!$J$392*100</f>
        <v>41.859501432611275</v>
      </c>
      <c r="E10" s="347">
        <f>'[1]tabla dinámica municipios'!$T$392*100</f>
        <v>37.709338935825123</v>
      </c>
      <c r="F10" s="40">
        <f>E10/D10-1</f>
        <v>-9.9145053207750466E-2</v>
      </c>
      <c r="G10" s="346"/>
    </row>
    <row r="11" spans="3:7">
      <c r="C11" s="334" t="s">
        <v>260</v>
      </c>
      <c r="D11" s="348" t="s">
        <v>32</v>
      </c>
      <c r="E11" s="348" t="s">
        <v>32</v>
      </c>
      <c r="F11" s="328" t="str">
        <f>IFERROR(E11/D11-1,"-")</f>
        <v>-</v>
      </c>
      <c r="G11" s="346"/>
    </row>
    <row r="12" spans="3:7">
      <c r="C12" s="42" t="s">
        <v>33</v>
      </c>
      <c r="D12" s="43"/>
      <c r="E12" s="43"/>
      <c r="F12" s="349"/>
    </row>
    <row r="28" spans="2:12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</sheetData>
  <mergeCells count="1">
    <mergeCell ref="C7:F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6:L18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3.28515625" style="350" customWidth="1"/>
    <col min="2" max="2" width="30.85546875" style="350" customWidth="1"/>
    <col min="3" max="5" width="12.7109375" style="350" customWidth="1"/>
    <col min="6" max="6" width="10.7109375" style="350" customWidth="1"/>
    <col min="7" max="12" width="11.42578125" style="350"/>
    <col min="13" max="13" width="13.7109375" style="350" customWidth="1"/>
    <col min="14" max="256" width="11.42578125" style="350"/>
    <col min="257" max="257" width="13.28515625" style="350" customWidth="1"/>
    <col min="258" max="258" width="30.85546875" style="350" customWidth="1"/>
    <col min="259" max="261" width="12.7109375" style="350" customWidth="1"/>
    <col min="262" max="262" width="10.7109375" style="350" customWidth="1"/>
    <col min="263" max="268" width="11.42578125" style="350"/>
    <col min="269" max="269" width="13.7109375" style="350" customWidth="1"/>
    <col min="270" max="512" width="11.42578125" style="350"/>
    <col min="513" max="513" width="13.28515625" style="350" customWidth="1"/>
    <col min="514" max="514" width="30.85546875" style="350" customWidth="1"/>
    <col min="515" max="517" width="12.7109375" style="350" customWidth="1"/>
    <col min="518" max="518" width="10.7109375" style="350" customWidth="1"/>
    <col min="519" max="524" width="11.42578125" style="350"/>
    <col min="525" max="525" width="13.7109375" style="350" customWidth="1"/>
    <col min="526" max="768" width="11.42578125" style="350"/>
    <col min="769" max="769" width="13.28515625" style="350" customWidth="1"/>
    <col min="770" max="770" width="30.85546875" style="350" customWidth="1"/>
    <col min="771" max="773" width="12.7109375" style="350" customWidth="1"/>
    <col min="774" max="774" width="10.7109375" style="350" customWidth="1"/>
    <col min="775" max="780" width="11.42578125" style="350"/>
    <col min="781" max="781" width="13.7109375" style="350" customWidth="1"/>
    <col min="782" max="1024" width="11.42578125" style="350"/>
    <col min="1025" max="1025" width="13.28515625" style="350" customWidth="1"/>
    <col min="1026" max="1026" width="30.85546875" style="350" customWidth="1"/>
    <col min="1027" max="1029" width="12.7109375" style="350" customWidth="1"/>
    <col min="1030" max="1030" width="10.7109375" style="350" customWidth="1"/>
    <col min="1031" max="1036" width="11.42578125" style="350"/>
    <col min="1037" max="1037" width="13.7109375" style="350" customWidth="1"/>
    <col min="1038" max="1280" width="11.42578125" style="350"/>
    <col min="1281" max="1281" width="13.28515625" style="350" customWidth="1"/>
    <col min="1282" max="1282" width="30.85546875" style="350" customWidth="1"/>
    <col min="1283" max="1285" width="12.7109375" style="350" customWidth="1"/>
    <col min="1286" max="1286" width="10.7109375" style="350" customWidth="1"/>
    <col min="1287" max="1292" width="11.42578125" style="350"/>
    <col min="1293" max="1293" width="13.7109375" style="350" customWidth="1"/>
    <col min="1294" max="1536" width="11.42578125" style="350"/>
    <col min="1537" max="1537" width="13.28515625" style="350" customWidth="1"/>
    <col min="1538" max="1538" width="30.85546875" style="350" customWidth="1"/>
    <col min="1539" max="1541" width="12.7109375" style="350" customWidth="1"/>
    <col min="1542" max="1542" width="10.7109375" style="350" customWidth="1"/>
    <col min="1543" max="1548" width="11.42578125" style="350"/>
    <col min="1549" max="1549" width="13.7109375" style="350" customWidth="1"/>
    <col min="1550" max="1792" width="11.42578125" style="350"/>
    <col min="1793" max="1793" width="13.28515625" style="350" customWidth="1"/>
    <col min="1794" max="1794" width="30.85546875" style="350" customWidth="1"/>
    <col min="1795" max="1797" width="12.7109375" style="350" customWidth="1"/>
    <col min="1798" max="1798" width="10.7109375" style="350" customWidth="1"/>
    <col min="1799" max="1804" width="11.42578125" style="350"/>
    <col min="1805" max="1805" width="13.7109375" style="350" customWidth="1"/>
    <col min="1806" max="2048" width="11.42578125" style="350"/>
    <col min="2049" max="2049" width="13.28515625" style="350" customWidth="1"/>
    <col min="2050" max="2050" width="30.85546875" style="350" customWidth="1"/>
    <col min="2051" max="2053" width="12.7109375" style="350" customWidth="1"/>
    <col min="2054" max="2054" width="10.7109375" style="350" customWidth="1"/>
    <col min="2055" max="2060" width="11.42578125" style="350"/>
    <col min="2061" max="2061" width="13.7109375" style="350" customWidth="1"/>
    <col min="2062" max="2304" width="11.42578125" style="350"/>
    <col min="2305" max="2305" width="13.28515625" style="350" customWidth="1"/>
    <col min="2306" max="2306" width="30.85546875" style="350" customWidth="1"/>
    <col min="2307" max="2309" width="12.7109375" style="350" customWidth="1"/>
    <col min="2310" max="2310" width="10.7109375" style="350" customWidth="1"/>
    <col min="2311" max="2316" width="11.42578125" style="350"/>
    <col min="2317" max="2317" width="13.7109375" style="350" customWidth="1"/>
    <col min="2318" max="2560" width="11.42578125" style="350"/>
    <col min="2561" max="2561" width="13.28515625" style="350" customWidth="1"/>
    <col min="2562" max="2562" width="30.85546875" style="350" customWidth="1"/>
    <col min="2563" max="2565" width="12.7109375" style="350" customWidth="1"/>
    <col min="2566" max="2566" width="10.7109375" style="350" customWidth="1"/>
    <col min="2567" max="2572" width="11.42578125" style="350"/>
    <col min="2573" max="2573" width="13.7109375" style="350" customWidth="1"/>
    <col min="2574" max="2816" width="11.42578125" style="350"/>
    <col min="2817" max="2817" width="13.28515625" style="350" customWidth="1"/>
    <col min="2818" max="2818" width="30.85546875" style="350" customWidth="1"/>
    <col min="2819" max="2821" width="12.7109375" style="350" customWidth="1"/>
    <col min="2822" max="2822" width="10.7109375" style="350" customWidth="1"/>
    <col min="2823" max="2828" width="11.42578125" style="350"/>
    <col min="2829" max="2829" width="13.7109375" style="350" customWidth="1"/>
    <col min="2830" max="3072" width="11.42578125" style="350"/>
    <col min="3073" max="3073" width="13.28515625" style="350" customWidth="1"/>
    <col min="3074" max="3074" width="30.85546875" style="350" customWidth="1"/>
    <col min="3075" max="3077" width="12.7109375" style="350" customWidth="1"/>
    <col min="3078" max="3078" width="10.7109375" style="350" customWidth="1"/>
    <col min="3079" max="3084" width="11.42578125" style="350"/>
    <col min="3085" max="3085" width="13.7109375" style="350" customWidth="1"/>
    <col min="3086" max="3328" width="11.42578125" style="350"/>
    <col min="3329" max="3329" width="13.28515625" style="350" customWidth="1"/>
    <col min="3330" max="3330" width="30.85546875" style="350" customWidth="1"/>
    <col min="3331" max="3333" width="12.7109375" style="350" customWidth="1"/>
    <col min="3334" max="3334" width="10.7109375" style="350" customWidth="1"/>
    <col min="3335" max="3340" width="11.42578125" style="350"/>
    <col min="3341" max="3341" width="13.7109375" style="350" customWidth="1"/>
    <col min="3342" max="3584" width="11.42578125" style="350"/>
    <col min="3585" max="3585" width="13.28515625" style="350" customWidth="1"/>
    <col min="3586" max="3586" width="30.85546875" style="350" customWidth="1"/>
    <col min="3587" max="3589" width="12.7109375" style="350" customWidth="1"/>
    <col min="3590" max="3590" width="10.7109375" style="350" customWidth="1"/>
    <col min="3591" max="3596" width="11.42578125" style="350"/>
    <col min="3597" max="3597" width="13.7109375" style="350" customWidth="1"/>
    <col min="3598" max="3840" width="11.42578125" style="350"/>
    <col min="3841" max="3841" width="13.28515625" style="350" customWidth="1"/>
    <col min="3842" max="3842" width="30.85546875" style="350" customWidth="1"/>
    <col min="3843" max="3845" width="12.7109375" style="350" customWidth="1"/>
    <col min="3846" max="3846" width="10.7109375" style="350" customWidth="1"/>
    <col min="3847" max="3852" width="11.42578125" style="350"/>
    <col min="3853" max="3853" width="13.7109375" style="350" customWidth="1"/>
    <col min="3854" max="4096" width="11.42578125" style="350"/>
    <col min="4097" max="4097" width="13.28515625" style="350" customWidth="1"/>
    <col min="4098" max="4098" width="30.85546875" style="350" customWidth="1"/>
    <col min="4099" max="4101" width="12.7109375" style="350" customWidth="1"/>
    <col min="4102" max="4102" width="10.7109375" style="350" customWidth="1"/>
    <col min="4103" max="4108" width="11.42578125" style="350"/>
    <col min="4109" max="4109" width="13.7109375" style="350" customWidth="1"/>
    <col min="4110" max="4352" width="11.42578125" style="350"/>
    <col min="4353" max="4353" width="13.28515625" style="350" customWidth="1"/>
    <col min="4354" max="4354" width="30.85546875" style="350" customWidth="1"/>
    <col min="4355" max="4357" width="12.7109375" style="350" customWidth="1"/>
    <col min="4358" max="4358" width="10.7109375" style="350" customWidth="1"/>
    <col min="4359" max="4364" width="11.42578125" style="350"/>
    <col min="4365" max="4365" width="13.7109375" style="350" customWidth="1"/>
    <col min="4366" max="4608" width="11.42578125" style="350"/>
    <col min="4609" max="4609" width="13.28515625" style="350" customWidth="1"/>
    <col min="4610" max="4610" width="30.85546875" style="350" customWidth="1"/>
    <col min="4611" max="4613" width="12.7109375" style="350" customWidth="1"/>
    <col min="4614" max="4614" width="10.7109375" style="350" customWidth="1"/>
    <col min="4615" max="4620" width="11.42578125" style="350"/>
    <col min="4621" max="4621" width="13.7109375" style="350" customWidth="1"/>
    <col min="4622" max="4864" width="11.42578125" style="350"/>
    <col min="4865" max="4865" width="13.28515625" style="350" customWidth="1"/>
    <col min="4866" max="4866" width="30.85546875" style="350" customWidth="1"/>
    <col min="4867" max="4869" width="12.7109375" style="350" customWidth="1"/>
    <col min="4870" max="4870" width="10.7109375" style="350" customWidth="1"/>
    <col min="4871" max="4876" width="11.42578125" style="350"/>
    <col min="4877" max="4877" width="13.7109375" style="350" customWidth="1"/>
    <col min="4878" max="5120" width="11.42578125" style="350"/>
    <col min="5121" max="5121" width="13.28515625" style="350" customWidth="1"/>
    <col min="5122" max="5122" width="30.85546875" style="350" customWidth="1"/>
    <col min="5123" max="5125" width="12.7109375" style="350" customWidth="1"/>
    <col min="5126" max="5126" width="10.7109375" style="350" customWidth="1"/>
    <col min="5127" max="5132" width="11.42578125" style="350"/>
    <col min="5133" max="5133" width="13.7109375" style="350" customWidth="1"/>
    <col min="5134" max="5376" width="11.42578125" style="350"/>
    <col min="5377" max="5377" width="13.28515625" style="350" customWidth="1"/>
    <col min="5378" max="5378" width="30.85546875" style="350" customWidth="1"/>
    <col min="5379" max="5381" width="12.7109375" style="350" customWidth="1"/>
    <col min="5382" max="5382" width="10.7109375" style="350" customWidth="1"/>
    <col min="5383" max="5388" width="11.42578125" style="350"/>
    <col min="5389" max="5389" width="13.7109375" style="350" customWidth="1"/>
    <col min="5390" max="5632" width="11.42578125" style="350"/>
    <col min="5633" max="5633" width="13.28515625" style="350" customWidth="1"/>
    <col min="5634" max="5634" width="30.85546875" style="350" customWidth="1"/>
    <col min="5635" max="5637" width="12.7109375" style="350" customWidth="1"/>
    <col min="5638" max="5638" width="10.7109375" style="350" customWidth="1"/>
    <col min="5639" max="5644" width="11.42578125" style="350"/>
    <col min="5645" max="5645" width="13.7109375" style="350" customWidth="1"/>
    <col min="5646" max="5888" width="11.42578125" style="350"/>
    <col min="5889" max="5889" width="13.28515625" style="350" customWidth="1"/>
    <col min="5890" max="5890" width="30.85546875" style="350" customWidth="1"/>
    <col min="5891" max="5893" width="12.7109375" style="350" customWidth="1"/>
    <col min="5894" max="5894" width="10.7109375" style="350" customWidth="1"/>
    <col min="5895" max="5900" width="11.42578125" style="350"/>
    <col min="5901" max="5901" width="13.7109375" style="350" customWidth="1"/>
    <col min="5902" max="6144" width="11.42578125" style="350"/>
    <col min="6145" max="6145" width="13.28515625" style="350" customWidth="1"/>
    <col min="6146" max="6146" width="30.85546875" style="350" customWidth="1"/>
    <col min="6147" max="6149" width="12.7109375" style="350" customWidth="1"/>
    <col min="6150" max="6150" width="10.7109375" style="350" customWidth="1"/>
    <col min="6151" max="6156" width="11.42578125" style="350"/>
    <col min="6157" max="6157" width="13.7109375" style="350" customWidth="1"/>
    <col min="6158" max="6400" width="11.42578125" style="350"/>
    <col min="6401" max="6401" width="13.28515625" style="350" customWidth="1"/>
    <col min="6402" max="6402" width="30.85546875" style="350" customWidth="1"/>
    <col min="6403" max="6405" width="12.7109375" style="350" customWidth="1"/>
    <col min="6406" max="6406" width="10.7109375" style="350" customWidth="1"/>
    <col min="6407" max="6412" width="11.42578125" style="350"/>
    <col min="6413" max="6413" width="13.7109375" style="350" customWidth="1"/>
    <col min="6414" max="6656" width="11.42578125" style="350"/>
    <col min="6657" max="6657" width="13.28515625" style="350" customWidth="1"/>
    <col min="6658" max="6658" width="30.85546875" style="350" customWidth="1"/>
    <col min="6659" max="6661" width="12.7109375" style="350" customWidth="1"/>
    <col min="6662" max="6662" width="10.7109375" style="350" customWidth="1"/>
    <col min="6663" max="6668" width="11.42578125" style="350"/>
    <col min="6669" max="6669" width="13.7109375" style="350" customWidth="1"/>
    <col min="6670" max="6912" width="11.42578125" style="350"/>
    <col min="6913" max="6913" width="13.28515625" style="350" customWidth="1"/>
    <col min="6914" max="6914" width="30.85546875" style="350" customWidth="1"/>
    <col min="6915" max="6917" width="12.7109375" style="350" customWidth="1"/>
    <col min="6918" max="6918" width="10.7109375" style="350" customWidth="1"/>
    <col min="6919" max="6924" width="11.42578125" style="350"/>
    <col min="6925" max="6925" width="13.7109375" style="350" customWidth="1"/>
    <col min="6926" max="7168" width="11.42578125" style="350"/>
    <col min="7169" max="7169" width="13.28515625" style="350" customWidth="1"/>
    <col min="7170" max="7170" width="30.85546875" style="350" customWidth="1"/>
    <col min="7171" max="7173" width="12.7109375" style="350" customWidth="1"/>
    <col min="7174" max="7174" width="10.7109375" style="350" customWidth="1"/>
    <col min="7175" max="7180" width="11.42578125" style="350"/>
    <col min="7181" max="7181" width="13.7109375" style="350" customWidth="1"/>
    <col min="7182" max="7424" width="11.42578125" style="350"/>
    <col min="7425" max="7425" width="13.28515625" style="350" customWidth="1"/>
    <col min="7426" max="7426" width="30.85546875" style="350" customWidth="1"/>
    <col min="7427" max="7429" width="12.7109375" style="350" customWidth="1"/>
    <col min="7430" max="7430" width="10.7109375" style="350" customWidth="1"/>
    <col min="7431" max="7436" width="11.42578125" style="350"/>
    <col min="7437" max="7437" width="13.7109375" style="350" customWidth="1"/>
    <col min="7438" max="7680" width="11.42578125" style="350"/>
    <col min="7681" max="7681" width="13.28515625" style="350" customWidth="1"/>
    <col min="7682" max="7682" width="30.85546875" style="350" customWidth="1"/>
    <col min="7683" max="7685" width="12.7109375" style="350" customWidth="1"/>
    <col min="7686" max="7686" width="10.7109375" style="350" customWidth="1"/>
    <col min="7687" max="7692" width="11.42578125" style="350"/>
    <col min="7693" max="7693" width="13.7109375" style="350" customWidth="1"/>
    <col min="7694" max="7936" width="11.42578125" style="350"/>
    <col min="7937" max="7937" width="13.28515625" style="350" customWidth="1"/>
    <col min="7938" max="7938" width="30.85546875" style="350" customWidth="1"/>
    <col min="7939" max="7941" width="12.7109375" style="350" customWidth="1"/>
    <col min="7942" max="7942" width="10.7109375" style="350" customWidth="1"/>
    <col min="7943" max="7948" width="11.42578125" style="350"/>
    <col min="7949" max="7949" width="13.7109375" style="350" customWidth="1"/>
    <col min="7950" max="8192" width="11.42578125" style="350"/>
    <col min="8193" max="8193" width="13.28515625" style="350" customWidth="1"/>
    <col min="8194" max="8194" width="30.85546875" style="350" customWidth="1"/>
    <col min="8195" max="8197" width="12.7109375" style="350" customWidth="1"/>
    <col min="8198" max="8198" width="10.7109375" style="350" customWidth="1"/>
    <col min="8199" max="8204" width="11.42578125" style="350"/>
    <col min="8205" max="8205" width="13.7109375" style="350" customWidth="1"/>
    <col min="8206" max="8448" width="11.42578125" style="350"/>
    <col min="8449" max="8449" width="13.28515625" style="350" customWidth="1"/>
    <col min="8450" max="8450" width="30.85546875" style="350" customWidth="1"/>
    <col min="8451" max="8453" width="12.7109375" style="350" customWidth="1"/>
    <col min="8454" max="8454" width="10.7109375" style="350" customWidth="1"/>
    <col min="8455" max="8460" width="11.42578125" style="350"/>
    <col min="8461" max="8461" width="13.7109375" style="350" customWidth="1"/>
    <col min="8462" max="8704" width="11.42578125" style="350"/>
    <col min="8705" max="8705" width="13.28515625" style="350" customWidth="1"/>
    <col min="8706" max="8706" width="30.85546875" style="350" customWidth="1"/>
    <col min="8707" max="8709" width="12.7109375" style="350" customWidth="1"/>
    <col min="8710" max="8710" width="10.7109375" style="350" customWidth="1"/>
    <col min="8711" max="8716" width="11.42578125" style="350"/>
    <col min="8717" max="8717" width="13.7109375" style="350" customWidth="1"/>
    <col min="8718" max="8960" width="11.42578125" style="350"/>
    <col min="8961" max="8961" width="13.28515625" style="350" customWidth="1"/>
    <col min="8962" max="8962" width="30.85546875" style="350" customWidth="1"/>
    <col min="8963" max="8965" width="12.7109375" style="350" customWidth="1"/>
    <col min="8966" max="8966" width="10.7109375" style="350" customWidth="1"/>
    <col min="8967" max="8972" width="11.42578125" style="350"/>
    <col min="8973" max="8973" width="13.7109375" style="350" customWidth="1"/>
    <col min="8974" max="9216" width="11.42578125" style="350"/>
    <col min="9217" max="9217" width="13.28515625" style="350" customWidth="1"/>
    <col min="9218" max="9218" width="30.85546875" style="350" customWidth="1"/>
    <col min="9219" max="9221" width="12.7109375" style="350" customWidth="1"/>
    <col min="9222" max="9222" width="10.7109375" style="350" customWidth="1"/>
    <col min="9223" max="9228" width="11.42578125" style="350"/>
    <col min="9229" max="9229" width="13.7109375" style="350" customWidth="1"/>
    <col min="9230" max="9472" width="11.42578125" style="350"/>
    <col min="9473" max="9473" width="13.28515625" style="350" customWidth="1"/>
    <col min="9474" max="9474" width="30.85546875" style="350" customWidth="1"/>
    <col min="9475" max="9477" width="12.7109375" style="350" customWidth="1"/>
    <col min="9478" max="9478" width="10.7109375" style="350" customWidth="1"/>
    <col min="9479" max="9484" width="11.42578125" style="350"/>
    <col min="9485" max="9485" width="13.7109375" style="350" customWidth="1"/>
    <col min="9486" max="9728" width="11.42578125" style="350"/>
    <col min="9729" max="9729" width="13.28515625" style="350" customWidth="1"/>
    <col min="9730" max="9730" width="30.85546875" style="350" customWidth="1"/>
    <col min="9731" max="9733" width="12.7109375" style="350" customWidth="1"/>
    <col min="9734" max="9734" width="10.7109375" style="350" customWidth="1"/>
    <col min="9735" max="9740" width="11.42578125" style="350"/>
    <col min="9741" max="9741" width="13.7109375" style="350" customWidth="1"/>
    <col min="9742" max="9984" width="11.42578125" style="350"/>
    <col min="9985" max="9985" width="13.28515625" style="350" customWidth="1"/>
    <col min="9986" max="9986" width="30.85546875" style="350" customWidth="1"/>
    <col min="9987" max="9989" width="12.7109375" style="350" customWidth="1"/>
    <col min="9990" max="9990" width="10.7109375" style="350" customWidth="1"/>
    <col min="9991" max="9996" width="11.42578125" style="350"/>
    <col min="9997" max="9997" width="13.7109375" style="350" customWidth="1"/>
    <col min="9998" max="10240" width="11.42578125" style="350"/>
    <col min="10241" max="10241" width="13.28515625" style="350" customWidth="1"/>
    <col min="10242" max="10242" width="30.85546875" style="350" customWidth="1"/>
    <col min="10243" max="10245" width="12.7109375" style="350" customWidth="1"/>
    <col min="10246" max="10246" width="10.7109375" style="350" customWidth="1"/>
    <col min="10247" max="10252" width="11.42578125" style="350"/>
    <col min="10253" max="10253" width="13.7109375" style="350" customWidth="1"/>
    <col min="10254" max="10496" width="11.42578125" style="350"/>
    <col min="10497" max="10497" width="13.28515625" style="350" customWidth="1"/>
    <col min="10498" max="10498" width="30.85546875" style="350" customWidth="1"/>
    <col min="10499" max="10501" width="12.7109375" style="350" customWidth="1"/>
    <col min="10502" max="10502" width="10.7109375" style="350" customWidth="1"/>
    <col min="10503" max="10508" width="11.42578125" style="350"/>
    <col min="10509" max="10509" width="13.7109375" style="350" customWidth="1"/>
    <col min="10510" max="10752" width="11.42578125" style="350"/>
    <col min="10753" max="10753" width="13.28515625" style="350" customWidth="1"/>
    <col min="10754" max="10754" width="30.85546875" style="350" customWidth="1"/>
    <col min="10755" max="10757" width="12.7109375" style="350" customWidth="1"/>
    <col min="10758" max="10758" width="10.7109375" style="350" customWidth="1"/>
    <col min="10759" max="10764" width="11.42578125" style="350"/>
    <col min="10765" max="10765" width="13.7109375" style="350" customWidth="1"/>
    <col min="10766" max="11008" width="11.42578125" style="350"/>
    <col min="11009" max="11009" width="13.28515625" style="350" customWidth="1"/>
    <col min="11010" max="11010" width="30.85546875" style="350" customWidth="1"/>
    <col min="11011" max="11013" width="12.7109375" style="350" customWidth="1"/>
    <col min="11014" max="11014" width="10.7109375" style="350" customWidth="1"/>
    <col min="11015" max="11020" width="11.42578125" style="350"/>
    <col min="11021" max="11021" width="13.7109375" style="350" customWidth="1"/>
    <col min="11022" max="11264" width="11.42578125" style="350"/>
    <col min="11265" max="11265" width="13.28515625" style="350" customWidth="1"/>
    <col min="11266" max="11266" width="30.85546875" style="350" customWidth="1"/>
    <col min="11267" max="11269" width="12.7109375" style="350" customWidth="1"/>
    <col min="11270" max="11270" width="10.7109375" style="350" customWidth="1"/>
    <col min="11271" max="11276" width="11.42578125" style="350"/>
    <col min="11277" max="11277" width="13.7109375" style="350" customWidth="1"/>
    <col min="11278" max="11520" width="11.42578125" style="350"/>
    <col min="11521" max="11521" width="13.28515625" style="350" customWidth="1"/>
    <col min="11522" max="11522" width="30.85546875" style="350" customWidth="1"/>
    <col min="11523" max="11525" width="12.7109375" style="350" customWidth="1"/>
    <col min="11526" max="11526" width="10.7109375" style="350" customWidth="1"/>
    <col min="11527" max="11532" width="11.42578125" style="350"/>
    <col min="11533" max="11533" width="13.7109375" style="350" customWidth="1"/>
    <col min="11534" max="11776" width="11.42578125" style="350"/>
    <col min="11777" max="11777" width="13.28515625" style="350" customWidth="1"/>
    <col min="11778" max="11778" width="30.85546875" style="350" customWidth="1"/>
    <col min="11779" max="11781" width="12.7109375" style="350" customWidth="1"/>
    <col min="11782" max="11782" width="10.7109375" style="350" customWidth="1"/>
    <col min="11783" max="11788" width="11.42578125" style="350"/>
    <col min="11789" max="11789" width="13.7109375" style="350" customWidth="1"/>
    <col min="11790" max="12032" width="11.42578125" style="350"/>
    <col min="12033" max="12033" width="13.28515625" style="350" customWidth="1"/>
    <col min="12034" max="12034" width="30.85546875" style="350" customWidth="1"/>
    <col min="12035" max="12037" width="12.7109375" style="350" customWidth="1"/>
    <col min="12038" max="12038" width="10.7109375" style="350" customWidth="1"/>
    <col min="12039" max="12044" width="11.42578125" style="350"/>
    <col min="12045" max="12045" width="13.7109375" style="350" customWidth="1"/>
    <col min="12046" max="12288" width="11.42578125" style="350"/>
    <col min="12289" max="12289" width="13.28515625" style="350" customWidth="1"/>
    <col min="12290" max="12290" width="30.85546875" style="350" customWidth="1"/>
    <col min="12291" max="12293" width="12.7109375" style="350" customWidth="1"/>
    <col min="12294" max="12294" width="10.7109375" style="350" customWidth="1"/>
    <col min="12295" max="12300" width="11.42578125" style="350"/>
    <col min="12301" max="12301" width="13.7109375" style="350" customWidth="1"/>
    <col min="12302" max="12544" width="11.42578125" style="350"/>
    <col min="12545" max="12545" width="13.28515625" style="350" customWidth="1"/>
    <col min="12546" max="12546" width="30.85546875" style="350" customWidth="1"/>
    <col min="12547" max="12549" width="12.7109375" style="350" customWidth="1"/>
    <col min="12550" max="12550" width="10.7109375" style="350" customWidth="1"/>
    <col min="12551" max="12556" width="11.42578125" style="350"/>
    <col min="12557" max="12557" width="13.7109375" style="350" customWidth="1"/>
    <col min="12558" max="12800" width="11.42578125" style="350"/>
    <col min="12801" max="12801" width="13.28515625" style="350" customWidth="1"/>
    <col min="12802" max="12802" width="30.85546875" style="350" customWidth="1"/>
    <col min="12803" max="12805" width="12.7109375" style="350" customWidth="1"/>
    <col min="12806" max="12806" width="10.7109375" style="350" customWidth="1"/>
    <col min="12807" max="12812" width="11.42578125" style="350"/>
    <col min="12813" max="12813" width="13.7109375" style="350" customWidth="1"/>
    <col min="12814" max="13056" width="11.42578125" style="350"/>
    <col min="13057" max="13057" width="13.28515625" style="350" customWidth="1"/>
    <col min="13058" max="13058" width="30.85546875" style="350" customWidth="1"/>
    <col min="13059" max="13061" width="12.7109375" style="350" customWidth="1"/>
    <col min="13062" max="13062" width="10.7109375" style="350" customWidth="1"/>
    <col min="13063" max="13068" width="11.42578125" style="350"/>
    <col min="13069" max="13069" width="13.7109375" style="350" customWidth="1"/>
    <col min="13070" max="13312" width="11.42578125" style="350"/>
    <col min="13313" max="13313" width="13.28515625" style="350" customWidth="1"/>
    <col min="13314" max="13314" width="30.85546875" style="350" customWidth="1"/>
    <col min="13315" max="13317" width="12.7109375" style="350" customWidth="1"/>
    <col min="13318" max="13318" width="10.7109375" style="350" customWidth="1"/>
    <col min="13319" max="13324" width="11.42578125" style="350"/>
    <col min="13325" max="13325" width="13.7109375" style="350" customWidth="1"/>
    <col min="13326" max="13568" width="11.42578125" style="350"/>
    <col min="13569" max="13569" width="13.28515625" style="350" customWidth="1"/>
    <col min="13570" max="13570" width="30.85546875" style="350" customWidth="1"/>
    <col min="13571" max="13573" width="12.7109375" style="350" customWidth="1"/>
    <col min="13574" max="13574" width="10.7109375" style="350" customWidth="1"/>
    <col min="13575" max="13580" width="11.42578125" style="350"/>
    <col min="13581" max="13581" width="13.7109375" style="350" customWidth="1"/>
    <col min="13582" max="13824" width="11.42578125" style="350"/>
    <col min="13825" max="13825" width="13.28515625" style="350" customWidth="1"/>
    <col min="13826" max="13826" width="30.85546875" style="350" customWidth="1"/>
    <col min="13827" max="13829" width="12.7109375" style="350" customWidth="1"/>
    <col min="13830" max="13830" width="10.7109375" style="350" customWidth="1"/>
    <col min="13831" max="13836" width="11.42578125" style="350"/>
    <col min="13837" max="13837" width="13.7109375" style="350" customWidth="1"/>
    <col min="13838" max="14080" width="11.42578125" style="350"/>
    <col min="14081" max="14081" width="13.28515625" style="350" customWidth="1"/>
    <col min="14082" max="14082" width="30.85546875" style="350" customWidth="1"/>
    <col min="14083" max="14085" width="12.7109375" style="350" customWidth="1"/>
    <col min="14086" max="14086" width="10.7109375" style="350" customWidth="1"/>
    <col min="14087" max="14092" width="11.42578125" style="350"/>
    <col min="14093" max="14093" width="13.7109375" style="350" customWidth="1"/>
    <col min="14094" max="14336" width="11.42578125" style="350"/>
    <col min="14337" max="14337" width="13.28515625" style="350" customWidth="1"/>
    <col min="14338" max="14338" width="30.85546875" style="350" customWidth="1"/>
    <col min="14339" max="14341" width="12.7109375" style="350" customWidth="1"/>
    <col min="14342" max="14342" width="10.7109375" style="350" customWidth="1"/>
    <col min="14343" max="14348" width="11.42578125" style="350"/>
    <col min="14349" max="14349" width="13.7109375" style="350" customWidth="1"/>
    <col min="14350" max="14592" width="11.42578125" style="350"/>
    <col min="14593" max="14593" width="13.28515625" style="350" customWidth="1"/>
    <col min="14594" max="14594" width="30.85546875" style="350" customWidth="1"/>
    <col min="14595" max="14597" width="12.7109375" style="350" customWidth="1"/>
    <col min="14598" max="14598" width="10.7109375" style="350" customWidth="1"/>
    <col min="14599" max="14604" width="11.42578125" style="350"/>
    <col min="14605" max="14605" width="13.7109375" style="350" customWidth="1"/>
    <col min="14606" max="14848" width="11.42578125" style="350"/>
    <col min="14849" max="14849" width="13.28515625" style="350" customWidth="1"/>
    <col min="14850" max="14850" width="30.85546875" style="350" customWidth="1"/>
    <col min="14851" max="14853" width="12.7109375" style="350" customWidth="1"/>
    <col min="14854" max="14854" width="10.7109375" style="350" customWidth="1"/>
    <col min="14855" max="14860" width="11.42578125" style="350"/>
    <col min="14861" max="14861" width="13.7109375" style="350" customWidth="1"/>
    <col min="14862" max="15104" width="11.42578125" style="350"/>
    <col min="15105" max="15105" width="13.28515625" style="350" customWidth="1"/>
    <col min="15106" max="15106" width="30.85546875" style="350" customWidth="1"/>
    <col min="15107" max="15109" width="12.7109375" style="350" customWidth="1"/>
    <col min="15110" max="15110" width="10.7109375" style="350" customWidth="1"/>
    <col min="15111" max="15116" width="11.42578125" style="350"/>
    <col min="15117" max="15117" width="13.7109375" style="350" customWidth="1"/>
    <col min="15118" max="15360" width="11.42578125" style="350"/>
    <col min="15361" max="15361" width="13.28515625" style="350" customWidth="1"/>
    <col min="15362" max="15362" width="30.85546875" style="350" customWidth="1"/>
    <col min="15363" max="15365" width="12.7109375" style="350" customWidth="1"/>
    <col min="15366" max="15366" width="10.7109375" style="350" customWidth="1"/>
    <col min="15367" max="15372" width="11.42578125" style="350"/>
    <col min="15373" max="15373" width="13.7109375" style="350" customWidth="1"/>
    <col min="15374" max="15616" width="11.42578125" style="350"/>
    <col min="15617" max="15617" width="13.28515625" style="350" customWidth="1"/>
    <col min="15618" max="15618" width="30.85546875" style="350" customWidth="1"/>
    <col min="15619" max="15621" width="12.7109375" style="350" customWidth="1"/>
    <col min="15622" max="15622" width="10.7109375" style="350" customWidth="1"/>
    <col min="15623" max="15628" width="11.42578125" style="350"/>
    <col min="15629" max="15629" width="13.7109375" style="350" customWidth="1"/>
    <col min="15630" max="15872" width="11.42578125" style="350"/>
    <col min="15873" max="15873" width="13.28515625" style="350" customWidth="1"/>
    <col min="15874" max="15874" width="30.85546875" style="350" customWidth="1"/>
    <col min="15875" max="15877" width="12.7109375" style="350" customWidth="1"/>
    <col min="15878" max="15878" width="10.7109375" style="350" customWidth="1"/>
    <col min="15879" max="15884" width="11.42578125" style="350"/>
    <col min="15885" max="15885" width="13.7109375" style="350" customWidth="1"/>
    <col min="15886" max="16128" width="11.42578125" style="350"/>
    <col min="16129" max="16129" width="13.28515625" style="350" customWidth="1"/>
    <col min="16130" max="16130" width="30.85546875" style="350" customWidth="1"/>
    <col min="16131" max="16133" width="12.7109375" style="350" customWidth="1"/>
    <col min="16134" max="16134" width="10.7109375" style="350" customWidth="1"/>
    <col min="16135" max="16140" width="11.42578125" style="350"/>
    <col min="16141" max="16141" width="13.7109375" style="350" customWidth="1"/>
    <col min="16142" max="16384" width="11.42578125" style="350"/>
  </cols>
  <sheetData>
    <row r="6" spans="2:6" ht="30" customHeight="1">
      <c r="B6" s="245" t="s">
        <v>261</v>
      </c>
      <c r="C6" s="246"/>
      <c r="D6" s="246"/>
      <c r="E6" s="247"/>
    </row>
    <row r="7" spans="2:6" ht="40.5" customHeight="1">
      <c r="B7" s="30" t="s">
        <v>262</v>
      </c>
      <c r="C7" s="222" t="str">
        <f>actualizaciones!A3</f>
        <v>acumulado julio 2009</v>
      </c>
      <c r="D7" s="222" t="str">
        <f>actualizaciones!A2</f>
        <v xml:space="preserve">acumulado julio 2010 </v>
      </c>
      <c r="E7" s="351" t="s">
        <v>257</v>
      </c>
    </row>
    <row r="8" spans="2:6" ht="15" customHeight="1">
      <c r="B8" s="98" t="s">
        <v>263</v>
      </c>
      <c r="C8" s="352"/>
      <c r="D8" s="353"/>
      <c r="E8" s="354"/>
    </row>
    <row r="9" spans="2:6">
      <c r="B9" s="355" t="s">
        <v>105</v>
      </c>
      <c r="C9" s="356">
        <f>GETPIVOTDATA("Suma de TOTAL GENERAL",'[1]tabla dinámica IO'!$A$4,"PAIS/INDICADOR","INDICE OCUPACION ACUMULADO","AÑO",2009)</f>
        <v>53.490004210812813</v>
      </c>
      <c r="D9" s="356">
        <f>GETPIVOTDATA("Suma de TOTAL GENERAL",'[1]tabla dinámica IO'!$A$4,"PAIS/INDICADOR","INDICE OCUPACION ACUMULADO","AÑO",2010)</f>
        <v>54.358202977071883</v>
      </c>
      <c r="E9" s="357">
        <f>D9/C9-1</f>
        <v>1.6231046885645251E-2</v>
      </c>
    </row>
    <row r="10" spans="2:6">
      <c r="B10" s="358" t="s">
        <v>241</v>
      </c>
      <c r="C10" s="359">
        <f>GETPIVOTDATA("Suma de TOTAL HOTELERO",'[1]tabla dinámica IO'!$A$4,"PAIS/INDICADOR","INDICE OCUPACION ACUMULADO","AÑO",2009)</f>
        <v>61.991647762397605</v>
      </c>
      <c r="D10" s="359">
        <f>GETPIVOTDATA("Suma de TOTAL HOTELERO",'[1]tabla dinámica IO'!$A$4,"PAIS/INDICADOR","INDICE OCUPACION ACUMULADO","AÑO",2010)</f>
        <v>63.816408769433401</v>
      </c>
      <c r="E10" s="360">
        <f t="shared" ref="E10:E11" si="0">D10/C10-1</f>
        <v>2.9435594517986718E-2</v>
      </c>
      <c r="F10" s="361"/>
    </row>
    <row r="11" spans="2:6">
      <c r="B11" s="362" t="s">
        <v>243</v>
      </c>
      <c r="C11" s="363">
        <f>GETPIVOTDATA("Suma de Extrahoteleros",'[1]tabla dinámica IO'!$A$4,"PAIS/INDICADOR","INDICE OCUPACION ACUMULADO","AÑO",2009)</f>
        <v>45.751555188498372</v>
      </c>
      <c r="D11" s="363">
        <f>GETPIVOTDATA("Suma de Extrahoteleros",'[1]tabla dinámica IO'!$A$4,"PAIS/INDICADOR","INDICE OCUPACION ACUMULADO","AÑO",2010)</f>
        <v>45.442623699464505</v>
      </c>
      <c r="E11" s="364">
        <f t="shared" si="0"/>
        <v>-6.7523713185498879E-3</v>
      </c>
      <c r="F11" s="361"/>
    </row>
    <row r="12" spans="2:6" ht="15" customHeight="1">
      <c r="B12" s="98" t="s">
        <v>89</v>
      </c>
      <c r="C12" s="365"/>
      <c r="D12" s="366"/>
      <c r="E12" s="367"/>
      <c r="F12" s="361"/>
    </row>
    <row r="13" spans="2:6">
      <c r="B13" s="355" t="s">
        <v>105</v>
      </c>
      <c r="C13" s="345">
        <f>'[1]tabla dinámica municipios'!$K$392*100</f>
        <v>41.859501432611275</v>
      </c>
      <c r="D13" s="345">
        <f>'[1]tabla dinámica municipios'!$U$392*100</f>
        <v>37.709338935825123</v>
      </c>
      <c r="E13" s="357">
        <f t="shared" ref="E13:E14" si="1">D13/C13-1</f>
        <v>-9.9145053207750466E-2</v>
      </c>
    </row>
    <row r="14" spans="2:6">
      <c r="B14" s="358" t="s">
        <v>241</v>
      </c>
      <c r="C14" s="347">
        <f>'[1]tabla dinámica municipios'!$J$392*100</f>
        <v>41.859501432611275</v>
      </c>
      <c r="D14" s="347">
        <f>'[1]tabla dinámica municipios'!$T$392*100</f>
        <v>37.709338935825123</v>
      </c>
      <c r="E14" s="360">
        <f t="shared" si="1"/>
        <v>-9.9145053207750466E-2</v>
      </c>
      <c r="F14" s="361"/>
    </row>
    <row r="15" spans="2:6">
      <c r="B15" s="358" t="s">
        <v>243</v>
      </c>
      <c r="C15" s="348" t="s">
        <v>32</v>
      </c>
      <c r="D15" s="348" t="s">
        <v>32</v>
      </c>
      <c r="E15" s="360" t="str">
        <f>IFERROR(D15/C15-1,"-")</f>
        <v>-</v>
      </c>
      <c r="F15" s="361"/>
    </row>
    <row r="16" spans="2:6" ht="22.5" customHeight="1">
      <c r="B16" s="368" t="s">
        <v>183</v>
      </c>
      <c r="C16" s="368"/>
      <c r="D16" s="368"/>
      <c r="E16" s="368"/>
    </row>
    <row r="17" spans="2:12" ht="15" customHeight="1" thickBot="1">
      <c r="B17" s="369"/>
      <c r="C17" s="370"/>
      <c r="D17" s="370"/>
    </row>
    <row r="18" spans="2:12" ht="30" customHeight="1" thickBot="1">
      <c r="B18" s="336"/>
      <c r="C18" s="336"/>
      <c r="D18" s="336"/>
      <c r="E18" s="60" t="s">
        <v>50</v>
      </c>
      <c r="F18" s="336"/>
      <c r="G18" s="336"/>
      <c r="H18" s="336"/>
      <c r="I18" s="336"/>
      <c r="J18" s="336"/>
      <c r="K18" s="336"/>
      <c r="L18" s="336"/>
    </row>
  </sheetData>
  <mergeCells count="2">
    <mergeCell ref="B6:E6"/>
    <mergeCell ref="B16:E16"/>
  </mergeCells>
  <hyperlinks>
    <hyperlink ref="E18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346"/>
    </row>
    <row r="4" spans="21:21">
      <c r="U4" s="346"/>
    </row>
    <row r="5" spans="21:21">
      <c r="U5" s="346"/>
    </row>
    <row r="8" spans="21:21" ht="25.5" customHeight="1"/>
    <row r="9" spans="21:21" ht="25.5" customHeight="1"/>
    <row r="11" spans="21:21">
      <c r="U11" s="346"/>
    </row>
    <row r="12" spans="21:21">
      <c r="U12" s="346"/>
    </row>
    <row r="15" spans="21:21">
      <c r="U15" s="346"/>
    </row>
    <row r="16" spans="21:21">
      <c r="U16" s="346"/>
    </row>
    <row r="17" spans="2:21">
      <c r="U17" s="346"/>
    </row>
    <row r="19" spans="2:21">
      <c r="U19" s="346"/>
    </row>
    <row r="20" spans="2:21">
      <c r="U20" s="346"/>
    </row>
    <row r="21" spans="2:21">
      <c r="U21" s="346"/>
    </row>
    <row r="23" spans="2:21">
      <c r="U23" s="346"/>
    </row>
    <row r="24" spans="2:21" ht="16.5" customHeight="1">
      <c r="U24" s="346"/>
    </row>
    <row r="25" spans="2:21">
      <c r="U25" s="346"/>
    </row>
    <row r="26" spans="2:21" ht="15" customHeight="1" thickBot="1"/>
    <row r="27" spans="2:21" ht="30" customHeight="1" thickBot="1">
      <c r="I27" s="60" t="s">
        <v>52</v>
      </c>
    </row>
    <row r="28" spans="2:21">
      <c r="B28" s="12"/>
      <c r="C28" s="12"/>
      <c r="D28" s="12"/>
      <c r="E28" s="12"/>
      <c r="F28" s="12"/>
      <c r="G28" s="12"/>
      <c r="L28" s="12"/>
    </row>
    <row r="29" spans="2:21">
      <c r="H29" s="12"/>
      <c r="I29" s="12"/>
      <c r="J29" s="12"/>
      <c r="K29" s="1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1.42578125" style="350"/>
    <col min="2" max="2" width="37.42578125" style="350" customWidth="1"/>
    <col min="3" max="5" width="11.7109375" style="350" customWidth="1"/>
    <col min="6" max="6" width="10.5703125" style="350" customWidth="1"/>
    <col min="7" max="7" width="10.7109375" style="350" customWidth="1"/>
    <col min="8" max="13" width="11.42578125" style="350"/>
    <col min="14" max="14" width="13.7109375" style="350" customWidth="1"/>
    <col min="15" max="257" width="11.42578125" style="350"/>
    <col min="258" max="258" width="37.42578125" style="350" customWidth="1"/>
    <col min="259" max="261" width="11.7109375" style="350" customWidth="1"/>
    <col min="262" max="262" width="10.5703125" style="350" customWidth="1"/>
    <col min="263" max="263" width="10.7109375" style="350" customWidth="1"/>
    <col min="264" max="269" width="11.42578125" style="350"/>
    <col min="270" max="270" width="13.7109375" style="350" customWidth="1"/>
    <col min="271" max="513" width="11.42578125" style="350"/>
    <col min="514" max="514" width="37.42578125" style="350" customWidth="1"/>
    <col min="515" max="517" width="11.7109375" style="350" customWidth="1"/>
    <col min="518" max="518" width="10.5703125" style="350" customWidth="1"/>
    <col min="519" max="519" width="10.7109375" style="350" customWidth="1"/>
    <col min="520" max="525" width="11.42578125" style="350"/>
    <col min="526" max="526" width="13.7109375" style="350" customWidth="1"/>
    <col min="527" max="769" width="11.42578125" style="350"/>
    <col min="770" max="770" width="37.42578125" style="350" customWidth="1"/>
    <col min="771" max="773" width="11.7109375" style="350" customWidth="1"/>
    <col min="774" max="774" width="10.5703125" style="350" customWidth="1"/>
    <col min="775" max="775" width="10.7109375" style="350" customWidth="1"/>
    <col min="776" max="781" width="11.42578125" style="350"/>
    <col min="782" max="782" width="13.7109375" style="350" customWidth="1"/>
    <col min="783" max="1025" width="11.42578125" style="350"/>
    <col min="1026" max="1026" width="37.42578125" style="350" customWidth="1"/>
    <col min="1027" max="1029" width="11.7109375" style="350" customWidth="1"/>
    <col min="1030" max="1030" width="10.5703125" style="350" customWidth="1"/>
    <col min="1031" max="1031" width="10.7109375" style="350" customWidth="1"/>
    <col min="1032" max="1037" width="11.42578125" style="350"/>
    <col min="1038" max="1038" width="13.7109375" style="350" customWidth="1"/>
    <col min="1039" max="1281" width="11.42578125" style="350"/>
    <col min="1282" max="1282" width="37.42578125" style="350" customWidth="1"/>
    <col min="1283" max="1285" width="11.7109375" style="350" customWidth="1"/>
    <col min="1286" max="1286" width="10.5703125" style="350" customWidth="1"/>
    <col min="1287" max="1287" width="10.7109375" style="350" customWidth="1"/>
    <col min="1288" max="1293" width="11.42578125" style="350"/>
    <col min="1294" max="1294" width="13.7109375" style="350" customWidth="1"/>
    <col min="1295" max="1537" width="11.42578125" style="350"/>
    <col min="1538" max="1538" width="37.42578125" style="350" customWidth="1"/>
    <col min="1539" max="1541" width="11.7109375" style="350" customWidth="1"/>
    <col min="1542" max="1542" width="10.5703125" style="350" customWidth="1"/>
    <col min="1543" max="1543" width="10.7109375" style="350" customWidth="1"/>
    <col min="1544" max="1549" width="11.42578125" style="350"/>
    <col min="1550" max="1550" width="13.7109375" style="350" customWidth="1"/>
    <col min="1551" max="1793" width="11.42578125" style="350"/>
    <col min="1794" max="1794" width="37.42578125" style="350" customWidth="1"/>
    <col min="1795" max="1797" width="11.7109375" style="350" customWidth="1"/>
    <col min="1798" max="1798" width="10.5703125" style="350" customWidth="1"/>
    <col min="1799" max="1799" width="10.7109375" style="350" customWidth="1"/>
    <col min="1800" max="1805" width="11.42578125" style="350"/>
    <col min="1806" max="1806" width="13.7109375" style="350" customWidth="1"/>
    <col min="1807" max="2049" width="11.42578125" style="350"/>
    <col min="2050" max="2050" width="37.42578125" style="350" customWidth="1"/>
    <col min="2051" max="2053" width="11.7109375" style="350" customWidth="1"/>
    <col min="2054" max="2054" width="10.5703125" style="350" customWidth="1"/>
    <col min="2055" max="2055" width="10.7109375" style="350" customWidth="1"/>
    <col min="2056" max="2061" width="11.42578125" style="350"/>
    <col min="2062" max="2062" width="13.7109375" style="350" customWidth="1"/>
    <col min="2063" max="2305" width="11.42578125" style="350"/>
    <col min="2306" max="2306" width="37.42578125" style="350" customWidth="1"/>
    <col min="2307" max="2309" width="11.7109375" style="350" customWidth="1"/>
    <col min="2310" max="2310" width="10.5703125" style="350" customWidth="1"/>
    <col min="2311" max="2311" width="10.7109375" style="350" customWidth="1"/>
    <col min="2312" max="2317" width="11.42578125" style="350"/>
    <col min="2318" max="2318" width="13.7109375" style="350" customWidth="1"/>
    <col min="2319" max="2561" width="11.42578125" style="350"/>
    <col min="2562" max="2562" width="37.42578125" style="350" customWidth="1"/>
    <col min="2563" max="2565" width="11.7109375" style="350" customWidth="1"/>
    <col min="2566" max="2566" width="10.5703125" style="350" customWidth="1"/>
    <col min="2567" max="2567" width="10.7109375" style="350" customWidth="1"/>
    <col min="2568" max="2573" width="11.42578125" style="350"/>
    <col min="2574" max="2574" width="13.7109375" style="350" customWidth="1"/>
    <col min="2575" max="2817" width="11.42578125" style="350"/>
    <col min="2818" max="2818" width="37.42578125" style="350" customWidth="1"/>
    <col min="2819" max="2821" width="11.7109375" style="350" customWidth="1"/>
    <col min="2822" max="2822" width="10.5703125" style="350" customWidth="1"/>
    <col min="2823" max="2823" width="10.7109375" style="350" customWidth="1"/>
    <col min="2824" max="2829" width="11.42578125" style="350"/>
    <col min="2830" max="2830" width="13.7109375" style="350" customWidth="1"/>
    <col min="2831" max="3073" width="11.42578125" style="350"/>
    <col min="3074" max="3074" width="37.42578125" style="350" customWidth="1"/>
    <col min="3075" max="3077" width="11.7109375" style="350" customWidth="1"/>
    <col min="3078" max="3078" width="10.5703125" style="350" customWidth="1"/>
    <col min="3079" max="3079" width="10.7109375" style="350" customWidth="1"/>
    <col min="3080" max="3085" width="11.42578125" style="350"/>
    <col min="3086" max="3086" width="13.7109375" style="350" customWidth="1"/>
    <col min="3087" max="3329" width="11.42578125" style="350"/>
    <col min="3330" max="3330" width="37.42578125" style="350" customWidth="1"/>
    <col min="3331" max="3333" width="11.7109375" style="350" customWidth="1"/>
    <col min="3334" max="3334" width="10.5703125" style="350" customWidth="1"/>
    <col min="3335" max="3335" width="10.7109375" style="350" customWidth="1"/>
    <col min="3336" max="3341" width="11.42578125" style="350"/>
    <col min="3342" max="3342" width="13.7109375" style="350" customWidth="1"/>
    <col min="3343" max="3585" width="11.42578125" style="350"/>
    <col min="3586" max="3586" width="37.42578125" style="350" customWidth="1"/>
    <col min="3587" max="3589" width="11.7109375" style="350" customWidth="1"/>
    <col min="3590" max="3590" width="10.5703125" style="350" customWidth="1"/>
    <col min="3591" max="3591" width="10.7109375" style="350" customWidth="1"/>
    <col min="3592" max="3597" width="11.42578125" style="350"/>
    <col min="3598" max="3598" width="13.7109375" style="350" customWidth="1"/>
    <col min="3599" max="3841" width="11.42578125" style="350"/>
    <col min="3842" max="3842" width="37.42578125" style="350" customWidth="1"/>
    <col min="3843" max="3845" width="11.7109375" style="350" customWidth="1"/>
    <col min="3846" max="3846" width="10.5703125" style="350" customWidth="1"/>
    <col min="3847" max="3847" width="10.7109375" style="350" customWidth="1"/>
    <col min="3848" max="3853" width="11.42578125" style="350"/>
    <col min="3854" max="3854" width="13.7109375" style="350" customWidth="1"/>
    <col min="3855" max="4097" width="11.42578125" style="350"/>
    <col min="4098" max="4098" width="37.42578125" style="350" customWidth="1"/>
    <col min="4099" max="4101" width="11.7109375" style="350" customWidth="1"/>
    <col min="4102" max="4102" width="10.5703125" style="350" customWidth="1"/>
    <col min="4103" max="4103" width="10.7109375" style="350" customWidth="1"/>
    <col min="4104" max="4109" width="11.42578125" style="350"/>
    <col min="4110" max="4110" width="13.7109375" style="350" customWidth="1"/>
    <col min="4111" max="4353" width="11.42578125" style="350"/>
    <col min="4354" max="4354" width="37.42578125" style="350" customWidth="1"/>
    <col min="4355" max="4357" width="11.7109375" style="350" customWidth="1"/>
    <col min="4358" max="4358" width="10.5703125" style="350" customWidth="1"/>
    <col min="4359" max="4359" width="10.7109375" style="350" customWidth="1"/>
    <col min="4360" max="4365" width="11.42578125" style="350"/>
    <col min="4366" max="4366" width="13.7109375" style="350" customWidth="1"/>
    <col min="4367" max="4609" width="11.42578125" style="350"/>
    <col min="4610" max="4610" width="37.42578125" style="350" customWidth="1"/>
    <col min="4611" max="4613" width="11.7109375" style="350" customWidth="1"/>
    <col min="4614" max="4614" width="10.5703125" style="350" customWidth="1"/>
    <col min="4615" max="4615" width="10.7109375" style="350" customWidth="1"/>
    <col min="4616" max="4621" width="11.42578125" style="350"/>
    <col min="4622" max="4622" width="13.7109375" style="350" customWidth="1"/>
    <col min="4623" max="4865" width="11.42578125" style="350"/>
    <col min="4866" max="4866" width="37.42578125" style="350" customWidth="1"/>
    <col min="4867" max="4869" width="11.7109375" style="350" customWidth="1"/>
    <col min="4870" max="4870" width="10.5703125" style="350" customWidth="1"/>
    <col min="4871" max="4871" width="10.7109375" style="350" customWidth="1"/>
    <col min="4872" max="4877" width="11.42578125" style="350"/>
    <col min="4878" max="4878" width="13.7109375" style="350" customWidth="1"/>
    <col min="4879" max="5121" width="11.42578125" style="350"/>
    <col min="5122" max="5122" width="37.42578125" style="350" customWidth="1"/>
    <col min="5123" max="5125" width="11.7109375" style="350" customWidth="1"/>
    <col min="5126" max="5126" width="10.5703125" style="350" customWidth="1"/>
    <col min="5127" max="5127" width="10.7109375" style="350" customWidth="1"/>
    <col min="5128" max="5133" width="11.42578125" style="350"/>
    <col min="5134" max="5134" width="13.7109375" style="350" customWidth="1"/>
    <col min="5135" max="5377" width="11.42578125" style="350"/>
    <col min="5378" max="5378" width="37.42578125" style="350" customWidth="1"/>
    <col min="5379" max="5381" width="11.7109375" style="350" customWidth="1"/>
    <col min="5382" max="5382" width="10.5703125" style="350" customWidth="1"/>
    <col min="5383" max="5383" width="10.7109375" style="350" customWidth="1"/>
    <col min="5384" max="5389" width="11.42578125" style="350"/>
    <col min="5390" max="5390" width="13.7109375" style="350" customWidth="1"/>
    <col min="5391" max="5633" width="11.42578125" style="350"/>
    <col min="5634" max="5634" width="37.42578125" style="350" customWidth="1"/>
    <col min="5635" max="5637" width="11.7109375" style="350" customWidth="1"/>
    <col min="5638" max="5638" width="10.5703125" style="350" customWidth="1"/>
    <col min="5639" max="5639" width="10.7109375" style="350" customWidth="1"/>
    <col min="5640" max="5645" width="11.42578125" style="350"/>
    <col min="5646" max="5646" width="13.7109375" style="350" customWidth="1"/>
    <col min="5647" max="5889" width="11.42578125" style="350"/>
    <col min="5890" max="5890" width="37.42578125" style="350" customWidth="1"/>
    <col min="5891" max="5893" width="11.7109375" style="350" customWidth="1"/>
    <col min="5894" max="5894" width="10.5703125" style="350" customWidth="1"/>
    <col min="5895" max="5895" width="10.7109375" style="350" customWidth="1"/>
    <col min="5896" max="5901" width="11.42578125" style="350"/>
    <col min="5902" max="5902" width="13.7109375" style="350" customWidth="1"/>
    <col min="5903" max="6145" width="11.42578125" style="350"/>
    <col min="6146" max="6146" width="37.42578125" style="350" customWidth="1"/>
    <col min="6147" max="6149" width="11.7109375" style="350" customWidth="1"/>
    <col min="6150" max="6150" width="10.5703125" style="350" customWidth="1"/>
    <col min="6151" max="6151" width="10.7109375" style="350" customWidth="1"/>
    <col min="6152" max="6157" width="11.42578125" style="350"/>
    <col min="6158" max="6158" width="13.7109375" style="350" customWidth="1"/>
    <col min="6159" max="6401" width="11.42578125" style="350"/>
    <col min="6402" max="6402" width="37.42578125" style="350" customWidth="1"/>
    <col min="6403" max="6405" width="11.7109375" style="350" customWidth="1"/>
    <col min="6406" max="6406" width="10.5703125" style="350" customWidth="1"/>
    <col min="6407" max="6407" width="10.7109375" style="350" customWidth="1"/>
    <col min="6408" max="6413" width="11.42578125" style="350"/>
    <col min="6414" max="6414" width="13.7109375" style="350" customWidth="1"/>
    <col min="6415" max="6657" width="11.42578125" style="350"/>
    <col min="6658" max="6658" width="37.42578125" style="350" customWidth="1"/>
    <col min="6659" max="6661" width="11.7109375" style="350" customWidth="1"/>
    <col min="6662" max="6662" width="10.5703125" style="350" customWidth="1"/>
    <col min="6663" max="6663" width="10.7109375" style="350" customWidth="1"/>
    <col min="6664" max="6669" width="11.42578125" style="350"/>
    <col min="6670" max="6670" width="13.7109375" style="350" customWidth="1"/>
    <col min="6671" max="6913" width="11.42578125" style="350"/>
    <col min="6914" max="6914" width="37.42578125" style="350" customWidth="1"/>
    <col min="6915" max="6917" width="11.7109375" style="350" customWidth="1"/>
    <col min="6918" max="6918" width="10.5703125" style="350" customWidth="1"/>
    <col min="6919" max="6919" width="10.7109375" style="350" customWidth="1"/>
    <col min="6920" max="6925" width="11.42578125" style="350"/>
    <col min="6926" max="6926" width="13.7109375" style="350" customWidth="1"/>
    <col min="6927" max="7169" width="11.42578125" style="350"/>
    <col min="7170" max="7170" width="37.42578125" style="350" customWidth="1"/>
    <col min="7171" max="7173" width="11.7109375" style="350" customWidth="1"/>
    <col min="7174" max="7174" width="10.5703125" style="350" customWidth="1"/>
    <col min="7175" max="7175" width="10.7109375" style="350" customWidth="1"/>
    <col min="7176" max="7181" width="11.42578125" style="350"/>
    <col min="7182" max="7182" width="13.7109375" style="350" customWidth="1"/>
    <col min="7183" max="7425" width="11.42578125" style="350"/>
    <col min="7426" max="7426" width="37.42578125" style="350" customWidth="1"/>
    <col min="7427" max="7429" width="11.7109375" style="350" customWidth="1"/>
    <col min="7430" max="7430" width="10.5703125" style="350" customWidth="1"/>
    <col min="7431" max="7431" width="10.7109375" style="350" customWidth="1"/>
    <col min="7432" max="7437" width="11.42578125" style="350"/>
    <col min="7438" max="7438" width="13.7109375" style="350" customWidth="1"/>
    <col min="7439" max="7681" width="11.42578125" style="350"/>
    <col min="7682" max="7682" width="37.42578125" style="350" customWidth="1"/>
    <col min="7683" max="7685" width="11.7109375" style="350" customWidth="1"/>
    <col min="7686" max="7686" width="10.5703125" style="350" customWidth="1"/>
    <col min="7687" max="7687" width="10.7109375" style="350" customWidth="1"/>
    <col min="7688" max="7693" width="11.42578125" style="350"/>
    <col min="7694" max="7694" width="13.7109375" style="350" customWidth="1"/>
    <col min="7695" max="7937" width="11.42578125" style="350"/>
    <col min="7938" max="7938" width="37.42578125" style="350" customWidth="1"/>
    <col min="7939" max="7941" width="11.7109375" style="350" customWidth="1"/>
    <col min="7942" max="7942" width="10.5703125" style="350" customWidth="1"/>
    <col min="7943" max="7943" width="10.7109375" style="350" customWidth="1"/>
    <col min="7944" max="7949" width="11.42578125" style="350"/>
    <col min="7950" max="7950" width="13.7109375" style="350" customWidth="1"/>
    <col min="7951" max="8193" width="11.42578125" style="350"/>
    <col min="8194" max="8194" width="37.42578125" style="350" customWidth="1"/>
    <col min="8195" max="8197" width="11.7109375" style="350" customWidth="1"/>
    <col min="8198" max="8198" width="10.5703125" style="350" customWidth="1"/>
    <col min="8199" max="8199" width="10.7109375" style="350" customWidth="1"/>
    <col min="8200" max="8205" width="11.42578125" style="350"/>
    <col min="8206" max="8206" width="13.7109375" style="350" customWidth="1"/>
    <col min="8207" max="8449" width="11.42578125" style="350"/>
    <col min="8450" max="8450" width="37.42578125" style="350" customWidth="1"/>
    <col min="8451" max="8453" width="11.7109375" style="350" customWidth="1"/>
    <col min="8454" max="8454" width="10.5703125" style="350" customWidth="1"/>
    <col min="8455" max="8455" width="10.7109375" style="350" customWidth="1"/>
    <col min="8456" max="8461" width="11.42578125" style="350"/>
    <col min="8462" max="8462" width="13.7109375" style="350" customWidth="1"/>
    <col min="8463" max="8705" width="11.42578125" style="350"/>
    <col min="8706" max="8706" width="37.42578125" style="350" customWidth="1"/>
    <col min="8707" max="8709" width="11.7109375" style="350" customWidth="1"/>
    <col min="8710" max="8710" width="10.5703125" style="350" customWidth="1"/>
    <col min="8711" max="8711" width="10.7109375" style="350" customWidth="1"/>
    <col min="8712" max="8717" width="11.42578125" style="350"/>
    <col min="8718" max="8718" width="13.7109375" style="350" customWidth="1"/>
    <col min="8719" max="8961" width="11.42578125" style="350"/>
    <col min="8962" max="8962" width="37.42578125" style="350" customWidth="1"/>
    <col min="8963" max="8965" width="11.7109375" style="350" customWidth="1"/>
    <col min="8966" max="8966" width="10.5703125" style="350" customWidth="1"/>
    <col min="8967" max="8967" width="10.7109375" style="350" customWidth="1"/>
    <col min="8968" max="8973" width="11.42578125" style="350"/>
    <col min="8974" max="8974" width="13.7109375" style="350" customWidth="1"/>
    <col min="8975" max="9217" width="11.42578125" style="350"/>
    <col min="9218" max="9218" width="37.42578125" style="350" customWidth="1"/>
    <col min="9219" max="9221" width="11.7109375" style="350" customWidth="1"/>
    <col min="9222" max="9222" width="10.5703125" style="350" customWidth="1"/>
    <col min="9223" max="9223" width="10.7109375" style="350" customWidth="1"/>
    <col min="9224" max="9229" width="11.42578125" style="350"/>
    <col min="9230" max="9230" width="13.7109375" style="350" customWidth="1"/>
    <col min="9231" max="9473" width="11.42578125" style="350"/>
    <col min="9474" max="9474" width="37.42578125" style="350" customWidth="1"/>
    <col min="9475" max="9477" width="11.7109375" style="350" customWidth="1"/>
    <col min="9478" max="9478" width="10.5703125" style="350" customWidth="1"/>
    <col min="9479" max="9479" width="10.7109375" style="350" customWidth="1"/>
    <col min="9480" max="9485" width="11.42578125" style="350"/>
    <col min="9486" max="9486" width="13.7109375" style="350" customWidth="1"/>
    <col min="9487" max="9729" width="11.42578125" style="350"/>
    <col min="9730" max="9730" width="37.42578125" style="350" customWidth="1"/>
    <col min="9731" max="9733" width="11.7109375" style="350" customWidth="1"/>
    <col min="9734" max="9734" width="10.5703125" style="350" customWidth="1"/>
    <col min="9735" max="9735" width="10.7109375" style="350" customWidth="1"/>
    <col min="9736" max="9741" width="11.42578125" style="350"/>
    <col min="9742" max="9742" width="13.7109375" style="350" customWidth="1"/>
    <col min="9743" max="9985" width="11.42578125" style="350"/>
    <col min="9986" max="9986" width="37.42578125" style="350" customWidth="1"/>
    <col min="9987" max="9989" width="11.7109375" style="350" customWidth="1"/>
    <col min="9990" max="9990" width="10.5703125" style="350" customWidth="1"/>
    <col min="9991" max="9991" width="10.7109375" style="350" customWidth="1"/>
    <col min="9992" max="9997" width="11.42578125" style="350"/>
    <col min="9998" max="9998" width="13.7109375" style="350" customWidth="1"/>
    <col min="9999" max="10241" width="11.42578125" style="350"/>
    <col min="10242" max="10242" width="37.42578125" style="350" customWidth="1"/>
    <col min="10243" max="10245" width="11.7109375" style="350" customWidth="1"/>
    <col min="10246" max="10246" width="10.5703125" style="350" customWidth="1"/>
    <col min="10247" max="10247" width="10.7109375" style="350" customWidth="1"/>
    <col min="10248" max="10253" width="11.42578125" style="350"/>
    <col min="10254" max="10254" width="13.7109375" style="350" customWidth="1"/>
    <col min="10255" max="10497" width="11.42578125" style="350"/>
    <col min="10498" max="10498" width="37.42578125" style="350" customWidth="1"/>
    <col min="10499" max="10501" width="11.7109375" style="350" customWidth="1"/>
    <col min="10502" max="10502" width="10.5703125" style="350" customWidth="1"/>
    <col min="10503" max="10503" width="10.7109375" style="350" customWidth="1"/>
    <col min="10504" max="10509" width="11.42578125" style="350"/>
    <col min="10510" max="10510" width="13.7109375" style="350" customWidth="1"/>
    <col min="10511" max="10753" width="11.42578125" style="350"/>
    <col min="10754" max="10754" width="37.42578125" style="350" customWidth="1"/>
    <col min="10755" max="10757" width="11.7109375" style="350" customWidth="1"/>
    <col min="10758" max="10758" width="10.5703125" style="350" customWidth="1"/>
    <col min="10759" max="10759" width="10.7109375" style="350" customWidth="1"/>
    <col min="10760" max="10765" width="11.42578125" style="350"/>
    <col min="10766" max="10766" width="13.7109375" style="350" customWidth="1"/>
    <col min="10767" max="11009" width="11.42578125" style="350"/>
    <col min="11010" max="11010" width="37.42578125" style="350" customWidth="1"/>
    <col min="11011" max="11013" width="11.7109375" style="350" customWidth="1"/>
    <col min="11014" max="11014" width="10.5703125" style="350" customWidth="1"/>
    <col min="11015" max="11015" width="10.7109375" style="350" customWidth="1"/>
    <col min="11016" max="11021" width="11.42578125" style="350"/>
    <col min="11022" max="11022" width="13.7109375" style="350" customWidth="1"/>
    <col min="11023" max="11265" width="11.42578125" style="350"/>
    <col min="11266" max="11266" width="37.42578125" style="350" customWidth="1"/>
    <col min="11267" max="11269" width="11.7109375" style="350" customWidth="1"/>
    <col min="11270" max="11270" width="10.5703125" style="350" customWidth="1"/>
    <col min="11271" max="11271" width="10.7109375" style="350" customWidth="1"/>
    <col min="11272" max="11277" width="11.42578125" style="350"/>
    <col min="11278" max="11278" width="13.7109375" style="350" customWidth="1"/>
    <col min="11279" max="11521" width="11.42578125" style="350"/>
    <col min="11522" max="11522" width="37.42578125" style="350" customWidth="1"/>
    <col min="11523" max="11525" width="11.7109375" style="350" customWidth="1"/>
    <col min="11526" max="11526" width="10.5703125" style="350" customWidth="1"/>
    <col min="11527" max="11527" width="10.7109375" style="350" customWidth="1"/>
    <col min="11528" max="11533" width="11.42578125" style="350"/>
    <col min="11534" max="11534" width="13.7109375" style="350" customWidth="1"/>
    <col min="11535" max="11777" width="11.42578125" style="350"/>
    <col min="11778" max="11778" width="37.42578125" style="350" customWidth="1"/>
    <col min="11779" max="11781" width="11.7109375" style="350" customWidth="1"/>
    <col min="11782" max="11782" width="10.5703125" style="350" customWidth="1"/>
    <col min="11783" max="11783" width="10.7109375" style="350" customWidth="1"/>
    <col min="11784" max="11789" width="11.42578125" style="350"/>
    <col min="11790" max="11790" width="13.7109375" style="350" customWidth="1"/>
    <col min="11791" max="12033" width="11.42578125" style="350"/>
    <col min="12034" max="12034" width="37.42578125" style="350" customWidth="1"/>
    <col min="12035" max="12037" width="11.7109375" style="350" customWidth="1"/>
    <col min="12038" max="12038" width="10.5703125" style="350" customWidth="1"/>
    <col min="12039" max="12039" width="10.7109375" style="350" customWidth="1"/>
    <col min="12040" max="12045" width="11.42578125" style="350"/>
    <col min="12046" max="12046" width="13.7109375" style="350" customWidth="1"/>
    <col min="12047" max="12289" width="11.42578125" style="350"/>
    <col min="12290" max="12290" width="37.42578125" style="350" customWidth="1"/>
    <col min="12291" max="12293" width="11.7109375" style="350" customWidth="1"/>
    <col min="12294" max="12294" width="10.5703125" style="350" customWidth="1"/>
    <col min="12295" max="12295" width="10.7109375" style="350" customWidth="1"/>
    <col min="12296" max="12301" width="11.42578125" style="350"/>
    <col min="12302" max="12302" width="13.7109375" style="350" customWidth="1"/>
    <col min="12303" max="12545" width="11.42578125" style="350"/>
    <col min="12546" max="12546" width="37.42578125" style="350" customWidth="1"/>
    <col min="12547" max="12549" width="11.7109375" style="350" customWidth="1"/>
    <col min="12550" max="12550" width="10.5703125" style="350" customWidth="1"/>
    <col min="12551" max="12551" width="10.7109375" style="350" customWidth="1"/>
    <col min="12552" max="12557" width="11.42578125" style="350"/>
    <col min="12558" max="12558" width="13.7109375" style="350" customWidth="1"/>
    <col min="12559" max="12801" width="11.42578125" style="350"/>
    <col min="12802" max="12802" width="37.42578125" style="350" customWidth="1"/>
    <col min="12803" max="12805" width="11.7109375" style="350" customWidth="1"/>
    <col min="12806" max="12806" width="10.5703125" style="350" customWidth="1"/>
    <col min="12807" max="12807" width="10.7109375" style="350" customWidth="1"/>
    <col min="12808" max="12813" width="11.42578125" style="350"/>
    <col min="12814" max="12814" width="13.7109375" style="350" customWidth="1"/>
    <col min="12815" max="13057" width="11.42578125" style="350"/>
    <col min="13058" max="13058" width="37.42578125" style="350" customWidth="1"/>
    <col min="13059" max="13061" width="11.7109375" style="350" customWidth="1"/>
    <col min="13062" max="13062" width="10.5703125" style="350" customWidth="1"/>
    <col min="13063" max="13063" width="10.7109375" style="350" customWidth="1"/>
    <col min="13064" max="13069" width="11.42578125" style="350"/>
    <col min="13070" max="13070" width="13.7109375" style="350" customWidth="1"/>
    <col min="13071" max="13313" width="11.42578125" style="350"/>
    <col min="13314" max="13314" width="37.42578125" style="350" customWidth="1"/>
    <col min="13315" max="13317" width="11.7109375" style="350" customWidth="1"/>
    <col min="13318" max="13318" width="10.5703125" style="350" customWidth="1"/>
    <col min="13319" max="13319" width="10.7109375" style="350" customWidth="1"/>
    <col min="13320" max="13325" width="11.42578125" style="350"/>
    <col min="13326" max="13326" width="13.7109375" style="350" customWidth="1"/>
    <col min="13327" max="13569" width="11.42578125" style="350"/>
    <col min="13570" max="13570" width="37.42578125" style="350" customWidth="1"/>
    <col min="13571" max="13573" width="11.7109375" style="350" customWidth="1"/>
    <col min="13574" max="13574" width="10.5703125" style="350" customWidth="1"/>
    <col min="13575" max="13575" width="10.7109375" style="350" customWidth="1"/>
    <col min="13576" max="13581" width="11.42578125" style="350"/>
    <col min="13582" max="13582" width="13.7109375" style="350" customWidth="1"/>
    <col min="13583" max="13825" width="11.42578125" style="350"/>
    <col min="13826" max="13826" width="37.42578125" style="350" customWidth="1"/>
    <col min="13827" max="13829" width="11.7109375" style="350" customWidth="1"/>
    <col min="13830" max="13830" width="10.5703125" style="350" customWidth="1"/>
    <col min="13831" max="13831" width="10.7109375" style="350" customWidth="1"/>
    <col min="13832" max="13837" width="11.42578125" style="350"/>
    <col min="13838" max="13838" width="13.7109375" style="350" customWidth="1"/>
    <col min="13839" max="14081" width="11.42578125" style="350"/>
    <col min="14082" max="14082" width="37.42578125" style="350" customWidth="1"/>
    <col min="14083" max="14085" width="11.7109375" style="350" customWidth="1"/>
    <col min="14086" max="14086" width="10.5703125" style="350" customWidth="1"/>
    <col min="14087" max="14087" width="10.7109375" style="350" customWidth="1"/>
    <col min="14088" max="14093" width="11.42578125" style="350"/>
    <col min="14094" max="14094" width="13.7109375" style="350" customWidth="1"/>
    <col min="14095" max="14337" width="11.42578125" style="350"/>
    <col min="14338" max="14338" width="37.42578125" style="350" customWidth="1"/>
    <col min="14339" max="14341" width="11.7109375" style="350" customWidth="1"/>
    <col min="14342" max="14342" width="10.5703125" style="350" customWidth="1"/>
    <col min="14343" max="14343" width="10.7109375" style="350" customWidth="1"/>
    <col min="14344" max="14349" width="11.42578125" style="350"/>
    <col min="14350" max="14350" width="13.7109375" style="350" customWidth="1"/>
    <col min="14351" max="14593" width="11.42578125" style="350"/>
    <col min="14594" max="14594" width="37.42578125" style="350" customWidth="1"/>
    <col min="14595" max="14597" width="11.7109375" style="350" customWidth="1"/>
    <col min="14598" max="14598" width="10.5703125" style="350" customWidth="1"/>
    <col min="14599" max="14599" width="10.7109375" style="350" customWidth="1"/>
    <col min="14600" max="14605" width="11.42578125" style="350"/>
    <col min="14606" max="14606" width="13.7109375" style="350" customWidth="1"/>
    <col min="14607" max="14849" width="11.42578125" style="350"/>
    <col min="14850" max="14850" width="37.42578125" style="350" customWidth="1"/>
    <col min="14851" max="14853" width="11.7109375" style="350" customWidth="1"/>
    <col min="14854" max="14854" width="10.5703125" style="350" customWidth="1"/>
    <col min="14855" max="14855" width="10.7109375" style="350" customWidth="1"/>
    <col min="14856" max="14861" width="11.42578125" style="350"/>
    <col min="14862" max="14862" width="13.7109375" style="350" customWidth="1"/>
    <col min="14863" max="15105" width="11.42578125" style="350"/>
    <col min="15106" max="15106" width="37.42578125" style="350" customWidth="1"/>
    <col min="15107" max="15109" width="11.7109375" style="350" customWidth="1"/>
    <col min="15110" max="15110" width="10.5703125" style="350" customWidth="1"/>
    <col min="15111" max="15111" width="10.7109375" style="350" customWidth="1"/>
    <col min="15112" max="15117" width="11.42578125" style="350"/>
    <col min="15118" max="15118" width="13.7109375" style="350" customWidth="1"/>
    <col min="15119" max="15361" width="11.42578125" style="350"/>
    <col min="15362" max="15362" width="37.42578125" style="350" customWidth="1"/>
    <col min="15363" max="15365" width="11.7109375" style="350" customWidth="1"/>
    <col min="15366" max="15366" width="10.5703125" style="350" customWidth="1"/>
    <col min="15367" max="15367" width="10.7109375" style="350" customWidth="1"/>
    <col min="15368" max="15373" width="11.42578125" style="350"/>
    <col min="15374" max="15374" width="13.7109375" style="350" customWidth="1"/>
    <col min="15375" max="15617" width="11.42578125" style="350"/>
    <col min="15618" max="15618" width="37.42578125" style="350" customWidth="1"/>
    <col min="15619" max="15621" width="11.7109375" style="350" customWidth="1"/>
    <col min="15622" max="15622" width="10.5703125" style="350" customWidth="1"/>
    <col min="15623" max="15623" width="10.7109375" style="350" customWidth="1"/>
    <col min="15624" max="15629" width="11.42578125" style="350"/>
    <col min="15630" max="15630" width="13.7109375" style="350" customWidth="1"/>
    <col min="15631" max="15873" width="11.42578125" style="350"/>
    <col min="15874" max="15874" width="37.42578125" style="350" customWidth="1"/>
    <col min="15875" max="15877" width="11.7109375" style="350" customWidth="1"/>
    <col min="15878" max="15878" width="10.5703125" style="350" customWidth="1"/>
    <col min="15879" max="15879" width="10.7109375" style="350" customWidth="1"/>
    <col min="15880" max="15885" width="11.42578125" style="350"/>
    <col min="15886" max="15886" width="13.7109375" style="350" customWidth="1"/>
    <col min="15887" max="16129" width="11.42578125" style="350"/>
    <col min="16130" max="16130" width="37.42578125" style="350" customWidth="1"/>
    <col min="16131" max="16133" width="11.7109375" style="350" customWidth="1"/>
    <col min="16134" max="16134" width="10.5703125" style="350" customWidth="1"/>
    <col min="16135" max="16135" width="10.7109375" style="350" customWidth="1"/>
    <col min="16136" max="16141" width="11.42578125" style="350"/>
    <col min="16142" max="16142" width="13.7109375" style="350" customWidth="1"/>
    <col min="16143" max="16384" width="11.42578125" style="350"/>
  </cols>
  <sheetData>
    <row r="1" spans="2:6">
      <c r="C1" s="371"/>
      <c r="D1" s="370"/>
      <c r="E1" s="370"/>
      <c r="F1" s="370"/>
    </row>
    <row r="2" spans="2:6">
      <c r="C2" s="371"/>
      <c r="D2" s="370"/>
      <c r="E2" s="370"/>
      <c r="F2" s="370"/>
    </row>
    <row r="3" spans="2:6">
      <c r="C3" s="371"/>
      <c r="D3" s="370"/>
      <c r="E3" s="370"/>
      <c r="F3" s="370"/>
    </row>
    <row r="4" spans="2:6">
      <c r="B4" s="371"/>
      <c r="C4" s="370"/>
      <c r="D4" s="370"/>
      <c r="E4" s="370"/>
    </row>
    <row r="5" spans="2:6">
      <c r="B5" s="371"/>
      <c r="C5" s="370"/>
      <c r="D5" s="370"/>
      <c r="E5" s="370"/>
    </row>
    <row r="6" spans="2:6">
      <c r="B6" s="371"/>
      <c r="C6" s="370"/>
      <c r="D6" s="370"/>
      <c r="E6" s="370"/>
    </row>
    <row r="7" spans="2:6" ht="30" customHeight="1">
      <c r="B7" s="245" t="s">
        <v>264</v>
      </c>
      <c r="C7" s="246"/>
      <c r="D7" s="246"/>
      <c r="E7" s="247"/>
    </row>
    <row r="8" spans="2:6" ht="35.25" customHeight="1">
      <c r="B8" s="372" t="s">
        <v>237</v>
      </c>
      <c r="C8" s="222" t="str">
        <f>actualizaciones!A3</f>
        <v>acumulado julio 2009</v>
      </c>
      <c r="D8" s="222" t="str">
        <f>actualizaciones!A2</f>
        <v xml:space="preserve">acumulado julio 2010 </v>
      </c>
      <c r="E8" s="351" t="s">
        <v>257</v>
      </c>
    </row>
    <row r="9" spans="2:6" ht="15" customHeight="1">
      <c r="B9" s="373" t="s">
        <v>238</v>
      </c>
      <c r="C9" s="352"/>
      <c r="D9" s="353"/>
      <c r="E9" s="374"/>
    </row>
    <row r="10" spans="2:6">
      <c r="B10" s="375" t="s">
        <v>258</v>
      </c>
      <c r="C10" s="345">
        <f>'[1]tabla dinámica municipios'!$K$392*100</f>
        <v>41.859501432611275</v>
      </c>
      <c r="D10" s="345">
        <f>'[1]tabla dinámica municipios'!$U$392*100</f>
        <v>37.709338935825123</v>
      </c>
      <c r="E10" s="376">
        <f>D10/C10-1</f>
        <v>-9.9145053207750466E-2</v>
      </c>
    </row>
    <row r="11" spans="2:6" ht="15" customHeight="1">
      <c r="B11" s="373" t="s">
        <v>240</v>
      </c>
      <c r="C11" s="377"/>
      <c r="D11" s="377"/>
      <c r="E11" s="367"/>
    </row>
    <row r="12" spans="2:6">
      <c r="B12" s="378" t="s">
        <v>241</v>
      </c>
      <c r="C12" s="347">
        <f>'[1]tabla dinámica municipios'!$J$392*100</f>
        <v>41.859501432611275</v>
      </c>
      <c r="D12" s="347">
        <f>'[1]tabla dinámica municipios'!$T$392*100</f>
        <v>37.709338935825123</v>
      </c>
      <c r="E12" s="360">
        <f>D12/C12-1</f>
        <v>-9.9145053207750466E-2</v>
      </c>
    </row>
    <row r="13" spans="2:6">
      <c r="B13" s="378" t="s">
        <v>229</v>
      </c>
      <c r="C13" s="347">
        <f>'[1]tabla dinámica municipios'!$G$392*100</f>
        <v>32.173405211141059</v>
      </c>
      <c r="D13" s="347">
        <f>'[1]tabla dinámica municipios'!$Q$392*100</f>
        <v>26.802316237526359</v>
      </c>
      <c r="E13" s="360">
        <f>D13/C13-1</f>
        <v>-0.16694188688969702</v>
      </c>
    </row>
    <row r="14" spans="2:6">
      <c r="B14" s="378" t="s">
        <v>228</v>
      </c>
      <c r="C14" s="347">
        <f>'[1]tabla dinámica municipios'!$E$392*100</f>
        <v>46.6590761223162</v>
      </c>
      <c r="D14" s="347">
        <f>'[1]tabla dinámica municipios'!$O$392*100</f>
        <v>47.711450878334418</v>
      </c>
      <c r="E14" s="360">
        <f>D14/C14-1</f>
        <v>2.2554556229519518E-2</v>
      </c>
    </row>
    <row r="15" spans="2:6">
      <c r="B15" s="378" t="s">
        <v>227</v>
      </c>
      <c r="C15" s="347">
        <f>'[1]tabla dinámica municipios'!$D$392*100</f>
        <v>52.776300319131067</v>
      </c>
      <c r="D15" s="347">
        <f>'[1]tabla dinámica municipios'!$N$392*100</f>
        <v>43.23316163708639</v>
      </c>
      <c r="E15" s="360">
        <f>D15/C15-1</f>
        <v>-0.18082242643646151</v>
      </c>
    </row>
    <row r="16" spans="2:6">
      <c r="B16" s="378" t="s">
        <v>226</v>
      </c>
      <c r="C16" s="347">
        <f>'[1]tabla dinámica municipios'!$B$392*100</f>
        <v>41.988284306469012</v>
      </c>
      <c r="D16" s="347">
        <f>'[1]tabla dinámica municipios'!$L$392*100</f>
        <v>42.908018867924532</v>
      </c>
      <c r="E16" s="360">
        <f>D16/C16-1</f>
        <v>2.190455210654596E-2</v>
      </c>
    </row>
    <row r="17" spans="2:12" ht="15" customHeight="1">
      <c r="B17" s="373" t="s">
        <v>242</v>
      </c>
      <c r="C17" s="377"/>
      <c r="D17" s="377"/>
      <c r="E17" s="367"/>
    </row>
    <row r="18" spans="2:12">
      <c r="B18" s="379" t="s">
        <v>243</v>
      </c>
      <c r="C18" s="380" t="s">
        <v>32</v>
      </c>
      <c r="D18" s="380" t="s">
        <v>32</v>
      </c>
      <c r="E18" s="381" t="str">
        <f>IFERROR(D18/C18-1,"-")</f>
        <v>-</v>
      </c>
    </row>
    <row r="19" spans="2:12" ht="22.5" customHeight="1">
      <c r="B19" s="382" t="s">
        <v>183</v>
      </c>
      <c r="C19" s="383"/>
      <c r="D19" s="383"/>
      <c r="E19" s="384"/>
    </row>
    <row r="20" spans="2:12" ht="15" customHeight="1" thickBot="1"/>
    <row r="21" spans="2:12" ht="30" customHeight="1" thickBot="1">
      <c r="E21" s="60" t="s">
        <v>50</v>
      </c>
    </row>
    <row r="29" spans="2:12">
      <c r="B29" s="336"/>
      <c r="C29" s="336"/>
      <c r="D29" s="336"/>
      <c r="E29" s="336"/>
      <c r="F29" s="336"/>
      <c r="G29" s="336"/>
      <c r="H29" s="336"/>
      <c r="I29" s="336"/>
      <c r="J29" s="336"/>
      <c r="K29" s="336"/>
      <c r="L29" s="336"/>
    </row>
  </sheetData>
  <mergeCells count="2">
    <mergeCell ref="B7:E7"/>
    <mergeCell ref="B19:E19"/>
  </mergeCells>
  <hyperlinks>
    <hyperlink ref="E21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30" spans="2:12" ht="15" customHeight="1" thickBot="1"/>
    <row r="31" spans="2:12" ht="30" customHeight="1" thickBot="1">
      <c r="I31" s="60" t="s">
        <v>52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3:L73"/>
  <sheetViews>
    <sheetView showGridLines="0" showRowColHeaders="0" zoomScaleNormal="100" workbookViewId="0">
      <selection activeCell="I13" sqref="I13"/>
    </sheetView>
  </sheetViews>
  <sheetFormatPr baseColWidth="10" defaultRowHeight="12.75" outlineLevelRow="1"/>
  <cols>
    <col min="1" max="1" width="13.7109375" style="336" customWidth="1"/>
    <col min="2" max="2" width="12.140625" style="336" customWidth="1"/>
    <col min="3" max="18" width="11" style="336" customWidth="1"/>
    <col min="19" max="21" width="10.42578125" style="336" customWidth="1"/>
    <col min="22" max="25" width="9.28515625" style="336" customWidth="1"/>
    <col min="26" max="37" width="7.28515625" style="336" customWidth="1"/>
    <col min="38" max="38" width="11.5703125" style="336" bestFit="1" customWidth="1"/>
    <col min="39" max="258" width="11.42578125" style="336"/>
    <col min="259" max="259" width="13.7109375" style="336" customWidth="1"/>
    <col min="260" max="260" width="12.140625" style="336" customWidth="1"/>
    <col min="261" max="274" width="11" style="336" customWidth="1"/>
    <col min="275" max="277" width="10.42578125" style="336" customWidth="1"/>
    <col min="278" max="279" width="7.28515625" style="336" customWidth="1"/>
    <col min="280" max="280" width="7.85546875" style="336" bestFit="1" customWidth="1"/>
    <col min="281" max="293" width="7.28515625" style="336" customWidth="1"/>
    <col min="294" max="294" width="11.5703125" style="336" bestFit="1" customWidth="1"/>
    <col min="295" max="514" width="11.42578125" style="336"/>
    <col min="515" max="515" width="13.7109375" style="336" customWidth="1"/>
    <col min="516" max="516" width="12.140625" style="336" customWidth="1"/>
    <col min="517" max="530" width="11" style="336" customWidth="1"/>
    <col min="531" max="533" width="10.42578125" style="336" customWidth="1"/>
    <col min="534" max="535" width="7.28515625" style="336" customWidth="1"/>
    <col min="536" max="536" width="7.85546875" style="336" bestFit="1" customWidth="1"/>
    <col min="537" max="549" width="7.28515625" style="336" customWidth="1"/>
    <col min="550" max="550" width="11.5703125" style="336" bestFit="1" customWidth="1"/>
    <col min="551" max="770" width="11.42578125" style="336"/>
    <col min="771" max="771" width="13.7109375" style="336" customWidth="1"/>
    <col min="772" max="772" width="12.140625" style="336" customWidth="1"/>
    <col min="773" max="786" width="11" style="336" customWidth="1"/>
    <col min="787" max="789" width="10.42578125" style="336" customWidth="1"/>
    <col min="790" max="791" width="7.28515625" style="336" customWidth="1"/>
    <col min="792" max="792" width="7.85546875" style="336" bestFit="1" customWidth="1"/>
    <col min="793" max="805" width="7.28515625" style="336" customWidth="1"/>
    <col min="806" max="806" width="11.5703125" style="336" bestFit="1" customWidth="1"/>
    <col min="807" max="1026" width="11.42578125" style="336"/>
    <col min="1027" max="1027" width="13.7109375" style="336" customWidth="1"/>
    <col min="1028" max="1028" width="12.140625" style="336" customWidth="1"/>
    <col min="1029" max="1042" width="11" style="336" customWidth="1"/>
    <col min="1043" max="1045" width="10.42578125" style="336" customWidth="1"/>
    <col min="1046" max="1047" width="7.28515625" style="336" customWidth="1"/>
    <col min="1048" max="1048" width="7.85546875" style="336" bestFit="1" customWidth="1"/>
    <col min="1049" max="1061" width="7.28515625" style="336" customWidth="1"/>
    <col min="1062" max="1062" width="11.5703125" style="336" bestFit="1" customWidth="1"/>
    <col min="1063" max="1282" width="11.42578125" style="336"/>
    <col min="1283" max="1283" width="13.7109375" style="336" customWidth="1"/>
    <col min="1284" max="1284" width="12.140625" style="336" customWidth="1"/>
    <col min="1285" max="1298" width="11" style="336" customWidth="1"/>
    <col min="1299" max="1301" width="10.42578125" style="336" customWidth="1"/>
    <col min="1302" max="1303" width="7.28515625" style="336" customWidth="1"/>
    <col min="1304" max="1304" width="7.85546875" style="336" bestFit="1" customWidth="1"/>
    <col min="1305" max="1317" width="7.28515625" style="336" customWidth="1"/>
    <col min="1318" max="1318" width="11.5703125" style="336" bestFit="1" customWidth="1"/>
    <col min="1319" max="1538" width="11.42578125" style="336"/>
    <col min="1539" max="1539" width="13.7109375" style="336" customWidth="1"/>
    <col min="1540" max="1540" width="12.140625" style="336" customWidth="1"/>
    <col min="1541" max="1554" width="11" style="336" customWidth="1"/>
    <col min="1555" max="1557" width="10.42578125" style="336" customWidth="1"/>
    <col min="1558" max="1559" width="7.28515625" style="336" customWidth="1"/>
    <col min="1560" max="1560" width="7.85546875" style="336" bestFit="1" customWidth="1"/>
    <col min="1561" max="1573" width="7.28515625" style="336" customWidth="1"/>
    <col min="1574" max="1574" width="11.5703125" style="336" bestFit="1" customWidth="1"/>
    <col min="1575" max="1794" width="11.42578125" style="336"/>
    <col min="1795" max="1795" width="13.7109375" style="336" customWidth="1"/>
    <col min="1796" max="1796" width="12.140625" style="336" customWidth="1"/>
    <col min="1797" max="1810" width="11" style="336" customWidth="1"/>
    <col min="1811" max="1813" width="10.42578125" style="336" customWidth="1"/>
    <col min="1814" max="1815" width="7.28515625" style="336" customWidth="1"/>
    <col min="1816" max="1816" width="7.85546875" style="336" bestFit="1" customWidth="1"/>
    <col min="1817" max="1829" width="7.28515625" style="336" customWidth="1"/>
    <col min="1830" max="1830" width="11.5703125" style="336" bestFit="1" customWidth="1"/>
    <col min="1831" max="2050" width="11.42578125" style="336"/>
    <col min="2051" max="2051" width="13.7109375" style="336" customWidth="1"/>
    <col min="2052" max="2052" width="12.140625" style="336" customWidth="1"/>
    <col min="2053" max="2066" width="11" style="336" customWidth="1"/>
    <col min="2067" max="2069" width="10.42578125" style="336" customWidth="1"/>
    <col min="2070" max="2071" width="7.28515625" style="336" customWidth="1"/>
    <col min="2072" max="2072" width="7.85546875" style="336" bestFit="1" customWidth="1"/>
    <col min="2073" max="2085" width="7.28515625" style="336" customWidth="1"/>
    <col min="2086" max="2086" width="11.5703125" style="336" bestFit="1" customWidth="1"/>
    <col min="2087" max="2306" width="11.42578125" style="336"/>
    <col min="2307" max="2307" width="13.7109375" style="336" customWidth="1"/>
    <col min="2308" max="2308" width="12.140625" style="336" customWidth="1"/>
    <col min="2309" max="2322" width="11" style="336" customWidth="1"/>
    <col min="2323" max="2325" width="10.42578125" style="336" customWidth="1"/>
    <col min="2326" max="2327" width="7.28515625" style="336" customWidth="1"/>
    <col min="2328" max="2328" width="7.85546875" style="336" bestFit="1" customWidth="1"/>
    <col min="2329" max="2341" width="7.28515625" style="336" customWidth="1"/>
    <col min="2342" max="2342" width="11.5703125" style="336" bestFit="1" customWidth="1"/>
    <col min="2343" max="2562" width="11.42578125" style="336"/>
    <col min="2563" max="2563" width="13.7109375" style="336" customWidth="1"/>
    <col min="2564" max="2564" width="12.140625" style="336" customWidth="1"/>
    <col min="2565" max="2578" width="11" style="336" customWidth="1"/>
    <col min="2579" max="2581" width="10.42578125" style="336" customWidth="1"/>
    <col min="2582" max="2583" width="7.28515625" style="336" customWidth="1"/>
    <col min="2584" max="2584" width="7.85546875" style="336" bestFit="1" customWidth="1"/>
    <col min="2585" max="2597" width="7.28515625" style="336" customWidth="1"/>
    <col min="2598" max="2598" width="11.5703125" style="336" bestFit="1" customWidth="1"/>
    <col min="2599" max="2818" width="11.42578125" style="336"/>
    <col min="2819" max="2819" width="13.7109375" style="336" customWidth="1"/>
    <col min="2820" max="2820" width="12.140625" style="336" customWidth="1"/>
    <col min="2821" max="2834" width="11" style="336" customWidth="1"/>
    <col min="2835" max="2837" width="10.42578125" style="336" customWidth="1"/>
    <col min="2838" max="2839" width="7.28515625" style="336" customWidth="1"/>
    <col min="2840" max="2840" width="7.85546875" style="336" bestFit="1" customWidth="1"/>
    <col min="2841" max="2853" width="7.28515625" style="336" customWidth="1"/>
    <col min="2854" max="2854" width="11.5703125" style="336" bestFit="1" customWidth="1"/>
    <col min="2855" max="3074" width="11.42578125" style="336"/>
    <col min="3075" max="3075" width="13.7109375" style="336" customWidth="1"/>
    <col min="3076" max="3076" width="12.140625" style="336" customWidth="1"/>
    <col min="3077" max="3090" width="11" style="336" customWidth="1"/>
    <col min="3091" max="3093" width="10.42578125" style="336" customWidth="1"/>
    <col min="3094" max="3095" width="7.28515625" style="336" customWidth="1"/>
    <col min="3096" max="3096" width="7.85546875" style="336" bestFit="1" customWidth="1"/>
    <col min="3097" max="3109" width="7.28515625" style="336" customWidth="1"/>
    <col min="3110" max="3110" width="11.5703125" style="336" bestFit="1" customWidth="1"/>
    <col min="3111" max="3330" width="11.42578125" style="336"/>
    <col min="3331" max="3331" width="13.7109375" style="336" customWidth="1"/>
    <col min="3332" max="3332" width="12.140625" style="336" customWidth="1"/>
    <col min="3333" max="3346" width="11" style="336" customWidth="1"/>
    <col min="3347" max="3349" width="10.42578125" style="336" customWidth="1"/>
    <col min="3350" max="3351" width="7.28515625" style="336" customWidth="1"/>
    <col min="3352" max="3352" width="7.85546875" style="336" bestFit="1" customWidth="1"/>
    <col min="3353" max="3365" width="7.28515625" style="336" customWidth="1"/>
    <col min="3366" max="3366" width="11.5703125" style="336" bestFit="1" customWidth="1"/>
    <col min="3367" max="3586" width="11.42578125" style="336"/>
    <col min="3587" max="3587" width="13.7109375" style="336" customWidth="1"/>
    <col min="3588" max="3588" width="12.140625" style="336" customWidth="1"/>
    <col min="3589" max="3602" width="11" style="336" customWidth="1"/>
    <col min="3603" max="3605" width="10.42578125" style="336" customWidth="1"/>
    <col min="3606" max="3607" width="7.28515625" style="336" customWidth="1"/>
    <col min="3608" max="3608" width="7.85546875" style="336" bestFit="1" customWidth="1"/>
    <col min="3609" max="3621" width="7.28515625" style="336" customWidth="1"/>
    <col min="3622" max="3622" width="11.5703125" style="336" bestFit="1" customWidth="1"/>
    <col min="3623" max="3842" width="11.42578125" style="336"/>
    <col min="3843" max="3843" width="13.7109375" style="336" customWidth="1"/>
    <col min="3844" max="3844" width="12.140625" style="336" customWidth="1"/>
    <col min="3845" max="3858" width="11" style="336" customWidth="1"/>
    <col min="3859" max="3861" width="10.42578125" style="336" customWidth="1"/>
    <col min="3862" max="3863" width="7.28515625" style="336" customWidth="1"/>
    <col min="3864" max="3864" width="7.85546875" style="336" bestFit="1" customWidth="1"/>
    <col min="3865" max="3877" width="7.28515625" style="336" customWidth="1"/>
    <col min="3878" max="3878" width="11.5703125" style="336" bestFit="1" customWidth="1"/>
    <col min="3879" max="4098" width="11.42578125" style="336"/>
    <col min="4099" max="4099" width="13.7109375" style="336" customWidth="1"/>
    <col min="4100" max="4100" width="12.140625" style="336" customWidth="1"/>
    <col min="4101" max="4114" width="11" style="336" customWidth="1"/>
    <col min="4115" max="4117" width="10.42578125" style="336" customWidth="1"/>
    <col min="4118" max="4119" width="7.28515625" style="336" customWidth="1"/>
    <col min="4120" max="4120" width="7.85546875" style="336" bestFit="1" customWidth="1"/>
    <col min="4121" max="4133" width="7.28515625" style="336" customWidth="1"/>
    <col min="4134" max="4134" width="11.5703125" style="336" bestFit="1" customWidth="1"/>
    <col min="4135" max="4354" width="11.42578125" style="336"/>
    <col min="4355" max="4355" width="13.7109375" style="336" customWidth="1"/>
    <col min="4356" max="4356" width="12.140625" style="336" customWidth="1"/>
    <col min="4357" max="4370" width="11" style="336" customWidth="1"/>
    <col min="4371" max="4373" width="10.42578125" style="336" customWidth="1"/>
    <col min="4374" max="4375" width="7.28515625" style="336" customWidth="1"/>
    <col min="4376" max="4376" width="7.85546875" style="336" bestFit="1" customWidth="1"/>
    <col min="4377" max="4389" width="7.28515625" style="336" customWidth="1"/>
    <col min="4390" max="4390" width="11.5703125" style="336" bestFit="1" customWidth="1"/>
    <col min="4391" max="4610" width="11.42578125" style="336"/>
    <col min="4611" max="4611" width="13.7109375" style="336" customWidth="1"/>
    <col min="4612" max="4612" width="12.140625" style="336" customWidth="1"/>
    <col min="4613" max="4626" width="11" style="336" customWidth="1"/>
    <col min="4627" max="4629" width="10.42578125" style="336" customWidth="1"/>
    <col min="4630" max="4631" width="7.28515625" style="336" customWidth="1"/>
    <col min="4632" max="4632" width="7.85546875" style="336" bestFit="1" customWidth="1"/>
    <col min="4633" max="4645" width="7.28515625" style="336" customWidth="1"/>
    <col min="4646" max="4646" width="11.5703125" style="336" bestFit="1" customWidth="1"/>
    <col min="4647" max="4866" width="11.42578125" style="336"/>
    <col min="4867" max="4867" width="13.7109375" style="336" customWidth="1"/>
    <col min="4868" max="4868" width="12.140625" style="336" customWidth="1"/>
    <col min="4869" max="4882" width="11" style="336" customWidth="1"/>
    <col min="4883" max="4885" width="10.42578125" style="336" customWidth="1"/>
    <col min="4886" max="4887" width="7.28515625" style="336" customWidth="1"/>
    <col min="4888" max="4888" width="7.85546875" style="336" bestFit="1" customWidth="1"/>
    <col min="4889" max="4901" width="7.28515625" style="336" customWidth="1"/>
    <col min="4902" max="4902" width="11.5703125" style="336" bestFit="1" customWidth="1"/>
    <col min="4903" max="5122" width="11.42578125" style="336"/>
    <col min="5123" max="5123" width="13.7109375" style="336" customWidth="1"/>
    <col min="5124" max="5124" width="12.140625" style="336" customWidth="1"/>
    <col min="5125" max="5138" width="11" style="336" customWidth="1"/>
    <col min="5139" max="5141" width="10.42578125" style="336" customWidth="1"/>
    <col min="5142" max="5143" width="7.28515625" style="336" customWidth="1"/>
    <col min="5144" max="5144" width="7.85546875" style="336" bestFit="1" customWidth="1"/>
    <col min="5145" max="5157" width="7.28515625" style="336" customWidth="1"/>
    <col min="5158" max="5158" width="11.5703125" style="336" bestFit="1" customWidth="1"/>
    <col min="5159" max="5378" width="11.42578125" style="336"/>
    <col min="5379" max="5379" width="13.7109375" style="336" customWidth="1"/>
    <col min="5380" max="5380" width="12.140625" style="336" customWidth="1"/>
    <col min="5381" max="5394" width="11" style="336" customWidth="1"/>
    <col min="5395" max="5397" width="10.42578125" style="336" customWidth="1"/>
    <col min="5398" max="5399" width="7.28515625" style="336" customWidth="1"/>
    <col min="5400" max="5400" width="7.85546875" style="336" bestFit="1" customWidth="1"/>
    <col min="5401" max="5413" width="7.28515625" style="336" customWidth="1"/>
    <col min="5414" max="5414" width="11.5703125" style="336" bestFit="1" customWidth="1"/>
    <col min="5415" max="5634" width="11.42578125" style="336"/>
    <col min="5635" max="5635" width="13.7109375" style="336" customWidth="1"/>
    <col min="5636" max="5636" width="12.140625" style="336" customWidth="1"/>
    <col min="5637" max="5650" width="11" style="336" customWidth="1"/>
    <col min="5651" max="5653" width="10.42578125" style="336" customWidth="1"/>
    <col min="5654" max="5655" width="7.28515625" style="336" customWidth="1"/>
    <col min="5656" max="5656" width="7.85546875" style="336" bestFit="1" customWidth="1"/>
    <col min="5657" max="5669" width="7.28515625" style="336" customWidth="1"/>
    <col min="5670" max="5670" width="11.5703125" style="336" bestFit="1" customWidth="1"/>
    <col min="5671" max="5890" width="11.42578125" style="336"/>
    <col min="5891" max="5891" width="13.7109375" style="336" customWidth="1"/>
    <col min="5892" max="5892" width="12.140625" style="336" customWidth="1"/>
    <col min="5893" max="5906" width="11" style="336" customWidth="1"/>
    <col min="5907" max="5909" width="10.42578125" style="336" customWidth="1"/>
    <col min="5910" max="5911" width="7.28515625" style="336" customWidth="1"/>
    <col min="5912" max="5912" width="7.85546875" style="336" bestFit="1" customWidth="1"/>
    <col min="5913" max="5925" width="7.28515625" style="336" customWidth="1"/>
    <col min="5926" max="5926" width="11.5703125" style="336" bestFit="1" customWidth="1"/>
    <col min="5927" max="6146" width="11.42578125" style="336"/>
    <col min="6147" max="6147" width="13.7109375" style="336" customWidth="1"/>
    <col min="6148" max="6148" width="12.140625" style="336" customWidth="1"/>
    <col min="6149" max="6162" width="11" style="336" customWidth="1"/>
    <col min="6163" max="6165" width="10.42578125" style="336" customWidth="1"/>
    <col min="6166" max="6167" width="7.28515625" style="336" customWidth="1"/>
    <col min="6168" max="6168" width="7.85546875" style="336" bestFit="1" customWidth="1"/>
    <col min="6169" max="6181" width="7.28515625" style="336" customWidth="1"/>
    <col min="6182" max="6182" width="11.5703125" style="336" bestFit="1" customWidth="1"/>
    <col min="6183" max="6402" width="11.42578125" style="336"/>
    <col min="6403" max="6403" width="13.7109375" style="336" customWidth="1"/>
    <col min="6404" max="6404" width="12.140625" style="336" customWidth="1"/>
    <col min="6405" max="6418" width="11" style="336" customWidth="1"/>
    <col min="6419" max="6421" width="10.42578125" style="336" customWidth="1"/>
    <col min="6422" max="6423" width="7.28515625" style="336" customWidth="1"/>
    <col min="6424" max="6424" width="7.85546875" style="336" bestFit="1" customWidth="1"/>
    <col min="6425" max="6437" width="7.28515625" style="336" customWidth="1"/>
    <col min="6438" max="6438" width="11.5703125" style="336" bestFit="1" customWidth="1"/>
    <col min="6439" max="6658" width="11.42578125" style="336"/>
    <col min="6659" max="6659" width="13.7109375" style="336" customWidth="1"/>
    <col min="6660" max="6660" width="12.140625" style="336" customWidth="1"/>
    <col min="6661" max="6674" width="11" style="336" customWidth="1"/>
    <col min="6675" max="6677" width="10.42578125" style="336" customWidth="1"/>
    <col min="6678" max="6679" width="7.28515625" style="336" customWidth="1"/>
    <col min="6680" max="6680" width="7.85546875" style="336" bestFit="1" customWidth="1"/>
    <col min="6681" max="6693" width="7.28515625" style="336" customWidth="1"/>
    <col min="6694" max="6694" width="11.5703125" style="336" bestFit="1" customWidth="1"/>
    <col min="6695" max="6914" width="11.42578125" style="336"/>
    <col min="6915" max="6915" width="13.7109375" style="336" customWidth="1"/>
    <col min="6916" max="6916" width="12.140625" style="336" customWidth="1"/>
    <col min="6917" max="6930" width="11" style="336" customWidth="1"/>
    <col min="6931" max="6933" width="10.42578125" style="336" customWidth="1"/>
    <col min="6934" max="6935" width="7.28515625" style="336" customWidth="1"/>
    <col min="6936" max="6936" width="7.85546875" style="336" bestFit="1" customWidth="1"/>
    <col min="6937" max="6949" width="7.28515625" style="336" customWidth="1"/>
    <col min="6950" max="6950" width="11.5703125" style="336" bestFit="1" customWidth="1"/>
    <col min="6951" max="7170" width="11.42578125" style="336"/>
    <col min="7171" max="7171" width="13.7109375" style="336" customWidth="1"/>
    <col min="7172" max="7172" width="12.140625" style="336" customWidth="1"/>
    <col min="7173" max="7186" width="11" style="336" customWidth="1"/>
    <col min="7187" max="7189" width="10.42578125" style="336" customWidth="1"/>
    <col min="7190" max="7191" width="7.28515625" style="336" customWidth="1"/>
    <col min="7192" max="7192" width="7.85546875" style="336" bestFit="1" customWidth="1"/>
    <col min="7193" max="7205" width="7.28515625" style="336" customWidth="1"/>
    <col min="7206" max="7206" width="11.5703125" style="336" bestFit="1" customWidth="1"/>
    <col min="7207" max="7426" width="11.42578125" style="336"/>
    <col min="7427" max="7427" width="13.7109375" style="336" customWidth="1"/>
    <col min="7428" max="7428" width="12.140625" style="336" customWidth="1"/>
    <col min="7429" max="7442" width="11" style="336" customWidth="1"/>
    <col min="7443" max="7445" width="10.42578125" style="336" customWidth="1"/>
    <col min="7446" max="7447" width="7.28515625" style="336" customWidth="1"/>
    <col min="7448" max="7448" width="7.85546875" style="336" bestFit="1" customWidth="1"/>
    <col min="7449" max="7461" width="7.28515625" style="336" customWidth="1"/>
    <col min="7462" max="7462" width="11.5703125" style="336" bestFit="1" customWidth="1"/>
    <col min="7463" max="7682" width="11.42578125" style="336"/>
    <col min="7683" max="7683" width="13.7109375" style="336" customWidth="1"/>
    <col min="7684" max="7684" width="12.140625" style="336" customWidth="1"/>
    <col min="7685" max="7698" width="11" style="336" customWidth="1"/>
    <col min="7699" max="7701" width="10.42578125" style="336" customWidth="1"/>
    <col min="7702" max="7703" width="7.28515625" style="336" customWidth="1"/>
    <col min="7704" max="7704" width="7.85546875" style="336" bestFit="1" customWidth="1"/>
    <col min="7705" max="7717" width="7.28515625" style="336" customWidth="1"/>
    <col min="7718" max="7718" width="11.5703125" style="336" bestFit="1" customWidth="1"/>
    <col min="7719" max="7938" width="11.42578125" style="336"/>
    <col min="7939" max="7939" width="13.7109375" style="336" customWidth="1"/>
    <col min="7940" max="7940" width="12.140625" style="336" customWidth="1"/>
    <col min="7941" max="7954" width="11" style="336" customWidth="1"/>
    <col min="7955" max="7957" width="10.42578125" style="336" customWidth="1"/>
    <col min="7958" max="7959" width="7.28515625" style="336" customWidth="1"/>
    <col min="7960" max="7960" width="7.85546875" style="336" bestFit="1" customWidth="1"/>
    <col min="7961" max="7973" width="7.28515625" style="336" customWidth="1"/>
    <col min="7974" max="7974" width="11.5703125" style="336" bestFit="1" customWidth="1"/>
    <col min="7975" max="8194" width="11.42578125" style="336"/>
    <col min="8195" max="8195" width="13.7109375" style="336" customWidth="1"/>
    <col min="8196" max="8196" width="12.140625" style="336" customWidth="1"/>
    <col min="8197" max="8210" width="11" style="336" customWidth="1"/>
    <col min="8211" max="8213" width="10.42578125" style="336" customWidth="1"/>
    <col min="8214" max="8215" width="7.28515625" style="336" customWidth="1"/>
    <col min="8216" max="8216" width="7.85546875" style="336" bestFit="1" customWidth="1"/>
    <col min="8217" max="8229" width="7.28515625" style="336" customWidth="1"/>
    <col min="8230" max="8230" width="11.5703125" style="336" bestFit="1" customWidth="1"/>
    <col min="8231" max="8450" width="11.42578125" style="336"/>
    <col min="8451" max="8451" width="13.7109375" style="336" customWidth="1"/>
    <col min="8452" max="8452" width="12.140625" style="336" customWidth="1"/>
    <col min="8453" max="8466" width="11" style="336" customWidth="1"/>
    <col min="8467" max="8469" width="10.42578125" style="336" customWidth="1"/>
    <col min="8470" max="8471" width="7.28515625" style="336" customWidth="1"/>
    <col min="8472" max="8472" width="7.85546875" style="336" bestFit="1" customWidth="1"/>
    <col min="8473" max="8485" width="7.28515625" style="336" customWidth="1"/>
    <col min="8486" max="8486" width="11.5703125" style="336" bestFit="1" customWidth="1"/>
    <col min="8487" max="8706" width="11.42578125" style="336"/>
    <col min="8707" max="8707" width="13.7109375" style="336" customWidth="1"/>
    <col min="8708" max="8708" width="12.140625" style="336" customWidth="1"/>
    <col min="8709" max="8722" width="11" style="336" customWidth="1"/>
    <col min="8723" max="8725" width="10.42578125" style="336" customWidth="1"/>
    <col min="8726" max="8727" width="7.28515625" style="336" customWidth="1"/>
    <col min="8728" max="8728" width="7.85546875" style="336" bestFit="1" customWidth="1"/>
    <col min="8729" max="8741" width="7.28515625" style="336" customWidth="1"/>
    <col min="8742" max="8742" width="11.5703125" style="336" bestFit="1" customWidth="1"/>
    <col min="8743" max="8962" width="11.42578125" style="336"/>
    <col min="8963" max="8963" width="13.7109375" style="336" customWidth="1"/>
    <col min="8964" max="8964" width="12.140625" style="336" customWidth="1"/>
    <col min="8965" max="8978" width="11" style="336" customWidth="1"/>
    <col min="8979" max="8981" width="10.42578125" style="336" customWidth="1"/>
    <col min="8982" max="8983" width="7.28515625" style="336" customWidth="1"/>
    <col min="8984" max="8984" width="7.85546875" style="336" bestFit="1" customWidth="1"/>
    <col min="8985" max="8997" width="7.28515625" style="336" customWidth="1"/>
    <col min="8998" max="8998" width="11.5703125" style="336" bestFit="1" customWidth="1"/>
    <col min="8999" max="9218" width="11.42578125" style="336"/>
    <col min="9219" max="9219" width="13.7109375" style="336" customWidth="1"/>
    <col min="9220" max="9220" width="12.140625" style="336" customWidth="1"/>
    <col min="9221" max="9234" width="11" style="336" customWidth="1"/>
    <col min="9235" max="9237" width="10.42578125" style="336" customWidth="1"/>
    <col min="9238" max="9239" width="7.28515625" style="336" customWidth="1"/>
    <col min="9240" max="9240" width="7.85546875" style="336" bestFit="1" customWidth="1"/>
    <col min="9241" max="9253" width="7.28515625" style="336" customWidth="1"/>
    <col min="9254" max="9254" width="11.5703125" style="336" bestFit="1" customWidth="1"/>
    <col min="9255" max="9474" width="11.42578125" style="336"/>
    <col min="9475" max="9475" width="13.7109375" style="336" customWidth="1"/>
    <col min="9476" max="9476" width="12.140625" style="336" customWidth="1"/>
    <col min="9477" max="9490" width="11" style="336" customWidth="1"/>
    <col min="9491" max="9493" width="10.42578125" style="336" customWidth="1"/>
    <col min="9494" max="9495" width="7.28515625" style="336" customWidth="1"/>
    <col min="9496" max="9496" width="7.85546875" style="336" bestFit="1" customWidth="1"/>
    <col min="9497" max="9509" width="7.28515625" style="336" customWidth="1"/>
    <col min="9510" max="9510" width="11.5703125" style="336" bestFit="1" customWidth="1"/>
    <col min="9511" max="9730" width="11.42578125" style="336"/>
    <col min="9731" max="9731" width="13.7109375" style="336" customWidth="1"/>
    <col min="9732" max="9732" width="12.140625" style="336" customWidth="1"/>
    <col min="9733" max="9746" width="11" style="336" customWidth="1"/>
    <col min="9747" max="9749" width="10.42578125" style="336" customWidth="1"/>
    <col min="9750" max="9751" width="7.28515625" style="336" customWidth="1"/>
    <col min="9752" max="9752" width="7.85546875" style="336" bestFit="1" customWidth="1"/>
    <col min="9753" max="9765" width="7.28515625" style="336" customWidth="1"/>
    <col min="9766" max="9766" width="11.5703125" style="336" bestFit="1" customWidth="1"/>
    <col min="9767" max="9986" width="11.42578125" style="336"/>
    <col min="9987" max="9987" width="13.7109375" style="336" customWidth="1"/>
    <col min="9988" max="9988" width="12.140625" style="336" customWidth="1"/>
    <col min="9989" max="10002" width="11" style="336" customWidth="1"/>
    <col min="10003" max="10005" width="10.42578125" style="336" customWidth="1"/>
    <col min="10006" max="10007" width="7.28515625" style="336" customWidth="1"/>
    <col min="10008" max="10008" width="7.85546875" style="336" bestFit="1" customWidth="1"/>
    <col min="10009" max="10021" width="7.28515625" style="336" customWidth="1"/>
    <col min="10022" max="10022" width="11.5703125" style="336" bestFit="1" customWidth="1"/>
    <col min="10023" max="10242" width="11.42578125" style="336"/>
    <col min="10243" max="10243" width="13.7109375" style="336" customWidth="1"/>
    <col min="10244" max="10244" width="12.140625" style="336" customWidth="1"/>
    <col min="10245" max="10258" width="11" style="336" customWidth="1"/>
    <col min="10259" max="10261" width="10.42578125" style="336" customWidth="1"/>
    <col min="10262" max="10263" width="7.28515625" style="336" customWidth="1"/>
    <col min="10264" max="10264" width="7.85546875" style="336" bestFit="1" customWidth="1"/>
    <col min="10265" max="10277" width="7.28515625" style="336" customWidth="1"/>
    <col min="10278" max="10278" width="11.5703125" style="336" bestFit="1" customWidth="1"/>
    <col min="10279" max="10498" width="11.42578125" style="336"/>
    <col min="10499" max="10499" width="13.7109375" style="336" customWidth="1"/>
    <col min="10500" max="10500" width="12.140625" style="336" customWidth="1"/>
    <col min="10501" max="10514" width="11" style="336" customWidth="1"/>
    <col min="10515" max="10517" width="10.42578125" style="336" customWidth="1"/>
    <col min="10518" max="10519" width="7.28515625" style="336" customWidth="1"/>
    <col min="10520" max="10520" width="7.85546875" style="336" bestFit="1" customWidth="1"/>
    <col min="10521" max="10533" width="7.28515625" style="336" customWidth="1"/>
    <col min="10534" max="10534" width="11.5703125" style="336" bestFit="1" customWidth="1"/>
    <col min="10535" max="10754" width="11.42578125" style="336"/>
    <col min="10755" max="10755" width="13.7109375" style="336" customWidth="1"/>
    <col min="10756" max="10756" width="12.140625" style="336" customWidth="1"/>
    <col min="10757" max="10770" width="11" style="336" customWidth="1"/>
    <col min="10771" max="10773" width="10.42578125" style="336" customWidth="1"/>
    <col min="10774" max="10775" width="7.28515625" style="336" customWidth="1"/>
    <col min="10776" max="10776" width="7.85546875" style="336" bestFit="1" customWidth="1"/>
    <col min="10777" max="10789" width="7.28515625" style="336" customWidth="1"/>
    <col min="10790" max="10790" width="11.5703125" style="336" bestFit="1" customWidth="1"/>
    <col min="10791" max="11010" width="11.42578125" style="336"/>
    <col min="11011" max="11011" width="13.7109375" style="336" customWidth="1"/>
    <col min="11012" max="11012" width="12.140625" style="336" customWidth="1"/>
    <col min="11013" max="11026" width="11" style="336" customWidth="1"/>
    <col min="11027" max="11029" width="10.42578125" style="336" customWidth="1"/>
    <col min="11030" max="11031" width="7.28515625" style="336" customWidth="1"/>
    <col min="11032" max="11032" width="7.85546875" style="336" bestFit="1" customWidth="1"/>
    <col min="11033" max="11045" width="7.28515625" style="336" customWidth="1"/>
    <col min="11046" max="11046" width="11.5703125" style="336" bestFit="1" customWidth="1"/>
    <col min="11047" max="11266" width="11.42578125" style="336"/>
    <col min="11267" max="11267" width="13.7109375" style="336" customWidth="1"/>
    <col min="11268" max="11268" width="12.140625" style="336" customWidth="1"/>
    <col min="11269" max="11282" width="11" style="336" customWidth="1"/>
    <col min="11283" max="11285" width="10.42578125" style="336" customWidth="1"/>
    <col min="11286" max="11287" width="7.28515625" style="336" customWidth="1"/>
    <col min="11288" max="11288" width="7.85546875" style="336" bestFit="1" customWidth="1"/>
    <col min="11289" max="11301" width="7.28515625" style="336" customWidth="1"/>
    <col min="11302" max="11302" width="11.5703125" style="336" bestFit="1" customWidth="1"/>
    <col min="11303" max="11522" width="11.42578125" style="336"/>
    <col min="11523" max="11523" width="13.7109375" style="336" customWidth="1"/>
    <col min="11524" max="11524" width="12.140625" style="336" customWidth="1"/>
    <col min="11525" max="11538" width="11" style="336" customWidth="1"/>
    <col min="11539" max="11541" width="10.42578125" style="336" customWidth="1"/>
    <col min="11542" max="11543" width="7.28515625" style="336" customWidth="1"/>
    <col min="11544" max="11544" width="7.85546875" style="336" bestFit="1" customWidth="1"/>
    <col min="11545" max="11557" width="7.28515625" style="336" customWidth="1"/>
    <col min="11558" max="11558" width="11.5703125" style="336" bestFit="1" customWidth="1"/>
    <col min="11559" max="11778" width="11.42578125" style="336"/>
    <col min="11779" max="11779" width="13.7109375" style="336" customWidth="1"/>
    <col min="11780" max="11780" width="12.140625" style="336" customWidth="1"/>
    <col min="11781" max="11794" width="11" style="336" customWidth="1"/>
    <col min="11795" max="11797" width="10.42578125" style="336" customWidth="1"/>
    <col min="11798" max="11799" width="7.28515625" style="336" customWidth="1"/>
    <col min="11800" max="11800" width="7.85546875" style="336" bestFit="1" customWidth="1"/>
    <col min="11801" max="11813" width="7.28515625" style="336" customWidth="1"/>
    <col min="11814" max="11814" width="11.5703125" style="336" bestFit="1" customWidth="1"/>
    <col min="11815" max="12034" width="11.42578125" style="336"/>
    <col min="12035" max="12035" width="13.7109375" style="336" customWidth="1"/>
    <col min="12036" max="12036" width="12.140625" style="336" customWidth="1"/>
    <col min="12037" max="12050" width="11" style="336" customWidth="1"/>
    <col min="12051" max="12053" width="10.42578125" style="336" customWidth="1"/>
    <col min="12054" max="12055" width="7.28515625" style="336" customWidth="1"/>
    <col min="12056" max="12056" width="7.85546875" style="336" bestFit="1" customWidth="1"/>
    <col min="12057" max="12069" width="7.28515625" style="336" customWidth="1"/>
    <col min="12070" max="12070" width="11.5703125" style="336" bestFit="1" customWidth="1"/>
    <col min="12071" max="12290" width="11.42578125" style="336"/>
    <col min="12291" max="12291" width="13.7109375" style="336" customWidth="1"/>
    <col min="12292" max="12292" width="12.140625" style="336" customWidth="1"/>
    <col min="12293" max="12306" width="11" style="336" customWidth="1"/>
    <col min="12307" max="12309" width="10.42578125" style="336" customWidth="1"/>
    <col min="12310" max="12311" width="7.28515625" style="336" customWidth="1"/>
    <col min="12312" max="12312" width="7.85546875" style="336" bestFit="1" customWidth="1"/>
    <col min="12313" max="12325" width="7.28515625" style="336" customWidth="1"/>
    <col min="12326" max="12326" width="11.5703125" style="336" bestFit="1" customWidth="1"/>
    <col min="12327" max="12546" width="11.42578125" style="336"/>
    <col min="12547" max="12547" width="13.7109375" style="336" customWidth="1"/>
    <col min="12548" max="12548" width="12.140625" style="336" customWidth="1"/>
    <col min="12549" max="12562" width="11" style="336" customWidth="1"/>
    <col min="12563" max="12565" width="10.42578125" style="336" customWidth="1"/>
    <col min="12566" max="12567" width="7.28515625" style="336" customWidth="1"/>
    <col min="12568" max="12568" width="7.85546875" style="336" bestFit="1" customWidth="1"/>
    <col min="12569" max="12581" width="7.28515625" style="336" customWidth="1"/>
    <col min="12582" max="12582" width="11.5703125" style="336" bestFit="1" customWidth="1"/>
    <col min="12583" max="12802" width="11.42578125" style="336"/>
    <col min="12803" max="12803" width="13.7109375" style="336" customWidth="1"/>
    <col min="12804" max="12804" width="12.140625" style="336" customWidth="1"/>
    <col min="12805" max="12818" width="11" style="336" customWidth="1"/>
    <col min="12819" max="12821" width="10.42578125" style="336" customWidth="1"/>
    <col min="12822" max="12823" width="7.28515625" style="336" customWidth="1"/>
    <col min="12824" max="12824" width="7.85546875" style="336" bestFit="1" customWidth="1"/>
    <col min="12825" max="12837" width="7.28515625" style="336" customWidth="1"/>
    <col min="12838" max="12838" width="11.5703125" style="336" bestFit="1" customWidth="1"/>
    <col min="12839" max="13058" width="11.42578125" style="336"/>
    <col min="13059" max="13059" width="13.7109375" style="336" customWidth="1"/>
    <col min="13060" max="13060" width="12.140625" style="336" customWidth="1"/>
    <col min="13061" max="13074" width="11" style="336" customWidth="1"/>
    <col min="13075" max="13077" width="10.42578125" style="336" customWidth="1"/>
    <col min="13078" max="13079" width="7.28515625" style="336" customWidth="1"/>
    <col min="13080" max="13080" width="7.85546875" style="336" bestFit="1" customWidth="1"/>
    <col min="13081" max="13093" width="7.28515625" style="336" customWidth="1"/>
    <col min="13094" max="13094" width="11.5703125" style="336" bestFit="1" customWidth="1"/>
    <col min="13095" max="13314" width="11.42578125" style="336"/>
    <col min="13315" max="13315" width="13.7109375" style="336" customWidth="1"/>
    <col min="13316" max="13316" width="12.140625" style="336" customWidth="1"/>
    <col min="13317" max="13330" width="11" style="336" customWidth="1"/>
    <col min="13331" max="13333" width="10.42578125" style="336" customWidth="1"/>
    <col min="13334" max="13335" width="7.28515625" style="336" customWidth="1"/>
    <col min="13336" max="13336" width="7.85546875" style="336" bestFit="1" customWidth="1"/>
    <col min="13337" max="13349" width="7.28515625" style="336" customWidth="1"/>
    <col min="13350" max="13350" width="11.5703125" style="336" bestFit="1" customWidth="1"/>
    <col min="13351" max="13570" width="11.42578125" style="336"/>
    <col min="13571" max="13571" width="13.7109375" style="336" customWidth="1"/>
    <col min="13572" max="13572" width="12.140625" style="336" customWidth="1"/>
    <col min="13573" max="13586" width="11" style="336" customWidth="1"/>
    <col min="13587" max="13589" width="10.42578125" style="336" customWidth="1"/>
    <col min="13590" max="13591" width="7.28515625" style="336" customWidth="1"/>
    <col min="13592" max="13592" width="7.85546875" style="336" bestFit="1" customWidth="1"/>
    <col min="13593" max="13605" width="7.28515625" style="336" customWidth="1"/>
    <col min="13606" max="13606" width="11.5703125" style="336" bestFit="1" customWidth="1"/>
    <col min="13607" max="13826" width="11.42578125" style="336"/>
    <col min="13827" max="13827" width="13.7109375" style="336" customWidth="1"/>
    <col min="13828" max="13828" width="12.140625" style="336" customWidth="1"/>
    <col min="13829" max="13842" width="11" style="336" customWidth="1"/>
    <col min="13843" max="13845" width="10.42578125" style="336" customWidth="1"/>
    <col min="13846" max="13847" width="7.28515625" style="336" customWidth="1"/>
    <col min="13848" max="13848" width="7.85546875" style="336" bestFit="1" customWidth="1"/>
    <col min="13849" max="13861" width="7.28515625" style="336" customWidth="1"/>
    <col min="13862" max="13862" width="11.5703125" style="336" bestFit="1" customWidth="1"/>
    <col min="13863" max="14082" width="11.42578125" style="336"/>
    <col min="14083" max="14083" width="13.7109375" style="336" customWidth="1"/>
    <col min="14084" max="14084" width="12.140625" style="336" customWidth="1"/>
    <col min="14085" max="14098" width="11" style="336" customWidth="1"/>
    <col min="14099" max="14101" width="10.42578125" style="336" customWidth="1"/>
    <col min="14102" max="14103" width="7.28515625" style="336" customWidth="1"/>
    <col min="14104" max="14104" width="7.85546875" style="336" bestFit="1" customWidth="1"/>
    <col min="14105" max="14117" width="7.28515625" style="336" customWidth="1"/>
    <col min="14118" max="14118" width="11.5703125" style="336" bestFit="1" customWidth="1"/>
    <col min="14119" max="14338" width="11.42578125" style="336"/>
    <col min="14339" max="14339" width="13.7109375" style="336" customWidth="1"/>
    <col min="14340" max="14340" width="12.140625" style="336" customWidth="1"/>
    <col min="14341" max="14354" width="11" style="336" customWidth="1"/>
    <col min="14355" max="14357" width="10.42578125" style="336" customWidth="1"/>
    <col min="14358" max="14359" width="7.28515625" style="336" customWidth="1"/>
    <col min="14360" max="14360" width="7.85546875" style="336" bestFit="1" customWidth="1"/>
    <col min="14361" max="14373" width="7.28515625" style="336" customWidth="1"/>
    <col min="14374" max="14374" width="11.5703125" style="336" bestFit="1" customWidth="1"/>
    <col min="14375" max="14594" width="11.42578125" style="336"/>
    <col min="14595" max="14595" width="13.7109375" style="336" customWidth="1"/>
    <col min="14596" max="14596" width="12.140625" style="336" customWidth="1"/>
    <col min="14597" max="14610" width="11" style="336" customWidth="1"/>
    <col min="14611" max="14613" width="10.42578125" style="336" customWidth="1"/>
    <col min="14614" max="14615" width="7.28515625" style="336" customWidth="1"/>
    <col min="14616" max="14616" width="7.85546875" style="336" bestFit="1" customWidth="1"/>
    <col min="14617" max="14629" width="7.28515625" style="336" customWidth="1"/>
    <col min="14630" max="14630" width="11.5703125" style="336" bestFit="1" customWidth="1"/>
    <col min="14631" max="14850" width="11.42578125" style="336"/>
    <col min="14851" max="14851" width="13.7109375" style="336" customWidth="1"/>
    <col min="14852" max="14852" width="12.140625" style="336" customWidth="1"/>
    <col min="14853" max="14866" width="11" style="336" customWidth="1"/>
    <col min="14867" max="14869" width="10.42578125" style="336" customWidth="1"/>
    <col min="14870" max="14871" width="7.28515625" style="336" customWidth="1"/>
    <col min="14872" max="14872" width="7.85546875" style="336" bestFit="1" customWidth="1"/>
    <col min="14873" max="14885" width="7.28515625" style="336" customWidth="1"/>
    <col min="14886" max="14886" width="11.5703125" style="336" bestFit="1" customWidth="1"/>
    <col min="14887" max="15106" width="11.42578125" style="336"/>
    <col min="15107" max="15107" width="13.7109375" style="336" customWidth="1"/>
    <col min="15108" max="15108" width="12.140625" style="336" customWidth="1"/>
    <col min="15109" max="15122" width="11" style="336" customWidth="1"/>
    <col min="15123" max="15125" width="10.42578125" style="336" customWidth="1"/>
    <col min="15126" max="15127" width="7.28515625" style="336" customWidth="1"/>
    <col min="15128" max="15128" width="7.85546875" style="336" bestFit="1" customWidth="1"/>
    <col min="15129" max="15141" width="7.28515625" style="336" customWidth="1"/>
    <col min="15142" max="15142" width="11.5703125" style="336" bestFit="1" customWidth="1"/>
    <col min="15143" max="15362" width="11.42578125" style="336"/>
    <col min="15363" max="15363" width="13.7109375" style="336" customWidth="1"/>
    <col min="15364" max="15364" width="12.140625" style="336" customWidth="1"/>
    <col min="15365" max="15378" width="11" style="336" customWidth="1"/>
    <col min="15379" max="15381" width="10.42578125" style="336" customWidth="1"/>
    <col min="15382" max="15383" width="7.28515625" style="336" customWidth="1"/>
    <col min="15384" max="15384" width="7.85546875" style="336" bestFit="1" customWidth="1"/>
    <col min="15385" max="15397" width="7.28515625" style="336" customWidth="1"/>
    <col min="15398" max="15398" width="11.5703125" style="336" bestFit="1" customWidth="1"/>
    <col min="15399" max="15618" width="11.42578125" style="336"/>
    <col min="15619" max="15619" width="13.7109375" style="336" customWidth="1"/>
    <col min="15620" max="15620" width="12.140625" style="336" customWidth="1"/>
    <col min="15621" max="15634" width="11" style="336" customWidth="1"/>
    <col min="15635" max="15637" width="10.42578125" style="336" customWidth="1"/>
    <col min="15638" max="15639" width="7.28515625" style="336" customWidth="1"/>
    <col min="15640" max="15640" width="7.85546875" style="336" bestFit="1" customWidth="1"/>
    <col min="15641" max="15653" width="7.28515625" style="336" customWidth="1"/>
    <col min="15654" max="15654" width="11.5703125" style="336" bestFit="1" customWidth="1"/>
    <col min="15655" max="15874" width="11.42578125" style="336"/>
    <col min="15875" max="15875" width="13.7109375" style="336" customWidth="1"/>
    <col min="15876" max="15876" width="12.140625" style="336" customWidth="1"/>
    <col min="15877" max="15890" width="11" style="336" customWidth="1"/>
    <col min="15891" max="15893" width="10.42578125" style="336" customWidth="1"/>
    <col min="15894" max="15895" width="7.28515625" style="336" customWidth="1"/>
    <col min="15896" max="15896" width="7.85546875" style="336" bestFit="1" customWidth="1"/>
    <col min="15897" max="15909" width="7.28515625" style="336" customWidth="1"/>
    <col min="15910" max="15910" width="11.5703125" style="336" bestFit="1" customWidth="1"/>
    <col min="15911" max="16130" width="11.42578125" style="336"/>
    <col min="16131" max="16131" width="13.7109375" style="336" customWidth="1"/>
    <col min="16132" max="16132" width="12.140625" style="336" customWidth="1"/>
    <col min="16133" max="16146" width="11" style="336" customWidth="1"/>
    <col min="16147" max="16149" width="10.42578125" style="336" customWidth="1"/>
    <col min="16150" max="16151" width="7.28515625" style="336" customWidth="1"/>
    <col min="16152" max="16152" width="7.85546875" style="336" bestFit="1" customWidth="1"/>
    <col min="16153" max="16165" width="7.28515625" style="336" customWidth="1"/>
    <col min="16166" max="16166" width="11.5703125" style="336" bestFit="1" customWidth="1"/>
    <col min="16167" max="16384" width="11.42578125" style="336"/>
  </cols>
  <sheetData>
    <row r="3" spans="2:12">
      <c r="B3" s="335"/>
    </row>
    <row r="4" spans="2:12">
      <c r="B4" s="335"/>
    </row>
    <row r="5" spans="2:12">
      <c r="B5" s="335"/>
    </row>
    <row r="6" spans="2:12" ht="27.75" customHeight="1" thickBot="1">
      <c r="B6" s="219" t="s">
        <v>265</v>
      </c>
      <c r="C6" s="220"/>
      <c r="D6" s="220"/>
      <c r="E6" s="220"/>
      <c r="F6" s="220"/>
    </row>
    <row r="7" spans="2:12" ht="36.75" thickBot="1">
      <c r="B7" s="298"/>
      <c r="C7" s="299" t="s">
        <v>266</v>
      </c>
      <c r="D7" s="299" t="s">
        <v>197</v>
      </c>
      <c r="E7" s="299" t="s">
        <v>198</v>
      </c>
      <c r="F7" s="299" t="s">
        <v>199</v>
      </c>
      <c r="H7" s="60" t="s">
        <v>50</v>
      </c>
    </row>
    <row r="8" spans="2:12" ht="15" hidden="1">
      <c r="B8" s="300" t="s">
        <v>200</v>
      </c>
      <c r="C8" s="385">
        <f>GETPIVOTDATA("dato",'[1]tabla dinámica IO men'!$A$96,"categoría","TOTAL","mes",12,"año",2010)</f>
        <v>0</v>
      </c>
      <c r="D8" s="39" t="str">
        <f t="shared" ref="D8:D18" si="0">IFERROR((C8-C9)/C9,"-")</f>
        <v>-</v>
      </c>
      <c r="E8" s="40">
        <f>C8/C21-1</f>
        <v>-1</v>
      </c>
      <c r="F8" s="386">
        <f>((SUM(C8:C19)/SUM(C21:C32))-1)</f>
        <v>-0.44401877820621016</v>
      </c>
    </row>
    <row r="9" spans="2:12" ht="15" hidden="1">
      <c r="B9" s="300" t="s">
        <v>201</v>
      </c>
      <c r="C9" s="385">
        <f>GETPIVOTDATA("dato",'[1]tabla dinámica IO men'!$A$96,"categoría","TOTAL","mes",11,"año",2010)</f>
        <v>0</v>
      </c>
      <c r="D9" s="39" t="str">
        <f t="shared" si="0"/>
        <v>-</v>
      </c>
      <c r="E9" s="40">
        <f t="shared" ref="E9:E59" si="1">C9/C22-1</f>
        <v>-1</v>
      </c>
      <c r="F9" s="386">
        <f>((SUM(C9:C19,C21)/SUM(C22:C32,C34))-1)</f>
        <v>-0.3433326272376781</v>
      </c>
    </row>
    <row r="10" spans="2:12" ht="15" hidden="1">
      <c r="B10" s="300" t="s">
        <v>202</v>
      </c>
      <c r="C10" s="385">
        <f>GETPIVOTDATA("dato",'[1]tabla dinámica IO men'!$A$96,"categoría","TOTAL","mes",10,"año",2010)</f>
        <v>0</v>
      </c>
      <c r="D10" s="39" t="str">
        <f t="shared" si="0"/>
        <v>-</v>
      </c>
      <c r="E10" s="40">
        <f t="shared" si="1"/>
        <v>-1</v>
      </c>
      <c r="F10" s="386">
        <f>((SUM(C10:C19,C21:C22)/SUM(C23:C32,C34:C35))-1)</f>
        <v>-0.28643741467479467</v>
      </c>
    </row>
    <row r="11" spans="2:12" ht="15" hidden="1">
      <c r="B11" s="300" t="s">
        <v>203</v>
      </c>
      <c r="C11" s="385">
        <f>GETPIVOTDATA("dato",'[1]tabla dinámica IO men'!$A$96,"categoría","TOTAL","mes",9,"año",2010)</f>
        <v>0</v>
      </c>
      <c r="D11" s="39" t="str">
        <f t="shared" si="0"/>
        <v>-</v>
      </c>
      <c r="E11" s="40">
        <f t="shared" si="1"/>
        <v>-1</v>
      </c>
      <c r="F11" s="386">
        <f>((SUM(C11:C19,C21:C23)/SUM(C24:C32,C34:C36))-1)</f>
        <v>-0.22980843344911006</v>
      </c>
      <c r="H11" s="12"/>
    </row>
    <row r="12" spans="2:12" ht="15" hidden="1">
      <c r="B12" s="300" t="s">
        <v>204</v>
      </c>
      <c r="C12" s="385">
        <f>GETPIVOTDATA("dato",'[1]tabla dinámica IO men'!$A$96,"categoría","TOTAL","mes",8,"año",2010)</f>
        <v>0</v>
      </c>
      <c r="D12" s="39">
        <f t="shared" si="0"/>
        <v>-1</v>
      </c>
      <c r="E12" s="40">
        <f t="shared" si="1"/>
        <v>-1</v>
      </c>
      <c r="F12" s="386">
        <f>((SUM(C12:C19,C21:C24)/SUM(C25:C32,C34:C37))-1)</f>
        <v>-0.17162701390212121</v>
      </c>
      <c r="G12" s="12"/>
      <c r="H12" s="12"/>
      <c r="I12" s="12"/>
      <c r="J12" s="12"/>
      <c r="K12" s="12"/>
      <c r="L12" s="12"/>
    </row>
    <row r="13" spans="2:12" ht="15">
      <c r="B13" s="300" t="s">
        <v>205</v>
      </c>
      <c r="C13" s="385">
        <f>GETPIVOTDATA("dato",'[1]tabla dinámica IO men'!$A$96,"categoría","TOTAL","mes",7,"año",2010)</f>
        <v>38</v>
      </c>
      <c r="D13" s="39">
        <f t="shared" si="0"/>
        <v>9.2581943645773393E-2</v>
      </c>
      <c r="E13" s="40">
        <f t="shared" si="1"/>
        <v>8.2004555808656177E-2</v>
      </c>
      <c r="F13" s="386">
        <f>((SUM(C13:C19,C21:C25)/SUM(C26:C32,C34:C38))-1)</f>
        <v>-0.13328520011079925</v>
      </c>
      <c r="G13" s="12"/>
      <c r="H13" s="12"/>
      <c r="I13" s="12"/>
      <c r="J13" s="12"/>
      <c r="K13" s="12"/>
      <c r="L13" s="12"/>
    </row>
    <row r="14" spans="2:12" ht="15">
      <c r="B14" s="300" t="s">
        <v>206</v>
      </c>
      <c r="C14" s="385">
        <f>GETPIVOTDATA("dato",'[1]tabla dinámica IO men'!$A$96,"categoría","TOTAL","mes",6,"año",2010)</f>
        <v>34.78</v>
      </c>
      <c r="D14" s="39">
        <f t="shared" si="0"/>
        <v>6.6425470058461E-2</v>
      </c>
      <c r="E14" s="40">
        <f t="shared" si="1"/>
        <v>-6.0264251654686407E-2</v>
      </c>
      <c r="F14" s="386">
        <f>((SUM(C14:C19,C21:C26)/SUM(C27:C32,C34:C39))-1)</f>
        <v>-0.16122155971715768</v>
      </c>
      <c r="G14" s="12"/>
      <c r="H14" s="12"/>
      <c r="I14" s="12"/>
      <c r="J14" s="12"/>
      <c r="K14" s="12"/>
      <c r="L14" s="12"/>
    </row>
    <row r="15" spans="2:12" ht="15">
      <c r="B15" s="300" t="s">
        <v>207</v>
      </c>
      <c r="C15" s="385">
        <f>GETPIVOTDATA("dato",'[1]tabla dinámica IO men'!$A$96,"categoría","TOTAL","mes",5,"año",2010)</f>
        <v>32.613624652169435</v>
      </c>
      <c r="D15" s="39">
        <f t="shared" si="0"/>
        <v>-0.11073122182541992</v>
      </c>
      <c r="E15" s="40">
        <f t="shared" si="1"/>
        <v>-0.15112897834020211</v>
      </c>
      <c r="F15" s="386">
        <f>((SUM(C15:C19,C21:C27)/SUM(C28:C32,C34:C40))-1)</f>
        <v>-0.17228012454365249</v>
      </c>
      <c r="G15" s="12"/>
      <c r="H15" s="12"/>
      <c r="I15" s="12"/>
      <c r="J15" s="12"/>
      <c r="K15" s="12"/>
      <c r="L15" s="12"/>
    </row>
    <row r="16" spans="2:12" ht="15">
      <c r="B16" s="300" t="s">
        <v>208</v>
      </c>
      <c r="C16" s="385">
        <f>GETPIVOTDATA("dato",'[1]tabla dinámica IO men'!$A$96,"categoría","TOTAL","mes",4,"año",2010)</f>
        <v>36.674653887113948</v>
      </c>
      <c r="D16" s="39">
        <f t="shared" si="0"/>
        <v>1.1710287487540544E-4</v>
      </c>
      <c r="E16" s="40">
        <f t="shared" si="1"/>
        <v>-6.6802700073436361E-2</v>
      </c>
      <c r="F16" s="386">
        <f>((SUM(C16:C19,C21:C28)/SUM(C29:C32,C34:C41))-1)</f>
        <v>-0.18631282108009506</v>
      </c>
      <c r="G16" s="12"/>
      <c r="H16" s="12"/>
      <c r="I16" s="12"/>
      <c r="J16" s="12"/>
      <c r="K16" s="12"/>
      <c r="L16" s="12"/>
    </row>
    <row r="17" spans="2:12" ht="15">
      <c r="B17" s="300" t="s">
        <v>209</v>
      </c>
      <c r="C17" s="385">
        <f>GETPIVOTDATA("dato",'[1]tabla dinámica IO men'!$A$96,"categoría","TOTAL","mes",3,"año",2010)</f>
        <v>36.670359682572403</v>
      </c>
      <c r="D17" s="39">
        <f t="shared" si="0"/>
        <v>-0.2575347300552257</v>
      </c>
      <c r="E17" s="40">
        <f t="shared" si="1"/>
        <v>-0.21527156681848048</v>
      </c>
      <c r="F17" s="386">
        <f>((SUM(C17:C19,C21:C29)/SUM(C30:C32,C34:C42))-1)</f>
        <v>-0.19771243804551486</v>
      </c>
      <c r="G17" s="12"/>
      <c r="I17" s="12"/>
      <c r="J17" s="12"/>
      <c r="K17" s="12"/>
      <c r="L17" s="12"/>
    </row>
    <row r="18" spans="2:12" ht="15">
      <c r="B18" s="300" t="s">
        <v>210</v>
      </c>
      <c r="C18" s="385">
        <f>GETPIVOTDATA("dato",'[1]tabla dinámica IO men'!$A$96,"categoría","TOTAL","mes",2,"año",2010)</f>
        <v>49.39</v>
      </c>
      <c r="D18" s="39">
        <f t="shared" si="0"/>
        <v>0.33848238482384829</v>
      </c>
      <c r="E18" s="40">
        <f t="shared" si="1"/>
        <v>-0.10880548538433776</v>
      </c>
      <c r="F18" s="386">
        <f>((SUM(C18:C19,C21:C30)/SUM(C31:C32,C34:C43))-1)</f>
        <v>-0.19264960351952209</v>
      </c>
    </row>
    <row r="19" spans="2:12" ht="15">
      <c r="B19" s="300" t="s">
        <v>211</v>
      </c>
      <c r="C19" s="385">
        <f>GETPIVOTDATA("dato",'[1]tabla dinámica IO men'!$A$96,"categoría","TOTAL","mes",1,"año",2010)</f>
        <v>36.9</v>
      </c>
      <c r="D19" s="39" t="s">
        <v>32</v>
      </c>
      <c r="E19" s="40">
        <f t="shared" si="1"/>
        <v>-0.12205567451820132</v>
      </c>
      <c r="F19" s="386">
        <f>((SUM(C19,C21:C31)/SUM(C32,C34:C44))-1)</f>
        <v>-0.18870636550373621</v>
      </c>
    </row>
    <row r="20" spans="2:12" ht="30">
      <c r="B20" s="69" t="s">
        <v>55</v>
      </c>
      <c r="C20" s="387">
        <f>'[1]tabla dinámica municipios'!$U$392*100</f>
        <v>37.709338935825123</v>
      </c>
      <c r="D20" s="338"/>
      <c r="E20" s="388">
        <f>'[1]tabla dinámica municipios'!$U$392/'[1]tabla dinámica municipios'!$K$392-1</f>
        <v>-9.9145053207750466E-2</v>
      </c>
      <c r="F20" s="388" t="s">
        <v>32</v>
      </c>
    </row>
    <row r="21" spans="2:12" ht="15" hidden="1" outlineLevel="1">
      <c r="B21" s="300" t="s">
        <v>200</v>
      </c>
      <c r="C21" s="385">
        <f>GETPIVOTDATA("dato",'[1]tabla dinámica IO men'!$A$96,"categoría","TOTAL","mes",12,"año",2009)</f>
        <v>46.475316912295163</v>
      </c>
      <c r="D21" s="39">
        <f t="shared" ref="D21:D31" si="2">IFERROR((C21-C22)/C22,"-")</f>
        <v>0.26018835058172568</v>
      </c>
      <c r="E21" s="40">
        <f t="shared" si="1"/>
        <v>5.2430183702336208E-2</v>
      </c>
      <c r="F21" s="386">
        <f>((SUM(C21:C32)/SUM(C34:C45))-1)</f>
        <v>-0.19067163769400453</v>
      </c>
    </row>
    <row r="22" spans="2:12" ht="15" hidden="1" outlineLevel="1">
      <c r="B22" s="300" t="s">
        <v>201</v>
      </c>
      <c r="C22" s="385">
        <f>GETPIVOTDATA("dato",'[1]tabla dinámica IO men'!$A$96,"categoría","TOTAL","mes",11,"año",2009)</f>
        <v>36.879659211927581</v>
      </c>
      <c r="D22" s="39">
        <f t="shared" si="2"/>
        <v>-1.1823725693245891E-2</v>
      </c>
      <c r="E22" s="40">
        <f t="shared" si="1"/>
        <v>-0.27316398872826997</v>
      </c>
      <c r="F22" s="386">
        <f>((SUM(C22:C32,C34)/SUM(C35:C45,C47))-1)</f>
        <v>-0.20328681882683686</v>
      </c>
    </row>
    <row r="23" spans="2:12" ht="15" hidden="1" outlineLevel="1">
      <c r="B23" s="300" t="s">
        <v>202</v>
      </c>
      <c r="C23" s="385">
        <f>GETPIVOTDATA("dato",'[1]tabla dinámica IO men'!$A$96,"categoría","TOTAL","mes",10,"año",2009)</f>
        <v>37.320931670617334</v>
      </c>
      <c r="D23" s="39">
        <f t="shared" si="2"/>
        <v>8.3965485640933327E-2</v>
      </c>
      <c r="E23" s="40">
        <f t="shared" si="1"/>
        <v>-0.25178565215282012</v>
      </c>
      <c r="F23" s="386">
        <f>((SUM(C23:C32,C34:C35)/SUM(C36:C45,C47:C48))-1)</f>
        <v>-0.18482738218091344</v>
      </c>
    </row>
    <row r="24" spans="2:12" ht="15" hidden="1" outlineLevel="1">
      <c r="B24" s="300" t="s">
        <v>203</v>
      </c>
      <c r="C24" s="385">
        <f>GETPIVOTDATA("dato",'[1]tabla dinámica IO men'!$A$96,"categoría","TOTAL","mes",9,"año",2009)</f>
        <v>34.43</v>
      </c>
      <c r="D24" s="39">
        <f t="shared" si="2"/>
        <v>0.24972776769509977</v>
      </c>
      <c r="E24" s="40">
        <f t="shared" si="1"/>
        <v>-0.15654091131798142</v>
      </c>
      <c r="F24" s="386">
        <f>((SUM(C24:C32,C34:C36)/SUM(C37:C45,C47:C49))-1)</f>
        <v>-0.16812225196051811</v>
      </c>
    </row>
    <row r="25" spans="2:12" ht="15" hidden="1" outlineLevel="1">
      <c r="B25" s="300" t="s">
        <v>204</v>
      </c>
      <c r="C25" s="385">
        <f>GETPIVOTDATA("dato",'[1]tabla dinámica IO men'!$A$96,"categoría","TOTAL","mes",8,"año",2009)</f>
        <v>27.55</v>
      </c>
      <c r="D25" s="39">
        <f t="shared" si="2"/>
        <v>-0.21554669703872428</v>
      </c>
      <c r="E25" s="40">
        <f t="shared" si="1"/>
        <v>-0.25338753387533874</v>
      </c>
      <c r="F25" s="386">
        <f>((SUM(C25:C32,C34:C37)/SUM(C38:C45,C47:C50))-1)</f>
        <v>-0.16506641810886791</v>
      </c>
    </row>
    <row r="26" spans="2:12" ht="15" hidden="1" outlineLevel="1">
      <c r="B26" s="300" t="s">
        <v>205</v>
      </c>
      <c r="C26" s="385">
        <f>GETPIVOTDATA("dato",'[1]tabla dinámica IO men'!$A$96,"categoría","TOTAL","mes",7,"año",2009)</f>
        <v>35.119999999999997</v>
      </c>
      <c r="D26" s="39">
        <f t="shared" si="2"/>
        <v>-5.1077645719165926E-2</v>
      </c>
      <c r="E26" s="40">
        <f t="shared" si="1"/>
        <v>-0.28165268971159751</v>
      </c>
      <c r="F26" s="386">
        <f>((SUM(C26:C32,C34:C38)/SUM(C39:C45,C47:C51))-1)</f>
        <v>-0.14400940569781373</v>
      </c>
    </row>
    <row r="27" spans="2:12" ht="15" hidden="1" outlineLevel="1">
      <c r="B27" s="300" t="s">
        <v>206</v>
      </c>
      <c r="C27" s="385">
        <f>GETPIVOTDATA("dato",'[1]tabla dinámica IO men'!$A$96,"categoría","TOTAL","mes",6,"año",2009)</f>
        <v>37.010404319768206</v>
      </c>
      <c r="D27" s="39">
        <f t="shared" si="2"/>
        <v>-3.6689111926907748E-2</v>
      </c>
      <c r="E27" s="40">
        <f t="shared" si="1"/>
        <v>-0.20901038000067951</v>
      </c>
      <c r="F27" s="386">
        <f>((SUM(C27:C32,C34:C39)/SUM(C40:C45,C47:C52))-1)</f>
        <v>-0.12412188567219717</v>
      </c>
    </row>
    <row r="28" spans="2:12" ht="15" hidden="1" outlineLevel="1">
      <c r="B28" s="300" t="s">
        <v>207</v>
      </c>
      <c r="C28" s="385">
        <f>GETPIVOTDATA("dato",'[1]tabla dinámica IO men'!$A$96,"categoría","TOTAL","mes",5,"año",2009)</f>
        <v>38.42</v>
      </c>
      <c r="D28" s="39">
        <f t="shared" si="2"/>
        <v>-2.2391857506361208E-2</v>
      </c>
      <c r="E28" s="40">
        <f t="shared" si="1"/>
        <v>-0.29979952615272454</v>
      </c>
      <c r="F28" s="386">
        <f>((SUM(C28:C32,C34:C40)/SUM(C41:C45,C47:C53))-1)</f>
        <v>-0.11789109201973014</v>
      </c>
    </row>
    <row r="29" spans="2:12" ht="15" hidden="1" outlineLevel="1">
      <c r="B29" s="300" t="s">
        <v>208</v>
      </c>
      <c r="C29" s="385">
        <f>GETPIVOTDATA("dato",'[1]tabla dinámica IO men'!$A$96,"categoría","TOTAL","mes",4,"año",2009)</f>
        <v>39.299999999999997</v>
      </c>
      <c r="D29" s="39">
        <f t="shared" si="2"/>
        <v>-0.15899850203295529</v>
      </c>
      <c r="E29" s="40">
        <f t="shared" si="1"/>
        <v>-0.22147385103011097</v>
      </c>
      <c r="F29" s="386">
        <f>((SUM(C29:C32,C34:C41)/SUM(C42:C45,C47:C54))-1)</f>
        <v>-8.9536367503190162E-2</v>
      </c>
    </row>
    <row r="30" spans="2:12" ht="15" hidden="1" outlineLevel="1">
      <c r="B30" s="300" t="s">
        <v>209</v>
      </c>
      <c r="C30" s="385">
        <f>GETPIVOTDATA("dato",'[1]tabla dinámica IO men'!$A$96,"categoría","TOTAL","mes",3,"año",2009)</f>
        <v>46.73</v>
      </c>
      <c r="D30" s="39">
        <f t="shared" si="2"/>
        <v>-0.15680259833994956</v>
      </c>
      <c r="E30" s="40">
        <f t="shared" si="1"/>
        <v>-0.15998561927017807</v>
      </c>
      <c r="F30" s="386">
        <f>((SUM(C30:C32,C34:C42)/SUM(C43:C45,C47:C55))-1)</f>
        <v>-8.0065465387606949E-2</v>
      </c>
    </row>
    <row r="31" spans="2:12" ht="15" hidden="1" outlineLevel="1">
      <c r="B31" s="300" t="s">
        <v>210</v>
      </c>
      <c r="C31" s="385">
        <f>GETPIVOTDATA("dato",'[1]tabla dinámica IO men'!$A$96,"categoría","TOTAL","mes",2,"año",2009)</f>
        <v>55.42</v>
      </c>
      <c r="D31" s="39">
        <f t="shared" si="2"/>
        <v>0.31858196526290744</v>
      </c>
      <c r="E31" s="40">
        <f t="shared" si="1"/>
        <v>-7.7102414654454554E-2</v>
      </c>
      <c r="F31" s="386">
        <f>((SUM(C31:C32,C34:C43)/SUM(C44:C45,C47:C56))-1)</f>
        <v>-7.3361617330376383E-2</v>
      </c>
    </row>
    <row r="32" spans="2:12" ht="15" hidden="1" outlineLevel="1">
      <c r="B32" s="300" t="s">
        <v>211</v>
      </c>
      <c r="C32" s="385">
        <f>GETPIVOTDATA("dato",'[1]tabla dinámica IO men'!$A$96,"categoría","TOTAL","mes",1,"año",2009)</f>
        <v>42.03</v>
      </c>
      <c r="D32" s="39" t="s">
        <v>32</v>
      </c>
      <c r="E32" s="40">
        <f t="shared" si="1"/>
        <v>-0.15568501406187218</v>
      </c>
      <c r="F32" s="386">
        <f>((SUM(C32,C34:C44)/SUM(C45,C47:C57))-1)</f>
        <v>-5.7744058619459859E-2</v>
      </c>
    </row>
    <row r="33" spans="2:6" ht="15" collapsed="1">
      <c r="B33" s="305">
        <v>2009</v>
      </c>
      <c r="C33" s="389">
        <f>'[1]tabla dinámica IO men'!E510</f>
        <v>39.642181995479113</v>
      </c>
      <c r="D33" s="306"/>
      <c r="E33" s="390">
        <f t="shared" si="1"/>
        <v>-0.19169539818276027</v>
      </c>
      <c r="F33" s="390">
        <f>C33/C46-1</f>
        <v>-0.19169539818276027</v>
      </c>
    </row>
    <row r="34" spans="2:6" ht="15" hidden="1" outlineLevel="1">
      <c r="B34" s="300" t="s">
        <v>200</v>
      </c>
      <c r="C34" s="385">
        <f>GETPIVOTDATA("dato",'[1]tabla dinámica IO men'!$A$96,"categoría","TOTAL","mes",12,"año",2008)</f>
        <v>44.16</v>
      </c>
      <c r="D34" s="39">
        <f t="shared" ref="D34:D44" si="3">IFERROR((C34-C35)/C35,"-")</f>
        <v>-0.12968072526606239</v>
      </c>
      <c r="E34" s="40">
        <f t="shared" si="1"/>
        <v>-0.12692763938315543</v>
      </c>
      <c r="F34" s="386">
        <f>((SUM(C34:C45)/SUM(C47:C58))-1)</f>
        <v>-4.1903212688084612E-2</v>
      </c>
    </row>
    <row r="35" spans="2:6" ht="15" hidden="1" outlineLevel="1">
      <c r="B35" s="300" t="s">
        <v>201</v>
      </c>
      <c r="C35" s="385">
        <f>GETPIVOTDATA("dato",'[1]tabla dinámica IO men'!$A$96,"categoría","TOTAL","mes",11,"año",2008)</f>
        <v>50.74</v>
      </c>
      <c r="D35" s="39">
        <f t="shared" si="3"/>
        <v>1.7241379310344817E-2</v>
      </c>
      <c r="E35" s="40">
        <f t="shared" si="1"/>
        <v>-6.4872834500552812E-2</v>
      </c>
      <c r="F35" s="386">
        <f>((SUM(C35:C45,C47)/SUM(C48:C58,C60))-1)</f>
        <v>-4.0172166427546396E-2</v>
      </c>
    </row>
    <row r="36" spans="2:6" ht="15" hidden="1" outlineLevel="1">
      <c r="B36" s="300" t="s">
        <v>202</v>
      </c>
      <c r="C36" s="385">
        <f>GETPIVOTDATA("dato",'[1]tabla dinámica IO men'!$A$96,"categoría","TOTAL","mes",10,"año",2008)</f>
        <v>49.88</v>
      </c>
      <c r="D36" s="39">
        <f t="shared" si="3"/>
        <v>0.22195002449779525</v>
      </c>
      <c r="E36" s="40">
        <f t="shared" si="1"/>
        <v>-5.7979225684608116E-2</v>
      </c>
      <c r="F36" s="386">
        <f>((SUM(C36:C45,C47:C48)/SUM(C49:C58,C60:C61))-1)</f>
        <v>-4.0376203675516087E-2</v>
      </c>
    </row>
    <row r="37" spans="2:6" ht="15" hidden="1" outlineLevel="1">
      <c r="B37" s="300" t="s">
        <v>203</v>
      </c>
      <c r="C37" s="385">
        <f>GETPIVOTDATA("dato",'[1]tabla dinámica IO men'!$A$96,"categoría","TOTAL","mes",9,"año",2008)</f>
        <v>40.82</v>
      </c>
      <c r="D37" s="39">
        <f t="shared" si="3"/>
        <v>0.10623306233062335</v>
      </c>
      <c r="E37" s="40">
        <f t="shared" si="1"/>
        <v>-0.11778690296088179</v>
      </c>
      <c r="F37" s="386">
        <f>((SUM(C37:C45,C47:C49)/SUM(C50:C58,C60:C62))-1)</f>
        <v>-3.051775505274168E-2</v>
      </c>
    </row>
    <row r="38" spans="2:6" ht="15" hidden="1" outlineLevel="1">
      <c r="B38" s="300" t="s">
        <v>204</v>
      </c>
      <c r="C38" s="385">
        <f>GETPIVOTDATA("dato",'[1]tabla dinámica IO men'!$A$96,"categoría","TOTAL","mes",8,"año",2008)</f>
        <v>36.9</v>
      </c>
      <c r="D38" s="39">
        <f t="shared" si="3"/>
        <v>-0.24524442626303952</v>
      </c>
      <c r="E38" s="40">
        <f t="shared" si="1"/>
        <v>0.12226277372262762</v>
      </c>
      <c r="F38" s="386">
        <f>((SUM(C38:C45,C47:C50)/SUM(C51:C58,C60:C63))-1)</f>
        <v>-2.4928569135445944E-2</v>
      </c>
    </row>
    <row r="39" spans="2:6" ht="15" hidden="1" outlineLevel="1">
      <c r="B39" s="300" t="s">
        <v>205</v>
      </c>
      <c r="C39" s="385">
        <f>GETPIVOTDATA("dato",'[1]tabla dinámica IO men'!$A$96,"categoría","TOTAL","mes",7,"año",2008)</f>
        <v>48.89</v>
      </c>
      <c r="D39" s="39">
        <f t="shared" si="3"/>
        <v>4.4881384911305867E-2</v>
      </c>
      <c r="E39" s="40">
        <f t="shared" si="1"/>
        <v>-3.9677862895305394E-2</v>
      </c>
      <c r="F39" s="386">
        <f>((SUM(C39:C45,C47:C51)/SUM(C52:C58,C60:C64))-1)</f>
        <v>-4.2949358455853237E-2</v>
      </c>
    </row>
    <row r="40" spans="2:6" ht="15" hidden="1" outlineLevel="1">
      <c r="B40" s="300" t="s">
        <v>206</v>
      </c>
      <c r="C40" s="385">
        <f>GETPIVOTDATA("dato",'[1]tabla dinámica IO men'!$A$96,"categoría","TOTAL","mes",6,"año",2008)</f>
        <v>46.79</v>
      </c>
      <c r="D40" s="39">
        <f t="shared" si="3"/>
        <v>-0.14725715327136868</v>
      </c>
      <c r="E40" s="40">
        <f t="shared" si="1"/>
        <v>-0.12705223880597016</v>
      </c>
      <c r="F40" s="386">
        <f>((SUM(C40:C45,C47:C52)/SUM(C53:C58,C60:C65))-1)</f>
        <v>-3.011613936724078E-2</v>
      </c>
    </row>
    <row r="41" spans="2:6" ht="15" hidden="1" outlineLevel="1">
      <c r="B41" s="300" t="s">
        <v>207</v>
      </c>
      <c r="C41" s="385">
        <f>GETPIVOTDATA("dato",'[1]tabla dinámica IO men'!$A$96,"categoría","TOTAL","mes",5,"año",2008)</f>
        <v>54.87</v>
      </c>
      <c r="D41" s="39">
        <f t="shared" si="3"/>
        <v>8.6965134706814592E-2</v>
      </c>
      <c r="E41" s="40">
        <f t="shared" si="1"/>
        <v>1.8563207722294361E-2</v>
      </c>
      <c r="F41" s="386">
        <f>((SUM(C41:C45,C47:C53)/SUM(C54:C58,C60:C66))-1)</f>
        <v>-4.8598130841123188E-3</v>
      </c>
    </row>
    <row r="42" spans="2:6" ht="15" hidden="1" outlineLevel="1">
      <c r="B42" s="300" t="s">
        <v>208</v>
      </c>
      <c r="C42" s="385">
        <f>GETPIVOTDATA("dato",'[1]tabla dinámica IO men'!$A$96,"categoría","TOTAL","mes",4,"año",2008)</f>
        <v>50.48</v>
      </c>
      <c r="D42" s="39">
        <f t="shared" si="3"/>
        <v>-9.2575948229372734E-2</v>
      </c>
      <c r="E42" s="40">
        <f t="shared" si="1"/>
        <v>-0.10401135960241403</v>
      </c>
      <c r="F42" s="386">
        <f>((SUM(C42:C45,C47:C54)/SUM(C55:C58,C60:C67))-1)</f>
        <v>1.2371851140297263E-2</v>
      </c>
    </row>
    <row r="43" spans="2:6" ht="15" hidden="1" outlineLevel="1">
      <c r="B43" s="300" t="s">
        <v>209</v>
      </c>
      <c r="C43" s="385">
        <f>GETPIVOTDATA("dato",'[1]tabla dinámica IO men'!$A$96,"categoría","TOTAL","mes",3,"año",2008)</f>
        <v>55.63</v>
      </c>
      <c r="D43" s="39">
        <f t="shared" si="3"/>
        <v>-7.3605328892589417E-2</v>
      </c>
      <c r="E43" s="40">
        <f t="shared" si="1"/>
        <v>-8.45812078328122E-2</v>
      </c>
      <c r="F43" s="386">
        <f>((SUM(C43:C45,C47:C55)/SUM(C56:C58,C60:C68))-1)</f>
        <v>3.7821838790508489E-2</v>
      </c>
    </row>
    <row r="44" spans="2:6" ht="15" hidden="1" outlineLevel="1">
      <c r="B44" s="300" t="s">
        <v>210</v>
      </c>
      <c r="C44" s="385">
        <f>GETPIVOTDATA("dato",'[1]tabla dinámica IO men'!$A$96,"categoría","TOTAL","mes",2,"año",2008)</f>
        <v>60.05</v>
      </c>
      <c r="D44" s="39">
        <f t="shared" si="3"/>
        <v>0.20630775411811964</v>
      </c>
      <c r="E44" s="40">
        <f t="shared" si="1"/>
        <v>9.8810612991765856E-2</v>
      </c>
      <c r="F44" s="386">
        <f>((SUM(C44:C45,C47:C56)/SUM(C57:C58,C60:C69))-1)</f>
        <v>5.8895601123117647E-2</v>
      </c>
    </row>
    <row r="45" spans="2:6" ht="15" hidden="1" outlineLevel="1">
      <c r="B45" s="300" t="s">
        <v>211</v>
      </c>
      <c r="C45" s="385">
        <f>GETPIVOTDATA("dato",'[1]tabla dinámica IO men'!$A$96,"categoría","TOTAL","mes",1,"año",2008)</f>
        <v>49.78</v>
      </c>
      <c r="D45" s="39" t="s">
        <v>32</v>
      </c>
      <c r="E45" s="40">
        <f t="shared" si="1"/>
        <v>4.4262638976295454E-2</v>
      </c>
      <c r="F45" s="386">
        <f>((SUM(C45,C47:C57)/SUM(C58,C60:C70))-1)</f>
        <v>4.2556787452677325E-2</v>
      </c>
    </row>
    <row r="46" spans="2:6" ht="15" collapsed="1">
      <c r="B46" s="307">
        <v>2008</v>
      </c>
      <c r="C46" s="391">
        <f>'[1]tabla dinámica IO men'!D510</f>
        <v>49.043617846978854</v>
      </c>
      <c r="D46" s="309"/>
      <c r="E46" s="392">
        <f t="shared" si="1"/>
        <v>-4.1529867590950675E-2</v>
      </c>
      <c r="F46" s="392">
        <f>C46/C59-1</f>
        <v>-4.1529867590950675E-2</v>
      </c>
    </row>
    <row r="47" spans="2:6" ht="15" hidden="1" outlineLevel="1">
      <c r="B47" s="300" t="s">
        <v>200</v>
      </c>
      <c r="C47" s="385">
        <f>GETPIVOTDATA("dato",'[1]tabla dinámica IO men'!$A$96,"categoría","TOTAL","mes",12,"año",2007)</f>
        <v>50.58</v>
      </c>
      <c r="D47" s="39">
        <f t="shared" ref="D47:D57" si="4">IFERROR((C47-C48)/C48,"-")</f>
        <v>-6.7821599705123484E-2</v>
      </c>
      <c r="E47" s="40">
        <f t="shared" si="1"/>
        <v>-9.9358974358974339E-2</v>
      </c>
      <c r="F47" s="386" t="s">
        <v>32</v>
      </c>
    </row>
    <row r="48" spans="2:6" ht="15" hidden="1" outlineLevel="1">
      <c r="B48" s="300" t="s">
        <v>201</v>
      </c>
      <c r="C48" s="385">
        <f>GETPIVOTDATA("dato",'[1]tabla dinámica IO men'!$A$96,"categoría","TOTAL","mes",11,"año",2007)</f>
        <v>54.26</v>
      </c>
      <c r="D48" s="39">
        <f t="shared" si="4"/>
        <v>2.4740321057601419E-2</v>
      </c>
      <c r="E48" s="40">
        <f t="shared" si="1"/>
        <v>-6.5449534963830547E-2</v>
      </c>
      <c r="F48" s="386" t="s">
        <v>32</v>
      </c>
    </row>
    <row r="49" spans="2:6" ht="15" hidden="1" outlineLevel="1">
      <c r="B49" s="300" t="s">
        <v>202</v>
      </c>
      <c r="C49" s="385">
        <f>GETPIVOTDATA("dato",'[1]tabla dinámica IO men'!$A$96,"categoría","TOTAL","mes",10,"año",2007)</f>
        <v>52.95</v>
      </c>
      <c r="D49" s="39">
        <f t="shared" si="4"/>
        <v>0.14437000216122756</v>
      </c>
      <c r="E49" s="40">
        <f t="shared" si="1"/>
        <v>6.3893911995177799E-2</v>
      </c>
      <c r="F49" s="386" t="s">
        <v>32</v>
      </c>
    </row>
    <row r="50" spans="2:6" ht="15" hidden="1" outlineLevel="1">
      <c r="B50" s="300" t="s">
        <v>203</v>
      </c>
      <c r="C50" s="385">
        <f>GETPIVOTDATA("dato",'[1]tabla dinámica IO men'!$A$96,"categoría","TOTAL","mes",9,"año",2007)</f>
        <v>46.27</v>
      </c>
      <c r="D50" s="39">
        <f t="shared" si="4"/>
        <v>0.40723844282238442</v>
      </c>
      <c r="E50" s="40">
        <f t="shared" si="1"/>
        <v>-4.2028985507246208E-2</v>
      </c>
      <c r="F50" s="386" t="s">
        <v>32</v>
      </c>
    </row>
    <row r="51" spans="2:6" ht="15" hidden="1" outlineLevel="1">
      <c r="B51" s="300" t="s">
        <v>204</v>
      </c>
      <c r="C51" s="385">
        <f>GETPIVOTDATA("dato",'[1]tabla dinámica IO men'!$A$96,"categoría","TOTAL","mes",8,"año",2007)</f>
        <v>32.880000000000003</v>
      </c>
      <c r="D51" s="39">
        <f t="shared" si="4"/>
        <v>-0.35415439010017669</v>
      </c>
      <c r="E51" s="40">
        <f t="shared" si="1"/>
        <v>-0.18634001484780982</v>
      </c>
      <c r="F51" s="386" t="s">
        <v>32</v>
      </c>
    </row>
    <row r="52" spans="2:6" ht="15" hidden="1" outlineLevel="1">
      <c r="B52" s="300" t="s">
        <v>205</v>
      </c>
      <c r="C52" s="385">
        <f>GETPIVOTDATA("dato",'[1]tabla dinámica IO men'!$A$96,"categoría","TOTAL","mes",7,"año",2007)</f>
        <v>50.91</v>
      </c>
      <c r="D52" s="39">
        <f t="shared" si="4"/>
        <v>-5.0186567164179192E-2</v>
      </c>
      <c r="E52" s="40">
        <f t="shared" si="1"/>
        <v>0.14020156774916015</v>
      </c>
      <c r="F52" s="386" t="s">
        <v>32</v>
      </c>
    </row>
    <row r="53" spans="2:6" ht="15" hidden="1" outlineLevel="1">
      <c r="B53" s="300" t="s">
        <v>206</v>
      </c>
      <c r="C53" s="385">
        <f>GETPIVOTDATA("dato",'[1]tabla dinámica IO men'!$A$96,"categoría","TOTAL","mes",6,"año",2007)</f>
        <v>53.6</v>
      </c>
      <c r="D53" s="39">
        <f t="shared" si="4"/>
        <v>-5.0120660850194176E-3</v>
      </c>
      <c r="E53" s="40">
        <f t="shared" si="1"/>
        <v>0.20179372197309409</v>
      </c>
      <c r="F53" s="386" t="s">
        <v>32</v>
      </c>
    </row>
    <row r="54" spans="2:6" ht="15" hidden="1" outlineLevel="1">
      <c r="B54" s="300" t="s">
        <v>207</v>
      </c>
      <c r="C54" s="385">
        <f>GETPIVOTDATA("dato",'[1]tabla dinámica IO men'!$A$96,"categoría","TOTAL","mes",5,"año",2007)</f>
        <v>53.87</v>
      </c>
      <c r="D54" s="39">
        <f t="shared" si="4"/>
        <v>-4.3840965566205287E-2</v>
      </c>
      <c r="E54" s="40">
        <f t="shared" si="1"/>
        <v>0.27021928790379635</v>
      </c>
      <c r="F54" s="386" t="s">
        <v>32</v>
      </c>
    </row>
    <row r="55" spans="2:6" ht="15" hidden="1" outlineLevel="1">
      <c r="B55" s="300" t="s">
        <v>208</v>
      </c>
      <c r="C55" s="385">
        <f>GETPIVOTDATA("dato",'[1]tabla dinámica IO men'!$A$96,"categoría","TOTAL","mes",4,"año",2007)</f>
        <v>56.34</v>
      </c>
      <c r="D55" s="39">
        <f t="shared" si="4"/>
        <v>-7.2897811420108594E-2</v>
      </c>
      <c r="E55" s="40">
        <f t="shared" si="1"/>
        <v>0.19415006358626541</v>
      </c>
      <c r="F55" s="386" t="s">
        <v>32</v>
      </c>
    </row>
    <row r="56" spans="2:6" ht="15" hidden="1" outlineLevel="1">
      <c r="B56" s="300" t="s">
        <v>209</v>
      </c>
      <c r="C56" s="385">
        <f>GETPIVOTDATA("dato",'[1]tabla dinámica IO men'!$A$96,"categoría","TOTAL","mes",3,"año",2007)</f>
        <v>60.77</v>
      </c>
      <c r="D56" s="39">
        <f t="shared" si="4"/>
        <v>0.11198536139066798</v>
      </c>
      <c r="E56" s="40">
        <f t="shared" si="1"/>
        <v>0.12976389663506227</v>
      </c>
      <c r="F56" s="386" t="s">
        <v>32</v>
      </c>
    </row>
    <row r="57" spans="2:6" ht="15" hidden="1" outlineLevel="1">
      <c r="B57" s="300" t="s">
        <v>210</v>
      </c>
      <c r="C57" s="385">
        <f>GETPIVOTDATA("dato",'[1]tabla dinámica IO men'!$A$96,"categoría","TOTAL","mes",2,"año",2007)</f>
        <v>54.65</v>
      </c>
      <c r="D57" s="39">
        <f t="shared" si="4"/>
        <v>0.14642332704006705</v>
      </c>
      <c r="E57" s="40">
        <f t="shared" si="1"/>
        <v>-6.8677573278800308E-2</v>
      </c>
      <c r="F57" s="386" t="s">
        <v>32</v>
      </c>
    </row>
    <row r="58" spans="2:6" ht="15" hidden="1" outlineLevel="1">
      <c r="B58" s="300" t="s">
        <v>211</v>
      </c>
      <c r="C58" s="385">
        <f>GETPIVOTDATA("dato",'[1]tabla dinámica IO men'!$A$96,"categoría","TOTAL","mes",1,"año",2007)</f>
        <v>47.67</v>
      </c>
      <c r="D58" s="39" t="s">
        <v>32</v>
      </c>
      <c r="E58" s="40">
        <f t="shared" si="1"/>
        <v>0.14895155459146792</v>
      </c>
      <c r="F58" s="386" t="s">
        <v>32</v>
      </c>
    </row>
    <row r="59" spans="2:6" ht="15" collapsed="1">
      <c r="B59" s="307">
        <v>2007</v>
      </c>
      <c r="C59" s="391">
        <f>'[1]tabla dinámica IO men'!C510</f>
        <v>51.168644894245233</v>
      </c>
      <c r="D59" s="309"/>
      <c r="E59" s="392">
        <f t="shared" si="1"/>
        <v>5.0620930200863112E-2</v>
      </c>
      <c r="F59" s="392">
        <f>C59/C72-1</f>
        <v>5.0620930200863112E-2</v>
      </c>
    </row>
    <row r="60" spans="2:6" ht="15" hidden="1" outlineLevel="1">
      <c r="B60" s="300" t="s">
        <v>200</v>
      </c>
      <c r="C60" s="385">
        <f>GETPIVOTDATA("dato",'[1]tabla dinámica IO men'!$A$96,"categoría","TOTAL","mes",12,"año",2006)</f>
        <v>56.16</v>
      </c>
      <c r="D60" s="39">
        <f t="shared" ref="D60:D70" si="5">IFERROR((C60-C61)/C61,"-")</f>
        <v>-3.2724767481915357E-2</v>
      </c>
      <c r="E60" s="393" t="s">
        <v>32</v>
      </c>
      <c r="F60" s="386" t="s">
        <v>32</v>
      </c>
    </row>
    <row r="61" spans="2:6" ht="15" hidden="1" outlineLevel="1">
      <c r="B61" s="300" t="s">
        <v>201</v>
      </c>
      <c r="C61" s="385">
        <f>GETPIVOTDATA("dato",'[1]tabla dinámica IO men'!$A$96,"categoría","TOTAL","mes",11,"año",2006)</f>
        <v>58.06</v>
      </c>
      <c r="D61" s="39">
        <f t="shared" si="5"/>
        <v>0.16656620454088805</v>
      </c>
      <c r="E61" s="393" t="s">
        <v>32</v>
      </c>
      <c r="F61" s="386" t="s">
        <v>32</v>
      </c>
    </row>
    <row r="62" spans="2:6" ht="15" hidden="1" outlineLevel="1">
      <c r="B62" s="300" t="s">
        <v>202</v>
      </c>
      <c r="C62" s="385">
        <f>GETPIVOTDATA("dato",'[1]tabla dinámica IO men'!$A$96,"categoría","TOTAL","mes",10,"año",2006)</f>
        <v>49.77</v>
      </c>
      <c r="D62" s="39">
        <f t="shared" si="5"/>
        <v>3.0434782608695778E-2</v>
      </c>
      <c r="E62" s="393" t="s">
        <v>32</v>
      </c>
      <c r="F62" s="386" t="s">
        <v>32</v>
      </c>
    </row>
    <row r="63" spans="2:6" ht="15" hidden="1" outlineLevel="1">
      <c r="B63" s="300" t="s">
        <v>203</v>
      </c>
      <c r="C63" s="385">
        <f>GETPIVOTDATA("dato",'[1]tabla dinámica IO men'!$A$96,"categoría","TOTAL","mes",9,"año",2006)</f>
        <v>48.3</v>
      </c>
      <c r="D63" s="39">
        <f t="shared" si="5"/>
        <v>0.19524870081662957</v>
      </c>
      <c r="E63" s="393" t="s">
        <v>32</v>
      </c>
      <c r="F63" s="386" t="s">
        <v>32</v>
      </c>
    </row>
    <row r="64" spans="2:6" ht="15" hidden="1" outlineLevel="1">
      <c r="B64" s="300" t="s">
        <v>204</v>
      </c>
      <c r="C64" s="385">
        <f>GETPIVOTDATA("dato",'[1]tabla dinámica IO men'!$A$96,"categoría","TOTAL","mes",8,"año",2006)</f>
        <v>40.409999999999997</v>
      </c>
      <c r="D64" s="39">
        <f t="shared" si="5"/>
        <v>-9.4960806270996692E-2</v>
      </c>
      <c r="E64" s="393" t="s">
        <v>32</v>
      </c>
      <c r="F64" s="386" t="s">
        <v>32</v>
      </c>
    </row>
    <row r="65" spans="2:6" ht="15" hidden="1" outlineLevel="1">
      <c r="B65" s="300" t="s">
        <v>205</v>
      </c>
      <c r="C65" s="385">
        <f>GETPIVOTDATA("dato",'[1]tabla dinámica IO men'!$A$96,"categoría","TOTAL","mes",7,"año",2006)</f>
        <v>44.65</v>
      </c>
      <c r="D65" s="39">
        <f t="shared" si="5"/>
        <v>1.1210762331837927E-3</v>
      </c>
      <c r="E65" s="393" t="s">
        <v>32</v>
      </c>
      <c r="F65" s="386" t="s">
        <v>32</v>
      </c>
    </row>
    <row r="66" spans="2:6" ht="15" hidden="1" outlineLevel="1">
      <c r="B66" s="300" t="s">
        <v>206</v>
      </c>
      <c r="C66" s="385">
        <f>GETPIVOTDATA("dato",'[1]tabla dinámica IO men'!$A$96,"categoría","TOTAL","mes",6,"año",2006)</f>
        <v>44.6</v>
      </c>
      <c r="D66" s="39">
        <f t="shared" si="5"/>
        <v>5.163876444234862E-2</v>
      </c>
      <c r="E66" s="393" t="s">
        <v>32</v>
      </c>
      <c r="F66" s="386" t="s">
        <v>32</v>
      </c>
    </row>
    <row r="67" spans="2:6" ht="15" hidden="1" outlineLevel="1">
      <c r="B67" s="300" t="s">
        <v>207</v>
      </c>
      <c r="C67" s="385">
        <f>GETPIVOTDATA("dato",'[1]tabla dinámica IO men'!$A$96,"categoría","TOTAL","mes",5,"año",2006)</f>
        <v>42.41</v>
      </c>
      <c r="D67" s="39">
        <f t="shared" si="5"/>
        <v>-0.10110216193302253</v>
      </c>
      <c r="E67" s="393" t="s">
        <v>32</v>
      </c>
      <c r="F67" s="386" t="s">
        <v>32</v>
      </c>
    </row>
    <row r="68" spans="2:6" ht="15" hidden="1" outlineLevel="1">
      <c r="B68" s="300" t="s">
        <v>208</v>
      </c>
      <c r="C68" s="385">
        <f>GETPIVOTDATA("dato",'[1]tabla dinámica IO men'!$A$96,"categoría","TOTAL","mes",4,"año",2006)</f>
        <v>47.18</v>
      </c>
      <c r="D68" s="39">
        <f t="shared" si="5"/>
        <v>-0.12288529466443576</v>
      </c>
      <c r="E68" s="393" t="s">
        <v>32</v>
      </c>
      <c r="F68" s="386" t="s">
        <v>32</v>
      </c>
    </row>
    <row r="69" spans="2:6" ht="15" hidden="1" outlineLevel="1">
      <c r="B69" s="300" t="s">
        <v>209</v>
      </c>
      <c r="C69" s="385">
        <f>GETPIVOTDATA("dato",'[1]tabla dinámica IO men'!$A$96,"categoría","TOTAL","mes",3,"año",2006)</f>
        <v>53.79</v>
      </c>
      <c r="D69" s="39">
        <f t="shared" si="5"/>
        <v>-8.3333333333333343E-2</v>
      </c>
      <c r="E69" s="393" t="s">
        <v>32</v>
      </c>
      <c r="F69" s="386" t="s">
        <v>32</v>
      </c>
    </row>
    <row r="70" spans="2:6" ht="15" hidden="1" outlineLevel="1">
      <c r="B70" s="300" t="s">
        <v>210</v>
      </c>
      <c r="C70" s="385">
        <f>GETPIVOTDATA("dato",'[1]tabla dinámica IO men'!$A$96,"categoría","TOTAL","mes",2,"año",2006)</f>
        <v>58.68</v>
      </c>
      <c r="D70" s="39">
        <f t="shared" si="5"/>
        <v>0.41431670281995653</v>
      </c>
      <c r="E70" s="393" t="s">
        <v>32</v>
      </c>
      <c r="F70" s="386" t="s">
        <v>32</v>
      </c>
    </row>
    <row r="71" spans="2:6" ht="15" hidden="1" outlineLevel="1">
      <c r="B71" s="300" t="s">
        <v>211</v>
      </c>
      <c r="C71" s="385">
        <f>GETPIVOTDATA("dato",'[1]tabla dinámica IO men'!$A$96,"categoría","TOTAL","mes",1,"año",2006)</f>
        <v>41.49</v>
      </c>
      <c r="D71" s="39" t="s">
        <v>32</v>
      </c>
      <c r="E71" s="393" t="s">
        <v>32</v>
      </c>
      <c r="F71" s="386" t="s">
        <v>32</v>
      </c>
    </row>
    <row r="72" spans="2:6" ht="15" collapsed="1">
      <c r="B72" s="307">
        <v>2006</v>
      </c>
      <c r="C72" s="391">
        <f>'[1]tabla dinámica IO men'!B510</f>
        <v>48.703241505442456</v>
      </c>
      <c r="D72" s="309"/>
      <c r="E72" s="394" t="s">
        <v>32</v>
      </c>
      <c r="F72" s="394" t="s">
        <v>32</v>
      </c>
    </row>
    <row r="73" spans="2:6">
      <c r="B73" s="312" t="s">
        <v>212</v>
      </c>
      <c r="C73" s="313"/>
      <c r="D73" s="313"/>
      <c r="E73" s="313"/>
      <c r="F73" s="313"/>
    </row>
  </sheetData>
  <mergeCells count="2">
    <mergeCell ref="B6:F6"/>
    <mergeCell ref="B73:F73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I13" sqref="I13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60" t="s">
        <v>52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12"/>
      <c r="C28" s="12"/>
      <c r="D28" s="12"/>
      <c r="E28" s="12"/>
      <c r="F28" s="12"/>
      <c r="G28" s="12"/>
      <c r="H28" s="12"/>
      <c r="J28" s="12"/>
      <c r="K28" s="12"/>
      <c r="L28" s="12"/>
    </row>
    <row r="30" spans="2:12">
      <c r="I30" s="12"/>
    </row>
    <row r="32" spans="2:12" ht="15" customHeight="1" thickBot="1"/>
    <row r="33" spans="9:9" ht="30" customHeight="1" thickBot="1">
      <c r="I33" s="60" t="s">
        <v>52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37">
    <tabColor theme="4" tint="-0.499984740745262"/>
    <pageSetUpPr autoPageBreaks="0" fitToPage="1"/>
  </sheetPr>
  <dimension ref="D7:J79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3" width="11.42578125" style="2"/>
    <col min="4" max="4" width="9.140625" style="2" customWidth="1"/>
    <col min="5" max="5" width="12" style="2" bestFit="1" customWidth="1"/>
    <col min="6" max="6" width="43.28515625" style="2" customWidth="1"/>
    <col min="7" max="7" width="37.140625" style="2" customWidth="1"/>
    <col min="8" max="259" width="11.42578125" style="2"/>
    <col min="260" max="260" width="9.140625" style="2" customWidth="1"/>
    <col min="261" max="261" width="12" style="2" bestFit="1" customWidth="1"/>
    <col min="262" max="262" width="43.28515625" style="2" customWidth="1"/>
    <col min="263" max="515" width="11.42578125" style="2"/>
    <col min="516" max="516" width="9.140625" style="2" customWidth="1"/>
    <col min="517" max="517" width="12" style="2" bestFit="1" customWidth="1"/>
    <col min="518" max="518" width="43.28515625" style="2" customWidth="1"/>
    <col min="519" max="771" width="11.42578125" style="2"/>
    <col min="772" max="772" width="9.140625" style="2" customWidth="1"/>
    <col min="773" max="773" width="12" style="2" bestFit="1" customWidth="1"/>
    <col min="774" max="774" width="43.28515625" style="2" customWidth="1"/>
    <col min="775" max="1027" width="11.42578125" style="2"/>
    <col min="1028" max="1028" width="9.140625" style="2" customWidth="1"/>
    <col min="1029" max="1029" width="12" style="2" bestFit="1" customWidth="1"/>
    <col min="1030" max="1030" width="43.28515625" style="2" customWidth="1"/>
    <col min="1031" max="1283" width="11.42578125" style="2"/>
    <col min="1284" max="1284" width="9.140625" style="2" customWidth="1"/>
    <col min="1285" max="1285" width="12" style="2" bestFit="1" customWidth="1"/>
    <col min="1286" max="1286" width="43.28515625" style="2" customWidth="1"/>
    <col min="1287" max="1539" width="11.42578125" style="2"/>
    <col min="1540" max="1540" width="9.140625" style="2" customWidth="1"/>
    <col min="1541" max="1541" width="12" style="2" bestFit="1" customWidth="1"/>
    <col min="1542" max="1542" width="43.28515625" style="2" customWidth="1"/>
    <col min="1543" max="1795" width="11.42578125" style="2"/>
    <col min="1796" max="1796" width="9.140625" style="2" customWidth="1"/>
    <col min="1797" max="1797" width="12" style="2" bestFit="1" customWidth="1"/>
    <col min="1798" max="1798" width="43.28515625" style="2" customWidth="1"/>
    <col min="1799" max="2051" width="11.42578125" style="2"/>
    <col min="2052" max="2052" width="9.140625" style="2" customWidth="1"/>
    <col min="2053" max="2053" width="12" style="2" bestFit="1" customWidth="1"/>
    <col min="2054" max="2054" width="43.28515625" style="2" customWidth="1"/>
    <col min="2055" max="2307" width="11.42578125" style="2"/>
    <col min="2308" max="2308" width="9.140625" style="2" customWidth="1"/>
    <col min="2309" max="2309" width="12" style="2" bestFit="1" customWidth="1"/>
    <col min="2310" max="2310" width="43.28515625" style="2" customWidth="1"/>
    <col min="2311" max="2563" width="11.42578125" style="2"/>
    <col min="2564" max="2564" width="9.140625" style="2" customWidth="1"/>
    <col min="2565" max="2565" width="12" style="2" bestFit="1" customWidth="1"/>
    <col min="2566" max="2566" width="43.28515625" style="2" customWidth="1"/>
    <col min="2567" max="2819" width="11.42578125" style="2"/>
    <col min="2820" max="2820" width="9.140625" style="2" customWidth="1"/>
    <col min="2821" max="2821" width="12" style="2" bestFit="1" customWidth="1"/>
    <col min="2822" max="2822" width="43.28515625" style="2" customWidth="1"/>
    <col min="2823" max="3075" width="11.42578125" style="2"/>
    <col min="3076" max="3076" width="9.140625" style="2" customWidth="1"/>
    <col min="3077" max="3077" width="12" style="2" bestFit="1" customWidth="1"/>
    <col min="3078" max="3078" width="43.28515625" style="2" customWidth="1"/>
    <col min="3079" max="3331" width="11.42578125" style="2"/>
    <col min="3332" max="3332" width="9.140625" style="2" customWidth="1"/>
    <col min="3333" max="3333" width="12" style="2" bestFit="1" customWidth="1"/>
    <col min="3334" max="3334" width="43.28515625" style="2" customWidth="1"/>
    <col min="3335" max="3587" width="11.42578125" style="2"/>
    <col min="3588" max="3588" width="9.140625" style="2" customWidth="1"/>
    <col min="3589" max="3589" width="12" style="2" bestFit="1" customWidth="1"/>
    <col min="3590" max="3590" width="43.28515625" style="2" customWidth="1"/>
    <col min="3591" max="3843" width="11.42578125" style="2"/>
    <col min="3844" max="3844" width="9.140625" style="2" customWidth="1"/>
    <col min="3845" max="3845" width="12" style="2" bestFit="1" customWidth="1"/>
    <col min="3846" max="3846" width="43.28515625" style="2" customWidth="1"/>
    <col min="3847" max="4099" width="11.42578125" style="2"/>
    <col min="4100" max="4100" width="9.140625" style="2" customWidth="1"/>
    <col min="4101" max="4101" width="12" style="2" bestFit="1" customWidth="1"/>
    <col min="4102" max="4102" width="43.28515625" style="2" customWidth="1"/>
    <col min="4103" max="4355" width="11.42578125" style="2"/>
    <col min="4356" max="4356" width="9.140625" style="2" customWidth="1"/>
    <col min="4357" max="4357" width="12" style="2" bestFit="1" customWidth="1"/>
    <col min="4358" max="4358" width="43.28515625" style="2" customWidth="1"/>
    <col min="4359" max="4611" width="11.42578125" style="2"/>
    <col min="4612" max="4612" width="9.140625" style="2" customWidth="1"/>
    <col min="4613" max="4613" width="12" style="2" bestFit="1" customWidth="1"/>
    <col min="4614" max="4614" width="43.28515625" style="2" customWidth="1"/>
    <col min="4615" max="4867" width="11.42578125" style="2"/>
    <col min="4868" max="4868" width="9.140625" style="2" customWidth="1"/>
    <col min="4869" max="4869" width="12" style="2" bestFit="1" customWidth="1"/>
    <col min="4870" max="4870" width="43.28515625" style="2" customWidth="1"/>
    <col min="4871" max="5123" width="11.42578125" style="2"/>
    <col min="5124" max="5124" width="9.140625" style="2" customWidth="1"/>
    <col min="5125" max="5125" width="12" style="2" bestFit="1" customWidth="1"/>
    <col min="5126" max="5126" width="43.28515625" style="2" customWidth="1"/>
    <col min="5127" max="5379" width="11.42578125" style="2"/>
    <col min="5380" max="5380" width="9.140625" style="2" customWidth="1"/>
    <col min="5381" max="5381" width="12" style="2" bestFit="1" customWidth="1"/>
    <col min="5382" max="5382" width="43.28515625" style="2" customWidth="1"/>
    <col min="5383" max="5635" width="11.42578125" style="2"/>
    <col min="5636" max="5636" width="9.140625" style="2" customWidth="1"/>
    <col min="5637" max="5637" width="12" style="2" bestFit="1" customWidth="1"/>
    <col min="5638" max="5638" width="43.28515625" style="2" customWidth="1"/>
    <col min="5639" max="5891" width="11.42578125" style="2"/>
    <col min="5892" max="5892" width="9.140625" style="2" customWidth="1"/>
    <col min="5893" max="5893" width="12" style="2" bestFit="1" customWidth="1"/>
    <col min="5894" max="5894" width="43.28515625" style="2" customWidth="1"/>
    <col min="5895" max="6147" width="11.42578125" style="2"/>
    <col min="6148" max="6148" width="9.140625" style="2" customWidth="1"/>
    <col min="6149" max="6149" width="12" style="2" bestFit="1" customWidth="1"/>
    <col min="6150" max="6150" width="43.28515625" style="2" customWidth="1"/>
    <col min="6151" max="6403" width="11.42578125" style="2"/>
    <col min="6404" max="6404" width="9.140625" style="2" customWidth="1"/>
    <col min="6405" max="6405" width="12" style="2" bestFit="1" customWidth="1"/>
    <col min="6406" max="6406" width="43.28515625" style="2" customWidth="1"/>
    <col min="6407" max="6659" width="11.42578125" style="2"/>
    <col min="6660" max="6660" width="9.140625" style="2" customWidth="1"/>
    <col min="6661" max="6661" width="12" style="2" bestFit="1" customWidth="1"/>
    <col min="6662" max="6662" width="43.28515625" style="2" customWidth="1"/>
    <col min="6663" max="6915" width="11.42578125" style="2"/>
    <col min="6916" max="6916" width="9.140625" style="2" customWidth="1"/>
    <col min="6917" max="6917" width="12" style="2" bestFit="1" customWidth="1"/>
    <col min="6918" max="6918" width="43.28515625" style="2" customWidth="1"/>
    <col min="6919" max="7171" width="11.42578125" style="2"/>
    <col min="7172" max="7172" width="9.140625" style="2" customWidth="1"/>
    <col min="7173" max="7173" width="12" style="2" bestFit="1" customWidth="1"/>
    <col min="7174" max="7174" width="43.28515625" style="2" customWidth="1"/>
    <col min="7175" max="7427" width="11.42578125" style="2"/>
    <col min="7428" max="7428" width="9.140625" style="2" customWidth="1"/>
    <col min="7429" max="7429" width="12" style="2" bestFit="1" customWidth="1"/>
    <col min="7430" max="7430" width="43.28515625" style="2" customWidth="1"/>
    <col min="7431" max="7683" width="11.42578125" style="2"/>
    <col min="7684" max="7684" width="9.140625" style="2" customWidth="1"/>
    <col min="7685" max="7685" width="12" style="2" bestFit="1" customWidth="1"/>
    <col min="7686" max="7686" width="43.28515625" style="2" customWidth="1"/>
    <col min="7687" max="7939" width="11.42578125" style="2"/>
    <col min="7940" max="7940" width="9.140625" style="2" customWidth="1"/>
    <col min="7941" max="7941" width="12" style="2" bestFit="1" customWidth="1"/>
    <col min="7942" max="7942" width="43.28515625" style="2" customWidth="1"/>
    <col min="7943" max="8195" width="11.42578125" style="2"/>
    <col min="8196" max="8196" width="9.140625" style="2" customWidth="1"/>
    <col min="8197" max="8197" width="12" style="2" bestFit="1" customWidth="1"/>
    <col min="8198" max="8198" width="43.28515625" style="2" customWidth="1"/>
    <col min="8199" max="8451" width="11.42578125" style="2"/>
    <col min="8452" max="8452" width="9.140625" style="2" customWidth="1"/>
    <col min="8453" max="8453" width="12" style="2" bestFit="1" customWidth="1"/>
    <col min="8454" max="8454" width="43.28515625" style="2" customWidth="1"/>
    <col min="8455" max="8707" width="11.42578125" style="2"/>
    <col min="8708" max="8708" width="9.140625" style="2" customWidth="1"/>
    <col min="8709" max="8709" width="12" style="2" bestFit="1" customWidth="1"/>
    <col min="8710" max="8710" width="43.28515625" style="2" customWidth="1"/>
    <col min="8711" max="8963" width="11.42578125" style="2"/>
    <col min="8964" max="8964" width="9.140625" style="2" customWidth="1"/>
    <col min="8965" max="8965" width="12" style="2" bestFit="1" customWidth="1"/>
    <col min="8966" max="8966" width="43.28515625" style="2" customWidth="1"/>
    <col min="8967" max="9219" width="11.42578125" style="2"/>
    <col min="9220" max="9220" width="9.140625" style="2" customWidth="1"/>
    <col min="9221" max="9221" width="12" style="2" bestFit="1" customWidth="1"/>
    <col min="9222" max="9222" width="43.28515625" style="2" customWidth="1"/>
    <col min="9223" max="9475" width="11.42578125" style="2"/>
    <col min="9476" max="9476" width="9.140625" style="2" customWidth="1"/>
    <col min="9477" max="9477" width="12" style="2" bestFit="1" customWidth="1"/>
    <col min="9478" max="9478" width="43.28515625" style="2" customWidth="1"/>
    <col min="9479" max="9731" width="11.42578125" style="2"/>
    <col min="9732" max="9732" width="9.140625" style="2" customWidth="1"/>
    <col min="9733" max="9733" width="12" style="2" bestFit="1" customWidth="1"/>
    <col min="9734" max="9734" width="43.28515625" style="2" customWidth="1"/>
    <col min="9735" max="9987" width="11.42578125" style="2"/>
    <col min="9988" max="9988" width="9.140625" style="2" customWidth="1"/>
    <col min="9989" max="9989" width="12" style="2" bestFit="1" customWidth="1"/>
    <col min="9990" max="9990" width="43.28515625" style="2" customWidth="1"/>
    <col min="9991" max="10243" width="11.42578125" style="2"/>
    <col min="10244" max="10244" width="9.140625" style="2" customWidth="1"/>
    <col min="10245" max="10245" width="12" style="2" bestFit="1" customWidth="1"/>
    <col min="10246" max="10246" width="43.28515625" style="2" customWidth="1"/>
    <col min="10247" max="10499" width="11.42578125" style="2"/>
    <col min="10500" max="10500" width="9.140625" style="2" customWidth="1"/>
    <col min="10501" max="10501" width="12" style="2" bestFit="1" customWidth="1"/>
    <col min="10502" max="10502" width="43.28515625" style="2" customWidth="1"/>
    <col min="10503" max="10755" width="11.42578125" style="2"/>
    <col min="10756" max="10756" width="9.140625" style="2" customWidth="1"/>
    <col min="10757" max="10757" width="12" style="2" bestFit="1" customWidth="1"/>
    <col min="10758" max="10758" width="43.28515625" style="2" customWidth="1"/>
    <col min="10759" max="11011" width="11.42578125" style="2"/>
    <col min="11012" max="11012" width="9.140625" style="2" customWidth="1"/>
    <col min="11013" max="11013" width="12" style="2" bestFit="1" customWidth="1"/>
    <col min="11014" max="11014" width="43.28515625" style="2" customWidth="1"/>
    <col min="11015" max="11267" width="11.42578125" style="2"/>
    <col min="11268" max="11268" width="9.140625" style="2" customWidth="1"/>
    <col min="11269" max="11269" width="12" style="2" bestFit="1" customWidth="1"/>
    <col min="11270" max="11270" width="43.28515625" style="2" customWidth="1"/>
    <col min="11271" max="11523" width="11.42578125" style="2"/>
    <col min="11524" max="11524" width="9.140625" style="2" customWidth="1"/>
    <col min="11525" max="11525" width="12" style="2" bestFit="1" customWidth="1"/>
    <col min="11526" max="11526" width="43.28515625" style="2" customWidth="1"/>
    <col min="11527" max="11779" width="11.42578125" style="2"/>
    <col min="11780" max="11780" width="9.140625" style="2" customWidth="1"/>
    <col min="11781" max="11781" width="12" style="2" bestFit="1" customWidth="1"/>
    <col min="11782" max="11782" width="43.28515625" style="2" customWidth="1"/>
    <col min="11783" max="12035" width="11.42578125" style="2"/>
    <col min="12036" max="12036" width="9.140625" style="2" customWidth="1"/>
    <col min="12037" max="12037" width="12" style="2" bestFit="1" customWidth="1"/>
    <col min="12038" max="12038" width="43.28515625" style="2" customWidth="1"/>
    <col min="12039" max="12291" width="11.42578125" style="2"/>
    <col min="12292" max="12292" width="9.140625" style="2" customWidth="1"/>
    <col min="12293" max="12293" width="12" style="2" bestFit="1" customWidth="1"/>
    <col min="12294" max="12294" width="43.28515625" style="2" customWidth="1"/>
    <col min="12295" max="12547" width="11.42578125" style="2"/>
    <col min="12548" max="12548" width="9.140625" style="2" customWidth="1"/>
    <col min="12549" max="12549" width="12" style="2" bestFit="1" customWidth="1"/>
    <col min="12550" max="12550" width="43.28515625" style="2" customWidth="1"/>
    <col min="12551" max="12803" width="11.42578125" style="2"/>
    <col min="12804" max="12804" width="9.140625" style="2" customWidth="1"/>
    <col min="12805" max="12805" width="12" style="2" bestFit="1" customWidth="1"/>
    <col min="12806" max="12806" width="43.28515625" style="2" customWidth="1"/>
    <col min="12807" max="13059" width="11.42578125" style="2"/>
    <col min="13060" max="13060" width="9.140625" style="2" customWidth="1"/>
    <col min="13061" max="13061" width="12" style="2" bestFit="1" customWidth="1"/>
    <col min="13062" max="13062" width="43.28515625" style="2" customWidth="1"/>
    <col min="13063" max="13315" width="11.42578125" style="2"/>
    <col min="13316" max="13316" width="9.140625" style="2" customWidth="1"/>
    <col min="13317" max="13317" width="12" style="2" bestFit="1" customWidth="1"/>
    <col min="13318" max="13318" width="43.28515625" style="2" customWidth="1"/>
    <col min="13319" max="13571" width="11.42578125" style="2"/>
    <col min="13572" max="13572" width="9.140625" style="2" customWidth="1"/>
    <col min="13573" max="13573" width="12" style="2" bestFit="1" customWidth="1"/>
    <col min="13574" max="13574" width="43.28515625" style="2" customWidth="1"/>
    <col min="13575" max="13827" width="11.42578125" style="2"/>
    <col min="13828" max="13828" width="9.140625" style="2" customWidth="1"/>
    <col min="13829" max="13829" width="12" style="2" bestFit="1" customWidth="1"/>
    <col min="13830" max="13830" width="43.28515625" style="2" customWidth="1"/>
    <col min="13831" max="14083" width="11.42578125" style="2"/>
    <col min="14084" max="14084" width="9.140625" style="2" customWidth="1"/>
    <col min="14085" max="14085" width="12" style="2" bestFit="1" customWidth="1"/>
    <col min="14086" max="14086" width="43.28515625" style="2" customWidth="1"/>
    <col min="14087" max="14339" width="11.42578125" style="2"/>
    <col min="14340" max="14340" width="9.140625" style="2" customWidth="1"/>
    <col min="14341" max="14341" width="12" style="2" bestFit="1" customWidth="1"/>
    <col min="14342" max="14342" width="43.28515625" style="2" customWidth="1"/>
    <col min="14343" max="14595" width="11.42578125" style="2"/>
    <col min="14596" max="14596" width="9.140625" style="2" customWidth="1"/>
    <col min="14597" max="14597" width="12" style="2" bestFit="1" customWidth="1"/>
    <col min="14598" max="14598" width="43.28515625" style="2" customWidth="1"/>
    <col min="14599" max="14851" width="11.42578125" style="2"/>
    <col min="14852" max="14852" width="9.140625" style="2" customWidth="1"/>
    <col min="14853" max="14853" width="12" style="2" bestFit="1" customWidth="1"/>
    <col min="14854" max="14854" width="43.28515625" style="2" customWidth="1"/>
    <col min="14855" max="15107" width="11.42578125" style="2"/>
    <col min="15108" max="15108" width="9.140625" style="2" customWidth="1"/>
    <col min="15109" max="15109" width="12" style="2" bestFit="1" customWidth="1"/>
    <col min="15110" max="15110" width="43.28515625" style="2" customWidth="1"/>
    <col min="15111" max="15363" width="11.42578125" style="2"/>
    <col min="15364" max="15364" width="9.140625" style="2" customWidth="1"/>
    <col min="15365" max="15365" width="12" style="2" bestFit="1" customWidth="1"/>
    <col min="15366" max="15366" width="43.28515625" style="2" customWidth="1"/>
    <col min="15367" max="15619" width="11.42578125" style="2"/>
    <col min="15620" max="15620" width="9.140625" style="2" customWidth="1"/>
    <col min="15621" max="15621" width="12" style="2" bestFit="1" customWidth="1"/>
    <col min="15622" max="15622" width="43.28515625" style="2" customWidth="1"/>
    <col min="15623" max="15875" width="11.42578125" style="2"/>
    <col min="15876" max="15876" width="9.140625" style="2" customWidth="1"/>
    <col min="15877" max="15877" width="12" style="2" bestFit="1" customWidth="1"/>
    <col min="15878" max="15878" width="43.28515625" style="2" customWidth="1"/>
    <col min="15879" max="16131" width="11.42578125" style="2"/>
    <col min="16132" max="16132" width="9.140625" style="2" customWidth="1"/>
    <col min="16133" max="16133" width="12" style="2" bestFit="1" customWidth="1"/>
    <col min="16134" max="16134" width="43.28515625" style="2" customWidth="1"/>
    <col min="16135" max="16384" width="11.42578125" style="2"/>
  </cols>
  <sheetData>
    <row r="7" spans="4:7" ht="30" customHeight="1">
      <c r="D7" s="14" t="s">
        <v>267</v>
      </c>
      <c r="E7" s="14"/>
      <c r="F7" s="14"/>
      <c r="G7" s="14"/>
    </row>
    <row r="8" spans="4:7" ht="20.100000000000001" customHeight="1">
      <c r="D8" s="15"/>
      <c r="E8" s="1"/>
      <c r="F8" s="1"/>
      <c r="G8" s="1"/>
    </row>
    <row r="9" spans="4:7" ht="24.95" customHeight="1">
      <c r="D9" s="15"/>
      <c r="E9" s="24" t="s">
        <v>19</v>
      </c>
      <c r="F9" s="25"/>
      <c r="G9" s="25"/>
    </row>
    <row r="10" spans="4:7" ht="20.100000000000001" customHeight="1">
      <c r="D10" s="15"/>
      <c r="E10" s="1"/>
      <c r="F10" s="1"/>
      <c r="G10" s="1"/>
    </row>
    <row r="11" spans="4:7" ht="20.100000000000001" customHeight="1">
      <c r="D11" s="1"/>
      <c r="E11" s="16" t="s">
        <v>10</v>
      </c>
      <c r="F11" s="6"/>
      <c r="G11" s="6"/>
    </row>
    <row r="12" spans="4:7" ht="18.75" customHeight="1">
      <c r="D12" s="1"/>
      <c r="E12" s="1"/>
      <c r="F12" s="17"/>
      <c r="G12" s="1"/>
    </row>
    <row r="13" spans="4:7" ht="18.75" customHeight="1">
      <c r="D13" s="1"/>
      <c r="E13" s="1"/>
      <c r="F13" s="18" t="s">
        <v>268</v>
      </c>
      <c r="G13" s="1"/>
    </row>
    <row r="14" spans="4:7" ht="18.75" customHeight="1">
      <c r="D14" s="1"/>
      <c r="E14" s="1"/>
      <c r="F14" s="18" t="s">
        <v>215</v>
      </c>
      <c r="G14" s="1"/>
    </row>
    <row r="15" spans="4:7" ht="18.75" customHeight="1">
      <c r="D15" s="1"/>
      <c r="E15" s="1"/>
      <c r="F15" s="18" t="s">
        <v>216</v>
      </c>
      <c r="G15" s="1"/>
    </row>
    <row r="16" spans="4:7" ht="18.75" customHeight="1">
      <c r="D16" s="1"/>
      <c r="E16" s="1"/>
      <c r="F16" s="18" t="s">
        <v>217</v>
      </c>
      <c r="G16" s="1"/>
    </row>
    <row r="17" spans="4:10" ht="18.75" customHeight="1">
      <c r="D17" s="1"/>
      <c r="E17" s="1"/>
      <c r="F17" s="18" t="s">
        <v>247</v>
      </c>
      <c r="G17" s="1"/>
    </row>
    <row r="18" spans="4:10" ht="20.100000000000001" customHeight="1">
      <c r="D18" s="1"/>
      <c r="E18" s="1"/>
      <c r="F18" s="17"/>
      <c r="G18" s="1"/>
    </row>
    <row r="19" spans="4:10" ht="20.100000000000001" customHeight="1">
      <c r="D19" s="15"/>
      <c r="E19" s="24" t="str">
        <f>actualizaciones!A2</f>
        <v xml:space="preserve">acumulado julio 2010 </v>
      </c>
      <c r="F19" s="25"/>
      <c r="G19" s="25"/>
    </row>
    <row r="20" spans="4:10" ht="20.100000000000001" customHeight="1">
      <c r="D20" s="15"/>
      <c r="E20" s="1"/>
      <c r="F20" s="1"/>
      <c r="G20" s="1"/>
    </row>
    <row r="21" spans="4:10" ht="18.75" customHeight="1">
      <c r="D21" s="1"/>
      <c r="E21" s="16" t="s">
        <v>10</v>
      </c>
      <c r="F21" s="6"/>
      <c r="G21" s="6"/>
    </row>
    <row r="22" spans="4:10" ht="18.75" customHeight="1">
      <c r="D22" s="1"/>
      <c r="E22" s="1"/>
      <c r="F22" s="17"/>
      <c r="G22" s="1"/>
    </row>
    <row r="23" spans="4:10" ht="18.75" customHeight="1">
      <c r="D23" s="1"/>
      <c r="E23" s="1"/>
      <c r="F23" s="18" t="s">
        <v>11</v>
      </c>
      <c r="G23" s="1"/>
    </row>
    <row r="24" spans="4:10" ht="18.75" customHeight="1">
      <c r="D24" s="1"/>
      <c r="E24" s="1"/>
      <c r="F24" s="18" t="s">
        <v>219</v>
      </c>
      <c r="G24" s="1"/>
    </row>
    <row r="25" spans="4:10" ht="18.75" customHeight="1">
      <c r="D25" s="1"/>
      <c r="E25" s="1"/>
      <c r="F25" s="18" t="s">
        <v>13</v>
      </c>
      <c r="G25" s="1"/>
    </row>
    <row r="26" spans="4:10" ht="18.75" customHeight="1">
      <c r="D26" s="1"/>
      <c r="E26" s="1"/>
      <c r="F26" s="17"/>
      <c r="G26" s="1"/>
    </row>
    <row r="27" spans="4:10" ht="15" customHeight="1">
      <c r="D27" s="1"/>
      <c r="E27" s="16" t="s">
        <v>17</v>
      </c>
      <c r="F27" s="6"/>
      <c r="G27" s="6"/>
    </row>
    <row r="28" spans="4:10" ht="20.100000000000001" customHeight="1">
      <c r="D28" s="1"/>
      <c r="E28" s="1"/>
      <c r="F28" s="17"/>
      <c r="G28" s="1"/>
    </row>
    <row r="29" spans="4:10" ht="18.75" customHeight="1">
      <c r="D29" s="1"/>
      <c r="E29" s="1"/>
      <c r="F29" s="18" t="s">
        <v>221</v>
      </c>
      <c r="G29" s="1"/>
    </row>
    <row r="30" spans="4:10" ht="18.75" customHeight="1">
      <c r="D30" s="1"/>
      <c r="E30" s="1"/>
      <c r="F30" s="18" t="s">
        <v>222</v>
      </c>
      <c r="G30" s="1"/>
      <c r="H30" s="12"/>
      <c r="I30" s="12"/>
      <c r="J30" s="12"/>
    </row>
    <row r="31" spans="4:10" ht="18.75" customHeight="1">
      <c r="D31" s="1"/>
      <c r="E31" s="1"/>
      <c r="F31" s="18" t="s">
        <v>269</v>
      </c>
      <c r="G31" s="1"/>
    </row>
    <row r="32" spans="4:10" ht="15" customHeight="1">
      <c r="D32" s="1"/>
      <c r="E32" s="1"/>
      <c r="F32" s="316"/>
      <c r="G32" s="1"/>
    </row>
    <row r="33" spans="4:7" ht="15" customHeight="1">
      <c r="D33" s="21"/>
    </row>
    <row r="34" spans="4:7" ht="15" customHeight="1"/>
    <row r="35" spans="4:7" ht="20.100000000000001" customHeight="1">
      <c r="D35" s="11" t="s">
        <v>8</v>
      </c>
      <c r="E35" s="11"/>
      <c r="F35" s="11"/>
      <c r="G35" s="11"/>
    </row>
    <row r="36" spans="4:7" ht="20.100000000000001" customHeight="1"/>
    <row r="37" spans="4:7" ht="20.100000000000001" customHeight="1"/>
    <row r="38" spans="4:7" ht="15" customHeight="1">
      <c r="E38" s="22"/>
      <c r="F38" s="23"/>
    </row>
    <row r="39" spans="4:7" ht="15" customHeight="1"/>
    <row r="40" spans="4:7" ht="15" customHeight="1">
      <c r="D40" s="21"/>
    </row>
    <row r="41" spans="4:7" ht="15" customHeight="1">
      <c r="D41" s="12"/>
      <c r="E41" s="12"/>
      <c r="F41" s="12"/>
      <c r="G41" s="12"/>
    </row>
    <row r="42" spans="4:7" ht="15" customHeight="1"/>
    <row r="43" spans="4:7" ht="15" customHeight="1"/>
    <row r="44" spans="4:7" ht="15" customHeight="1"/>
    <row r="45" spans="4:7" ht="15" customHeight="1">
      <c r="D45" s="21"/>
    </row>
    <row r="46" spans="4:7" ht="15" customHeight="1"/>
    <row r="47" spans="4:7" ht="15" customHeight="1"/>
    <row r="48" spans="4:7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</sheetData>
  <mergeCells count="2">
    <mergeCell ref="D7:G7"/>
    <mergeCell ref="D35:G35"/>
  </mergeCells>
  <hyperlinks>
    <hyperlink ref="F14" location="'Tablas evol EM zona'!A1" tooltip="Zonas y tipología de establecimiento" display="Evolución anual por zona turística y tipología de establecimiento"/>
    <hyperlink ref="F16" location="'tablas evol EM CAT'!A1" tooltip="Tipología y categoría de establecimiento" display="Evolución anual por tipología y categoría de los establecimientos"/>
    <hyperlink ref="F23" location="'EM Tipología'!A1" tooltip="Tipología de establecimiento" display="Tipología de establecimiento"/>
    <hyperlink ref="F24" location="'EM zonas y tipología '!A1" tooltip="Zonas y tipología de establecimiento" display="Zona turística y tipología de establecimiento"/>
    <hyperlink ref="F25" location="'EM tipología y categoría'!A1" tooltip="Tipología y categoría de establecimiento" display="Tipología y categoría de establecimiento"/>
    <hyperlink ref="F29" location="'gráfico EM zona y tipología'!A1" tooltip="Gráfica zona y tipología" display="Zona turística y tipología alojativa"/>
    <hyperlink ref="F30" location="'Gráfica EM tipología'!A1" tooltip="Gráfica tipología y categoría EM" display="Tipología y categoría alojativa"/>
    <hyperlink ref="F13" location="'EM evolución mensual'!A1" tooltip="Evolución mensual EM" display="Evolución mensual"/>
    <hyperlink ref="F31" location="'Gráfica evolución mensual EM'!A1" tooltip="Gráfica evolución mensual EM" display="Evolución mensual"/>
    <hyperlink ref="F15" location="'evolución EM zona'!A1" tooltip="Variación interanual por zona turística y tipología de establecimiento" display="Variación interanual por zona turística y tipología de establecimiento"/>
    <hyperlink ref="F17" location="'evolución EM CAT'!A1" tooltip="Variación interanual por tipología y categoría de los establecimientos" display="Variación interanual por tipología y categoría de los establecimientos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C2:I71"/>
  <sheetViews>
    <sheetView showGridLines="0" showRowColHeaders="0" zoomScaleNormal="100" workbookViewId="0">
      <selection activeCell="I13" sqref="I13"/>
    </sheetView>
  </sheetViews>
  <sheetFormatPr baseColWidth="10" defaultRowHeight="15" outlineLevelRow="1"/>
  <cols>
    <col min="1" max="1" width="14.7109375" style="120" customWidth="1"/>
    <col min="2" max="4" width="11.42578125" style="120"/>
    <col min="5" max="5" width="13.85546875" style="120" customWidth="1"/>
    <col min="6" max="7" width="11.42578125" style="120"/>
    <col min="8" max="8" width="14.28515625" style="120" customWidth="1"/>
    <col min="9" max="16384" width="11.42578125" style="120"/>
  </cols>
  <sheetData>
    <row r="2" spans="3:9" ht="44.25" customHeight="1"/>
    <row r="3" spans="3:9" ht="27" customHeight="1">
      <c r="C3" s="121" t="s">
        <v>270</v>
      </c>
      <c r="D3" s="121"/>
      <c r="E3" s="121"/>
      <c r="F3" s="121"/>
      <c r="G3" s="121"/>
      <c r="H3" s="121"/>
      <c r="I3" s="121"/>
    </row>
    <row r="4" spans="3:9" ht="15" customHeight="1">
      <c r="C4" s="122"/>
      <c r="D4" s="123" t="s">
        <v>89</v>
      </c>
      <c r="E4" s="124"/>
      <c r="F4" s="124"/>
      <c r="G4" s="123" t="s">
        <v>92</v>
      </c>
      <c r="H4" s="124"/>
      <c r="I4" s="124"/>
    </row>
    <row r="5" spans="3:9" ht="30">
      <c r="C5" s="126"/>
      <c r="D5" s="127" t="s">
        <v>93</v>
      </c>
      <c r="E5" s="127" t="s">
        <v>94</v>
      </c>
      <c r="F5" s="127" t="s">
        <v>70</v>
      </c>
      <c r="G5" s="127" t="s">
        <v>95</v>
      </c>
      <c r="H5" s="127" t="s">
        <v>94</v>
      </c>
      <c r="I5" s="127" t="s">
        <v>37</v>
      </c>
    </row>
    <row r="6" spans="3:9" hidden="1">
      <c r="C6" s="51" t="s">
        <v>38</v>
      </c>
      <c r="D6" s="339">
        <f>GETPIVOTDATA("dato",'[1]tabla dinámica EM'!$A$58,"categoría","Hoteleros","mes",12,"año",2010)</f>
        <v>0</v>
      </c>
      <c r="E6" s="339"/>
      <c r="F6" s="339">
        <f>GETPIVOTDATA("dato",'[1]tabla dinámica EM'!$A$58,"categoría","TOTAL","mes",12,"año",2010)</f>
        <v>0</v>
      </c>
      <c r="G6" s="339">
        <f>GETPIVOTDATA("Suma de TOTAL HOTELERO",'[1]tabla dinámica EM men'!$A$4,"MES","12","AÑO",2010)</f>
        <v>0</v>
      </c>
      <c r="H6" s="339">
        <f>GETPIVOTDATA("Suma de extrahoteleros",'[1]tabla dinámica EM men'!$A$4,"MES","12","AÑO",2010)</f>
        <v>0</v>
      </c>
      <c r="I6" s="339">
        <f>GETPIVOTDATA("Suma de TOTAL general",'[1]tabla dinámica EM men'!$A$4,"MES","12","AÑO",2010)</f>
        <v>0</v>
      </c>
    </row>
    <row r="7" spans="3:9" hidden="1">
      <c r="C7" s="51" t="s">
        <v>39</v>
      </c>
      <c r="D7" s="339">
        <f>GETPIVOTDATA("dato",'[1]tabla dinámica EM'!$A$58,"categoría","Hoteleros","mes",11,"año",2010)</f>
        <v>0</v>
      </c>
      <c r="E7" s="339"/>
      <c r="F7" s="339">
        <f>GETPIVOTDATA("dato",'[1]tabla dinámica EM'!$A$58,"categoría","TOTAL","mes",11,"año",2010)</f>
        <v>0</v>
      </c>
      <c r="G7" s="339">
        <f>GETPIVOTDATA("Suma de TOTAL HOTELERO",'[1]tabla dinámica EM men'!$A$4,"MES","11","AÑO",2010)</f>
        <v>0</v>
      </c>
      <c r="H7" s="339">
        <f>GETPIVOTDATA("Suma de extrahoteleros",'[1]tabla dinámica EM men'!$A$4,"MES","11","AÑO",2010)</f>
        <v>0</v>
      </c>
      <c r="I7" s="339">
        <f>GETPIVOTDATA("Suma de TOTAL general",'[1]tabla dinámica EM men'!$A$4,"MES","11","AÑO",2010)</f>
        <v>0</v>
      </c>
    </row>
    <row r="8" spans="3:9" hidden="1">
      <c r="C8" s="51" t="s">
        <v>40</v>
      </c>
      <c r="D8" s="339">
        <f>GETPIVOTDATA("dato",'[1]tabla dinámica EM'!$A$58,"categoría","Hoteleros","mes",10,"año",2010)</f>
        <v>0</v>
      </c>
      <c r="E8" s="339"/>
      <c r="F8" s="339">
        <f>GETPIVOTDATA("dato",'[1]tabla dinámica EM'!$A$58,"categoría","TOTAL","mes",10,"año",2010)</f>
        <v>0</v>
      </c>
      <c r="G8" s="339">
        <f>GETPIVOTDATA("Suma de TOTAL HOTELERO",'[1]tabla dinámica EM men'!$A$4,"MES","10","AÑO",2010)</f>
        <v>0</v>
      </c>
      <c r="H8" s="339">
        <f>GETPIVOTDATA("Suma de extrahoteleros",'[1]tabla dinámica EM men'!$A$4,"MES","10","AÑO",2010)</f>
        <v>0</v>
      </c>
      <c r="I8" s="339">
        <f>GETPIVOTDATA("Suma de TOTAL general",'[1]tabla dinámica EM men'!$A$4,"MES","10","AÑO",2010)</f>
        <v>0</v>
      </c>
    </row>
    <row r="9" spans="3:9" hidden="1">
      <c r="C9" s="51" t="s">
        <v>41</v>
      </c>
      <c r="D9" s="339">
        <f>GETPIVOTDATA("dato",'[1]tabla dinámica EM'!$A$58,"categoría","Hoteleros","mes",9,"año",2010)</f>
        <v>0</v>
      </c>
      <c r="E9" s="339"/>
      <c r="F9" s="339">
        <f>GETPIVOTDATA("dato",'[1]tabla dinámica EM'!$A$58,"categoría","TOTAL","mes",9,"año",2010)</f>
        <v>0</v>
      </c>
      <c r="G9" s="339">
        <f>GETPIVOTDATA("Suma de TOTAL HOTELERO",'[1]tabla dinámica EM men'!$A$4,"MES","9","AÑO",2010)</f>
        <v>0</v>
      </c>
      <c r="H9" s="339">
        <f>GETPIVOTDATA("Suma de extrahoteleros",'[1]tabla dinámica EM men'!$A$4,"MES","9","AÑO",2010)</f>
        <v>0</v>
      </c>
      <c r="I9" s="339">
        <f>GETPIVOTDATA("Suma de TOTAL general",'[1]tabla dinámica EM men'!$A$4,"MES","9","AÑO",2010)</f>
        <v>0</v>
      </c>
    </row>
    <row r="10" spans="3:9" hidden="1">
      <c r="C10" s="51" t="s">
        <v>42</v>
      </c>
      <c r="D10" s="339">
        <f>GETPIVOTDATA("dato",'[1]tabla dinámica EM'!$A$58,"categoría","Hoteleros","mes",8,"año",2010)</f>
        <v>0</v>
      </c>
      <c r="E10" s="339"/>
      <c r="F10" s="339">
        <f>GETPIVOTDATA("dato",'[1]tabla dinámica EM'!$A$58,"categoría","TOTAL","mes",8,"año",2010)</f>
        <v>0</v>
      </c>
      <c r="G10" s="339">
        <f>GETPIVOTDATA("Suma de TOTAL HOTELERO",'[1]tabla dinámica EM men'!$A$4,"MES","8","AÑO",2010)</f>
        <v>0</v>
      </c>
      <c r="H10" s="339">
        <f>GETPIVOTDATA("Suma de extrahoteleros",'[1]tabla dinámica EM men'!$A$4,"MES","8","AÑO",2010)</f>
        <v>0</v>
      </c>
      <c r="I10" s="339">
        <f>GETPIVOTDATA("Suma de TOTAL general",'[1]tabla dinámica EM men'!$A$4,"MES","8","AÑO",2010)</f>
        <v>0</v>
      </c>
    </row>
    <row r="11" spans="3:9">
      <c r="C11" s="51" t="s">
        <v>43</v>
      </c>
      <c r="D11" s="339">
        <f>GETPIVOTDATA("dato",'[1]tabla dinámica EM'!$A$58,"categoría","Hoteleros","mes",7,"año",2010)</f>
        <v>2.16</v>
      </c>
      <c r="E11" s="339"/>
      <c r="F11" s="339">
        <f>GETPIVOTDATA("dato",'[1]tabla dinámica EM'!$A$58,"categoría","TOTAL","mes",7,"año",2010)</f>
        <v>2.16</v>
      </c>
      <c r="G11" s="339">
        <f>GETPIVOTDATA("Suma de TOTAL HOTELERO",'[1]tabla dinámica EM men'!$A$4,"MES","7","AÑO",2010)</f>
        <v>6.9889456488111854</v>
      </c>
      <c r="H11" s="339">
        <f>GETPIVOTDATA("Suma de extrahoteleros",'[1]tabla dinámica EM men'!$A$4,"MES","7","AÑO",2010)</f>
        <v>7.5239870035713325</v>
      </c>
      <c r="I11" s="339">
        <f>GETPIVOTDATA("Suma de TOTAL general",'[1]tabla dinámica EM men'!$A$4,"MES","7","AÑO",2010)</f>
        <v>7.2097221329657692</v>
      </c>
    </row>
    <row r="12" spans="3:9">
      <c r="C12" s="51" t="s">
        <v>44</v>
      </c>
      <c r="D12" s="339">
        <f>GETPIVOTDATA("dato",'[1]tabla dinámica EM'!$A$58,"categoría","Hoteleros","mes",6,"año",2010)</f>
        <v>2.0601640119854912</v>
      </c>
      <c r="E12" s="339"/>
      <c r="F12" s="339">
        <f>GETPIVOTDATA("dato",'[1]tabla dinámica EM'!$A$58,"categoría","TOTAL","mes",6,"año",2010)</f>
        <v>2.0601640119854912</v>
      </c>
      <c r="G12" s="339">
        <f>GETPIVOTDATA("Suma de TOTAL HOTELERO",'[1]tabla dinámica EM men'!$A$4,"MES","6","AÑO",2010)</f>
        <v>6.7755757993181804</v>
      </c>
      <c r="H12" s="339">
        <f>GETPIVOTDATA("Suma de extrahoteleros",'[1]tabla dinámica EM men'!$A$4,"MES","6","AÑO",2010)</f>
        <v>7.6140606565341109</v>
      </c>
      <c r="I12" s="339">
        <f>GETPIVOTDATA("Suma de TOTAL general",'[1]tabla dinámica EM men'!$A$4,"MES","6","AÑO",2010)</f>
        <v>7.0978041995716685</v>
      </c>
    </row>
    <row r="13" spans="3:9">
      <c r="C13" s="51" t="s">
        <v>45</v>
      </c>
      <c r="D13" s="339">
        <f>GETPIVOTDATA("dato",'[1]tabla dinámica EM'!$A$58,"categoría","Hoteleros","mes",5,"año",2010)</f>
        <v>2.0404610300636739</v>
      </c>
      <c r="E13" s="339"/>
      <c r="F13" s="339">
        <f>GETPIVOTDATA("dato",'[1]tabla dinámica EM'!$A$58,"categoría","TOTAL","mes",5,"año",2010)</f>
        <v>2.0404610300636739</v>
      </c>
      <c r="G13" s="339">
        <f>GETPIVOTDATA("Suma de TOTAL HOTELERO",'[1]tabla dinámica EM men'!$A$4,"MES","5","AÑO",2010)</f>
        <v>6.3933373048356614</v>
      </c>
      <c r="H13" s="339">
        <f>GETPIVOTDATA("Suma de extrahoteleros",'[1]tabla dinámica EM men'!$A$4,"MES","5","AÑO",2010)</f>
        <v>7.5554122905726429</v>
      </c>
      <c r="I13" s="339">
        <f>GETPIVOTDATA("Suma de TOTAL general",'[1]tabla dinámica EM men'!$A$4,"MES","5","AÑO",2010)</f>
        <v>6.8049333373927823</v>
      </c>
    </row>
    <row r="14" spans="3:9">
      <c r="C14" s="51" t="s">
        <v>46</v>
      </c>
      <c r="D14" s="339">
        <f>GETPIVOTDATA("dato",'[1]tabla dinámica EM'!$A$58,"categoría","Hoteleros","mes",4,"año",2010)</f>
        <v>2.1873759430000002</v>
      </c>
      <c r="E14" s="339"/>
      <c r="F14" s="339">
        <f>GETPIVOTDATA("dato",'[1]tabla dinámica EM'!$A$58,"categoría","TOTAL","mes",4,"año",2010)</f>
        <v>2.1873759430000002</v>
      </c>
      <c r="G14" s="339">
        <f>GETPIVOTDATA("Suma de TOTAL HOTELERO",'[1]tabla dinámica EM men'!$A$4,"MES","4","AÑO",2010)</f>
        <v>6.0891362105718434</v>
      </c>
      <c r="H14" s="339">
        <f>GETPIVOTDATA("Suma de extrahoteleros",'[1]tabla dinámica EM men'!$A$4,"MES","4","AÑO",2010)</f>
        <v>6.8940872998893621</v>
      </c>
      <c r="I14" s="339">
        <f>GETPIVOTDATA("Suma de TOTAL general",'[1]tabla dinámica EM men'!$A$4,"MES","4","AÑO",2010)</f>
        <v>6.4007866543288472</v>
      </c>
    </row>
    <row r="15" spans="3:9">
      <c r="C15" s="51" t="s">
        <v>47</v>
      </c>
      <c r="D15" s="339">
        <f>GETPIVOTDATA("dato",'[1]tabla dinámica EM'!$A$58,"categoría","Hoteleros","mes",3,"año",2010)</f>
        <v>1.9531357211472484</v>
      </c>
      <c r="E15" s="339"/>
      <c r="F15" s="339">
        <f>GETPIVOTDATA("dato",'[1]tabla dinámica EM'!$A$58,"categoría","TOTAL","mes",3,"año",2010)</f>
        <v>1.9531357211472484</v>
      </c>
      <c r="G15" s="339">
        <f>GETPIVOTDATA("Suma de TOTAL HOTELERO",'[1]tabla dinámica EM men'!$A$4,"MES","3","AÑO",2010)</f>
        <v>7.2736123904354244</v>
      </c>
      <c r="H15" s="339">
        <f>GETPIVOTDATA("Suma de extrahoteleros",'[1]tabla dinámica EM men'!$A$4,"MES","3","AÑO",2010)</f>
        <v>8.715186640232556</v>
      </c>
      <c r="I15" s="339">
        <f>GETPIVOTDATA("Suma de TOTAL general",'[1]tabla dinámica EM men'!$A$4,"MES","3","AÑO",2010)</f>
        <v>7.8598306958386193</v>
      </c>
    </row>
    <row r="16" spans="3:9">
      <c r="C16" s="51" t="s">
        <v>48</v>
      </c>
      <c r="D16" s="339">
        <f>GETPIVOTDATA("dato",'[1]tabla dinámica EM'!$A$58,"categoría","Hoteleros","mes",2,"año",2010)</f>
        <v>2.0699999999999998</v>
      </c>
      <c r="E16" s="339"/>
      <c r="F16" s="339">
        <f>GETPIVOTDATA("dato",'[1]tabla dinámica EM'!$A$58,"categoría","TOTAL","mes",2,"año",2010)</f>
        <v>2.0699999999999998</v>
      </c>
      <c r="G16" s="339">
        <f>GETPIVOTDATA("Suma de TOTAL HOTELERO",'[1]tabla dinámica EM men'!$A$4,"MES","2","AÑO",2010)</f>
        <v>7.5194609705397459</v>
      </c>
      <c r="H16" s="339">
        <f>GETPIVOTDATA("Suma de extrahoteleros",'[1]tabla dinámica EM men'!$A$4,"MES","2","AÑO",2010)</f>
        <v>9.3704273188866338</v>
      </c>
      <c r="I16" s="339">
        <f>GETPIVOTDATA("Suma de TOTAL general",'[1]tabla dinámica EM men'!$A$4,"MES","2","AÑO",2010)</f>
        <v>8.2523955004370215</v>
      </c>
    </row>
    <row r="17" spans="3:9">
      <c r="C17" s="51" t="s">
        <v>49</v>
      </c>
      <c r="D17" s="339">
        <f>GETPIVOTDATA("dato",'[1]tabla dinámica EM'!$A$58,"categoría","Hoteleros","mes",1,"año",2010)</f>
        <v>2.17</v>
      </c>
      <c r="E17" s="339"/>
      <c r="F17" s="339">
        <f>GETPIVOTDATA("dato",'[1]tabla dinámica EM'!$A$58,"categoría","TOTAL","mes",1,"año",2010)</f>
        <v>2.17</v>
      </c>
      <c r="G17" s="339">
        <f>GETPIVOTDATA("Suma de TOTAL HOTELERO",'[1]tabla dinámica EM men'!$A$4,"MES","1","AÑO",2010)</f>
        <v>7.8959368115250976</v>
      </c>
      <c r="H17" s="339">
        <f>GETPIVOTDATA("Suma de extrahoteleros",'[1]tabla dinámica EM men'!$A$4,"MES","1","AÑO",2010)</f>
        <v>9.2412418132785419</v>
      </c>
      <c r="I17" s="339">
        <f>GETPIVOTDATA("Suma de TOTAL general",'[1]tabla dinámica EM men'!$A$4,"MES","1","AÑO",2010)</f>
        <v>8.4440726564932227</v>
      </c>
    </row>
    <row r="18" spans="3:9" ht="30">
      <c r="C18" s="69" t="s">
        <v>55</v>
      </c>
      <c r="D18" s="387">
        <f>'[1]tabla dinámica municipios'!$T$379</f>
        <v>2.0865799000172385</v>
      </c>
      <c r="E18" s="387"/>
      <c r="F18" s="387">
        <f>'[1]tabla dinámica municipios'!$U$379</f>
        <v>2.0865799000172385</v>
      </c>
      <c r="G18" s="340">
        <f>GETPIVOTDATA("Suma de TOTAL HOTELERO",'[1]tabla dinámica EM men'!$A$262,"MES","6","AÑO",2010)</f>
        <v>6.9683565807411521</v>
      </c>
      <c r="H18" s="340">
        <f>GETPIVOTDATA("Suma de extrahoteleros",'[1]tabla dinámica EM men'!$A$262,"MES","6","AÑO",2010)</f>
        <v>8.2416655582158374</v>
      </c>
      <c r="I18" s="340">
        <f>GETPIVOTDATA("Suma de TOTAL general",'[1]tabla dinámica EM men'!$A$262,"MES","6","AÑO",2010)</f>
        <v>7.464581711616832</v>
      </c>
    </row>
    <row r="19" spans="3:9" hidden="1" outlineLevel="1">
      <c r="C19" s="51" t="s">
        <v>38</v>
      </c>
      <c r="D19" s="339">
        <f>GETPIVOTDATA("dato",'[1]tabla dinámica EM'!$A$58,"categoría","Hoteleros","mes",12,"año",2009)</f>
        <v>2.7568393703194252</v>
      </c>
      <c r="E19" s="339"/>
      <c r="F19" s="339">
        <f>GETPIVOTDATA("dato",'[1]tabla dinámica EM'!$A$58,"categoría","TOTAL","mes",12,"año",2009)</f>
        <v>2.7568393703194252</v>
      </c>
      <c r="G19" s="339">
        <f>GETPIVOTDATA("Suma de TOTAL HOTELERO",'[1]tabla dinámica EM men'!$A$4,"MES","12","AÑO",2009)</f>
        <v>7.2901726544966161</v>
      </c>
      <c r="H19" s="339">
        <f>GETPIVOTDATA("Suma de extrahoteleros",'[1]tabla dinámica EM men'!$A$4,"MES","12","AÑO",2009)</f>
        <v>8.8860925348156901</v>
      </c>
      <c r="I19" s="339">
        <f>GETPIVOTDATA("Suma de TOTAL general",'[1]tabla dinámica EM men'!$A$4,"MES","12","AÑO",2009)</f>
        <v>7.9367702362837926</v>
      </c>
    </row>
    <row r="20" spans="3:9" hidden="1" outlineLevel="1">
      <c r="C20" s="51" t="s">
        <v>39</v>
      </c>
      <c r="D20" s="339">
        <f>GETPIVOTDATA("dato",'[1]tabla dinámica EM'!$A$58,"categoría","Hoteleros","mes",11,"año",2009)</f>
        <v>1.9802716225875625</v>
      </c>
      <c r="E20" s="339"/>
      <c r="F20" s="339">
        <f>GETPIVOTDATA("dato",'[1]tabla dinámica EM'!$A$58,"categoría","TOTAL","mes",11,"año",2009)</f>
        <v>1.9802716225875625</v>
      </c>
      <c r="G20" s="339">
        <f>GETPIVOTDATA("Suma de TOTAL HOTELERO",'[1]tabla dinámica EM men'!$A$4,"MES","11","AÑO",2009)</f>
        <v>7.4100813325756496</v>
      </c>
      <c r="H20" s="339">
        <f>GETPIVOTDATA("Suma de extrahoteleros",'[1]tabla dinámica EM men'!$A$4,"MES","11","AÑO",2009)</f>
        <v>9.0653683966319587</v>
      </c>
      <c r="I20" s="339">
        <f>GETPIVOTDATA("Suma de TOTAL general",'[1]tabla dinámica EM men'!$A$4,"MES","11","AÑO",2009)</f>
        <v>8.0625494214662652</v>
      </c>
    </row>
    <row r="21" spans="3:9" hidden="1" outlineLevel="1">
      <c r="C21" s="51" t="s">
        <v>40</v>
      </c>
      <c r="D21" s="339">
        <f>GETPIVOTDATA("dato",'[1]tabla dinámica EM'!$A$58,"categoría","Hoteleros","mes",10,"año",2009)</f>
        <v>2.2616909985166678</v>
      </c>
      <c r="E21" s="339"/>
      <c r="F21" s="339">
        <f>GETPIVOTDATA("dato",'[1]tabla dinámica EM'!$A$58,"categoría","TOTAL","mes",10,"año",2009)</f>
        <v>2.2616909985166678</v>
      </c>
      <c r="G21" s="339">
        <f>GETPIVOTDATA("Suma de TOTAL HOTELERO",'[1]tabla dinámica EM men'!$A$4,"MES","10","AÑO",2009)</f>
        <v>6.7678373582799498</v>
      </c>
      <c r="H21" s="339">
        <f>GETPIVOTDATA("Suma de extrahoteleros",'[1]tabla dinámica EM men'!$A$4,"MES","10","AÑO",2009)</f>
        <v>7.6013957581090512</v>
      </c>
      <c r="I21" s="339">
        <f>GETPIVOTDATA("Suma de TOTAL general",'[1]tabla dinámica EM men'!$A$4,"MES","10","AÑO",2009)</f>
        <v>7.1071007802485235</v>
      </c>
    </row>
    <row r="22" spans="3:9" hidden="1" outlineLevel="1">
      <c r="C22" s="51" t="s">
        <v>41</v>
      </c>
      <c r="D22" s="339">
        <f>GETPIVOTDATA("dato",'[1]tabla dinámica EM'!$A$58,"categoría","Hoteleros","mes",9,"año",2009)</f>
        <v>2.33</v>
      </c>
      <c r="E22" s="339"/>
      <c r="F22" s="339">
        <f>GETPIVOTDATA("dato",'[1]tabla dinámica EM'!$A$58,"categoría","TOTAL","mes",9,"año",2009)</f>
        <v>2.33</v>
      </c>
      <c r="G22" s="339">
        <f>GETPIVOTDATA("Suma de TOTAL HOTELERO",'[1]tabla dinámica EM men'!$A$4,"MES","9","AÑO",2009)</f>
        <v>7.3129138453480973</v>
      </c>
      <c r="H22" s="339">
        <f>GETPIVOTDATA("Suma de extrahoteleros",'[1]tabla dinámica EM men'!$A$4,"MES","9","AÑO",2009)</f>
        <v>8.21835772195546</v>
      </c>
      <c r="I22" s="339">
        <f>GETPIVOTDATA("Suma de TOTAL general",'[1]tabla dinámica EM men'!$A$4,"MES","9","AÑO",2009)</f>
        <v>7.6717182268346251</v>
      </c>
    </row>
    <row r="23" spans="3:9" hidden="1" outlineLevel="1">
      <c r="C23" s="51" t="s">
        <v>42</v>
      </c>
      <c r="D23" s="339">
        <f>GETPIVOTDATA("dato",'[1]tabla dinámica EM'!$A$58,"categoría","Hoteleros","mes",8,"año",2009)</f>
        <v>2.75</v>
      </c>
      <c r="E23" s="339"/>
      <c r="F23" s="339">
        <f>GETPIVOTDATA("dato",'[1]tabla dinámica EM'!$A$58,"categoría","TOTAL","mes",8,"año",2009)</f>
        <v>2.75</v>
      </c>
      <c r="G23" s="339">
        <f>GETPIVOTDATA("Suma de TOTAL HOTELERO",'[1]tabla dinámica EM men'!$A$4,"MES","8","AÑO",2009)</f>
        <v>7.2287011612502132</v>
      </c>
      <c r="H23" s="339">
        <f>GETPIVOTDATA("Suma de extrahoteleros",'[1]tabla dinámica EM men'!$A$4,"MES","8","AÑO",2009)</f>
        <v>8.1824950899997972</v>
      </c>
      <c r="I23" s="339">
        <f>GETPIVOTDATA("Suma de TOTAL general",'[1]tabla dinámica EM men'!$A$4,"MES","8","AÑO",2009)</f>
        <v>7.6315121146174931</v>
      </c>
    </row>
    <row r="24" spans="3:9" hidden="1" outlineLevel="1">
      <c r="C24" s="51" t="s">
        <v>43</v>
      </c>
      <c r="D24" s="339">
        <f>GETPIVOTDATA("dato",'[1]tabla dinámica EM'!$A$58,"categoría","Hoteleros","mes",7,"año",2009)</f>
        <v>2.29</v>
      </c>
      <c r="E24" s="339"/>
      <c r="F24" s="339">
        <f>GETPIVOTDATA("dato",'[1]tabla dinámica EM'!$A$58,"categoría","TOTAL","mes",7,"año",2009)</f>
        <v>2.29</v>
      </c>
      <c r="G24" s="339">
        <f>GETPIVOTDATA("Suma de TOTAL HOTELERO",'[1]tabla dinámica EM men'!$A$4,"MES","7","AÑO",2009)</f>
        <v>7.023464693330201</v>
      </c>
      <c r="H24" s="339">
        <f>GETPIVOTDATA("Suma de extrahoteleros",'[1]tabla dinámica EM men'!$A$4,"MES","7","AÑO",2009)</f>
        <v>7.7482241736114998</v>
      </c>
      <c r="I24" s="339">
        <f>GETPIVOTDATA("Suma de TOTAL general",'[1]tabla dinámica EM men'!$A$4,"MES","7","AÑO",2009)</f>
        <v>7.3219014498094177</v>
      </c>
    </row>
    <row r="25" spans="3:9" hidden="1" outlineLevel="1">
      <c r="C25" s="51" t="s">
        <v>44</v>
      </c>
      <c r="D25" s="339">
        <f>GETPIVOTDATA("dato",'[1]tabla dinámica EM'!$A$58,"categoría","Hoteleros","mes",6,"año",2009)</f>
        <v>2.2040784313725492</v>
      </c>
      <c r="E25" s="339"/>
      <c r="F25" s="339">
        <f>GETPIVOTDATA("dato",'[1]tabla dinámica EM'!$A$58,"categoría","TOTAL","mes",6,"año",2009)</f>
        <v>2.2040784313725492</v>
      </c>
      <c r="G25" s="339">
        <f>GETPIVOTDATA("Suma de TOTAL HOTELERO",'[1]tabla dinámica EM men'!$A$4,"MES","6","AÑO",2009)</f>
        <v>6.9611211192475961</v>
      </c>
      <c r="H25" s="339">
        <f>GETPIVOTDATA("Suma de extrahoteleros",'[1]tabla dinámica EM men'!$A$4,"MES","6","AÑO",2009)</f>
        <v>7.9395341662810424</v>
      </c>
      <c r="I25" s="339">
        <f>GETPIVOTDATA("Suma de TOTAL general",'[1]tabla dinámica EM men'!$A$4,"MES","6","AÑO",2009)</f>
        <v>7.3418586969570514</v>
      </c>
    </row>
    <row r="26" spans="3:9" hidden="1" outlineLevel="1">
      <c r="C26" s="51" t="s">
        <v>45</v>
      </c>
      <c r="D26" s="339">
        <f>GETPIVOTDATA("dato",'[1]tabla dinámica EM'!$A$58,"categoría","Hoteleros","mes",5,"año",2009)</f>
        <v>2.2400000000000002</v>
      </c>
      <c r="E26" s="339"/>
      <c r="F26" s="339">
        <f>GETPIVOTDATA("dato",'[1]tabla dinámica EM'!$A$58,"categoría","TOTAL","mes",5,"año",2009)</f>
        <v>2.2400000000000002</v>
      </c>
      <c r="G26" s="339">
        <f>GETPIVOTDATA("Suma de TOTAL HOTELERO",'[1]tabla dinámica EM men'!$A$4,"MES","5","AÑO",2009)</f>
        <v>6.5399425181473161</v>
      </c>
      <c r="H26" s="339">
        <f>GETPIVOTDATA("Suma de extrahoteleros",'[1]tabla dinámica EM men'!$A$4,"MES","5","AÑO",2009)</f>
        <v>7.5326660709861013</v>
      </c>
      <c r="I26" s="339">
        <f>GETPIVOTDATA("Suma de TOTAL general",'[1]tabla dinámica EM men'!$A$4,"MES","5","AÑO",2009)</f>
        <v>6.9173748833119699</v>
      </c>
    </row>
    <row r="27" spans="3:9" hidden="1" outlineLevel="1">
      <c r="C27" s="51" t="s">
        <v>46</v>
      </c>
      <c r="D27" s="339">
        <f>GETPIVOTDATA("dato",'[1]tabla dinámica EM'!$A$58,"categoría","Hoteleros","mes",4,"año",2009)</f>
        <v>2.2799999999999998</v>
      </c>
      <c r="E27" s="339"/>
      <c r="F27" s="339">
        <f>GETPIVOTDATA("dato",'[1]tabla dinámica EM'!$A$58,"categoría","TOTAL","mes",4,"año",2009)</f>
        <v>2.2799999999999998</v>
      </c>
      <c r="G27" s="339">
        <f>GETPIVOTDATA("Suma de TOTAL HOTELERO",'[1]tabla dinámica EM men'!$A$4,"MES","4","AÑO",2009)</f>
        <v>6.5143796479969653</v>
      </c>
      <c r="H27" s="339">
        <f>GETPIVOTDATA("Suma de extrahoteleros",'[1]tabla dinámica EM men'!$A$4,"MES","4","AÑO",2009)</f>
        <v>7.6792711835707896</v>
      </c>
      <c r="I27" s="339">
        <f>GETPIVOTDATA("Suma de TOTAL general",'[1]tabla dinámica EM men'!$A$4,"MES","4","AÑO",2009)</f>
        <v>6.9747460746122414</v>
      </c>
    </row>
    <row r="28" spans="3:9" hidden="1" outlineLevel="1">
      <c r="C28" s="51" t="s">
        <v>47</v>
      </c>
      <c r="D28" s="339">
        <f>GETPIVOTDATA("dato",'[1]tabla dinámica EM'!$A$58,"categoría","Hoteleros","mes",3,"año",2009)</f>
        <v>2.34</v>
      </c>
      <c r="E28" s="339"/>
      <c r="F28" s="339">
        <f>GETPIVOTDATA("dato",'[1]tabla dinámica EM'!$A$58,"categoría","TOTAL","mes",3,"año",2009)</f>
        <v>2.34</v>
      </c>
      <c r="G28" s="339">
        <f>GETPIVOTDATA("Suma de TOTAL HOTELERO",'[1]tabla dinámica EM men'!$A$4,"MES","3","AÑO",2009)</f>
        <v>7.5082973758652605</v>
      </c>
      <c r="H28" s="339">
        <f>GETPIVOTDATA("Suma de extrahoteleros",'[1]tabla dinámica EM men'!$A$4,"MES","3","AÑO",2009)</f>
        <v>8.683283623693379</v>
      </c>
      <c r="I28" s="339">
        <f>GETPIVOTDATA("Suma de TOTAL general",'[1]tabla dinámica EM men'!$A$4,"MES","3","AÑO",2009)</f>
        <v>8.0229714682008648</v>
      </c>
    </row>
    <row r="29" spans="3:9" hidden="1" outlineLevel="1">
      <c r="C29" s="51" t="s">
        <v>48</v>
      </c>
      <c r="D29" s="339">
        <f>GETPIVOTDATA("dato",'[1]tabla dinámica EM'!$A$58,"categoría","Hoteleros","mes",2,"año",2009)</f>
        <v>2.59</v>
      </c>
      <c r="E29" s="339"/>
      <c r="F29" s="339">
        <f>GETPIVOTDATA("dato",'[1]tabla dinámica EM'!$A$58,"categoría","TOTAL","mes",2,"año",2009)</f>
        <v>2.59</v>
      </c>
      <c r="G29" s="339">
        <f>GETPIVOTDATA("Suma de TOTAL HOTELERO",'[1]tabla dinámica EM men'!$A$4,"MES","2","AÑO",2009)</f>
        <v>7.3909330093314338</v>
      </c>
      <c r="H29" s="339">
        <f>GETPIVOTDATA("Suma de extrahoteleros",'[1]tabla dinámica EM men'!$A$4,"MES","2","AÑO",2009)</f>
        <v>9.2279442228612059</v>
      </c>
      <c r="I29" s="339">
        <f>GETPIVOTDATA("Suma de TOTAL general",'[1]tabla dinámica EM men'!$A$4,"MES","2","AÑO",2009)</f>
        <v>8.1613846082026651</v>
      </c>
    </row>
    <row r="30" spans="3:9" hidden="1" outlineLevel="1">
      <c r="C30" s="51" t="s">
        <v>49</v>
      </c>
      <c r="D30" s="339">
        <f>GETPIVOTDATA("dato",'[1]tabla dinámica EM'!$A$58,"categoría","Hoteleros","mes",1,"año",2009)</f>
        <v>2.4300000000000002</v>
      </c>
      <c r="E30" s="339"/>
      <c r="F30" s="339">
        <f>GETPIVOTDATA("dato",'[1]tabla dinámica EM'!$A$58,"categoría","TOTAL","mes",1,"año",2009)</f>
        <v>2.4300000000000002</v>
      </c>
      <c r="G30" s="339">
        <f>GETPIVOTDATA("Suma de TOTAL HOTELERO",'[1]tabla dinámica EM men'!$A$4,"MES","1","AÑO",2009)</f>
        <v>8.6229990306885878</v>
      </c>
      <c r="H30" s="339">
        <f>GETPIVOTDATA("Suma de extrahoteleros",'[1]tabla dinámica EM men'!$A$4,"MES","1","AÑO",2009)</f>
        <v>9.440466565204984</v>
      </c>
      <c r="I30" s="339">
        <f>GETPIVOTDATA("Suma de TOTAL general",'[1]tabla dinámica EM men'!$A$4,"MES","1","AÑO",2009)</f>
        <v>8.9841593780369298</v>
      </c>
    </row>
    <row r="31" spans="3:9" collapsed="1">
      <c r="C31" s="56">
        <v>2009</v>
      </c>
      <c r="D31" s="342">
        <f>'[1]tabla dinámica EM'!E334</f>
        <v>2.3595512168578701</v>
      </c>
      <c r="E31" s="342"/>
      <c r="F31" s="342">
        <f>'[1]tabla dinámica EM'!E347</f>
        <v>2.3595512168578701</v>
      </c>
      <c r="G31" s="342">
        <f>GETPIVOTDATA("Suma de TOTAL HOTELERO",'[1]tabla dinámica EM men'!$A$262,"MES","12","AÑO",2009)</f>
        <v>7.1996530024705416</v>
      </c>
      <c r="H31" s="342">
        <f>GETPIVOTDATA("Suma de extrahoteleros",'[1]tabla dinámica EM men'!$A$262,"MES","12","AÑO",2009)</f>
        <v>8.3575297761506295</v>
      </c>
      <c r="I31" s="342">
        <f>GETPIVOTDATA("Suma de TOTAL general",'[1]tabla dinámica EM men'!$A$262,"MES","12","AÑO",2009)</f>
        <v>7.6734024642602394</v>
      </c>
    </row>
    <row r="32" spans="3:9" hidden="1" outlineLevel="1">
      <c r="C32" s="51" t="s">
        <v>38</v>
      </c>
      <c r="D32" s="339">
        <f>GETPIVOTDATA("dato",'[1]tabla dinámica EM'!$A$58,"categoría","Hoteleros","mes",12,"año",2008)</f>
        <v>2.37</v>
      </c>
      <c r="E32" s="339"/>
      <c r="F32" s="339">
        <f>GETPIVOTDATA("dato",'[1]tabla dinámica EM'!$A$58,"categoría","TOTAL","mes",12,"año",2008)</f>
        <v>2.37</v>
      </c>
      <c r="G32" s="339">
        <f>GETPIVOTDATA("Suma de TOTAL HOTELERO",'[1]tabla dinámica EM men'!$A$4,"MES","12","AÑO",2008)</f>
        <v>7.6342594371645598</v>
      </c>
      <c r="H32" s="339">
        <f>GETPIVOTDATA("Suma de extrahoteleros",'[1]tabla dinámica EM men'!$A$4,"MES","12","AÑO",2008)</f>
        <v>8.9204981931407534</v>
      </c>
      <c r="I32" s="339">
        <f>GETPIVOTDATA("Suma de TOTAL general",'[1]tabla dinámica EM men'!$A$4,"MES","12","AÑO",2008)</f>
        <v>8.1861151673683512</v>
      </c>
    </row>
    <row r="33" spans="3:9" hidden="1" outlineLevel="1">
      <c r="C33" s="51" t="s">
        <v>39</v>
      </c>
      <c r="D33" s="339">
        <f>GETPIVOTDATA("dato",'[1]tabla dinámica EM'!$A$58,"categoría","Hoteleros","mes",11,"año",2008)</f>
        <v>2.38</v>
      </c>
      <c r="E33" s="339"/>
      <c r="F33" s="339">
        <f>GETPIVOTDATA("dato",'[1]tabla dinámica EM'!$A$58,"categoría","TOTAL","mes",11,"año",2008)</f>
        <v>2.38</v>
      </c>
      <c r="G33" s="339">
        <f>GETPIVOTDATA("Suma de TOTAL HOTELERO",'[1]tabla dinámica EM men'!$A$4,"MES","11","AÑO",2008)</f>
        <v>7.3524945726053526</v>
      </c>
      <c r="H33" s="339">
        <f>GETPIVOTDATA("Suma de extrahoteleros",'[1]tabla dinámica EM men'!$A$4,"MES","11","AÑO",2008)</f>
        <v>8.580988100698848</v>
      </c>
      <c r="I33" s="339">
        <f>GETPIVOTDATA("Suma de TOTAL general",'[1]tabla dinámica EM men'!$A$4,"MES","11","AÑO",2008)</f>
        <v>7.879770232084125</v>
      </c>
    </row>
    <row r="34" spans="3:9" hidden="1" outlineLevel="1">
      <c r="C34" s="51" t="s">
        <v>40</v>
      </c>
      <c r="D34" s="339">
        <f>GETPIVOTDATA("dato",'[1]tabla dinámica EM'!$A$58,"categoría","Hoteleros","mes",10,"año",2008)</f>
        <v>2.2999999999999998</v>
      </c>
      <c r="E34" s="339"/>
      <c r="F34" s="339">
        <f>GETPIVOTDATA("dato",'[1]tabla dinámica EM'!$A$58,"categoría","TOTAL","mes",10,"año",2008)</f>
        <v>2.2999999999999998</v>
      </c>
      <c r="G34" s="339">
        <f>GETPIVOTDATA("Suma de TOTAL HOTELERO",'[1]tabla dinámica EM men'!$A$4,"MES","10","AÑO",2008)</f>
        <v>7.1015285705422508</v>
      </c>
      <c r="H34" s="339">
        <f>GETPIVOTDATA("Suma de extrahoteleros",'[1]tabla dinámica EM men'!$A$4,"MES","10","AÑO",2008)</f>
        <v>7.9351847322103177</v>
      </c>
      <c r="I34" s="339">
        <f>GETPIVOTDATA("Suma de TOTAL general",'[1]tabla dinámica EM men'!$A$4,"MES","10","AÑO",2008)</f>
        <v>7.4486247813206532</v>
      </c>
    </row>
    <row r="35" spans="3:9" hidden="1" outlineLevel="1">
      <c r="C35" s="51" t="s">
        <v>41</v>
      </c>
      <c r="D35" s="339">
        <f>GETPIVOTDATA("dato",'[1]tabla dinámica EM'!$A$58,"categoría","Hoteleros","mes",9,"año",2008)</f>
        <v>2.2599999999999998</v>
      </c>
      <c r="E35" s="339"/>
      <c r="F35" s="339">
        <f>GETPIVOTDATA("dato",'[1]tabla dinámica EM'!$A$58,"categoría","TOTAL","mes",9,"año",2008)</f>
        <v>2.2599999999999998</v>
      </c>
      <c r="G35" s="339">
        <f>GETPIVOTDATA("Suma de TOTAL HOTELERO",'[1]tabla dinámica EM men'!$A$4,"MES","9","AÑO",2008)</f>
        <v>7.40442648399166</v>
      </c>
      <c r="H35" s="339">
        <f>GETPIVOTDATA("Suma de extrahoteleros",'[1]tabla dinámica EM men'!$A$4,"MES","9","AÑO",2008)</f>
        <v>8.6590105773176766</v>
      </c>
      <c r="I35" s="339">
        <f>GETPIVOTDATA("Suma de TOTAL general",'[1]tabla dinámica EM men'!$A$4,"MES","9","AÑO",2008)</f>
        <v>7.8887389838996933</v>
      </c>
    </row>
    <row r="36" spans="3:9" hidden="1" outlineLevel="1">
      <c r="C36" s="51" t="s">
        <v>42</v>
      </c>
      <c r="D36" s="339">
        <f>GETPIVOTDATA("dato",'[1]tabla dinámica EM'!$A$58,"categoría","Hoteleros","mes",8,"año",2008)</f>
        <v>2.59</v>
      </c>
      <c r="E36" s="339"/>
      <c r="F36" s="339">
        <f>GETPIVOTDATA("dato",'[1]tabla dinámica EM'!$A$58,"categoría","TOTAL","mes",8,"año",2008)</f>
        <v>2.59</v>
      </c>
      <c r="G36" s="339">
        <f>GETPIVOTDATA("Suma de TOTAL HOTELERO",'[1]tabla dinámica EM men'!$A$4,"MES","8","AÑO",2008)</f>
        <v>7.3782563859264165</v>
      </c>
      <c r="H36" s="339">
        <f>GETPIVOTDATA("Suma de extrahoteleros",'[1]tabla dinámica EM men'!$A$4,"MES","8","AÑO",2008)</f>
        <v>8.3994768802081961</v>
      </c>
      <c r="I36" s="339">
        <f>GETPIVOTDATA("Suma de TOTAL general",'[1]tabla dinámica EM men'!$A$4,"MES","8","AÑO",2008)</f>
        <v>7.8165881545419502</v>
      </c>
    </row>
    <row r="37" spans="3:9" hidden="1" outlineLevel="1">
      <c r="C37" s="51" t="s">
        <v>43</v>
      </c>
      <c r="D37" s="339">
        <f>GETPIVOTDATA("dato",'[1]tabla dinámica EM'!$A$58,"categoría","Hoteleros","mes",7,"año",2008)</f>
        <v>2.59</v>
      </c>
      <c r="E37" s="339"/>
      <c r="F37" s="339">
        <f>GETPIVOTDATA("dato",'[1]tabla dinámica EM'!$A$58,"categoría","TOTAL","mes",7,"año",2008)</f>
        <v>2.59</v>
      </c>
      <c r="G37" s="339">
        <f>GETPIVOTDATA("Suma de TOTAL HOTELERO",'[1]tabla dinámica EM men'!$A$4,"MES","7","AÑO",2008)</f>
        <v>7.6211765640344291</v>
      </c>
      <c r="H37" s="339">
        <f>GETPIVOTDATA("Suma de extrahoteleros",'[1]tabla dinámica EM men'!$A$4,"MES","7","AÑO",2008)</f>
        <v>8.8755700633432877</v>
      </c>
      <c r="I37" s="339">
        <f>GETPIVOTDATA("Suma de TOTAL general",'[1]tabla dinámica EM men'!$A$4,"MES","7","AÑO",2008)</f>
        <v>8.1324292818565844</v>
      </c>
    </row>
    <row r="38" spans="3:9" hidden="1" outlineLevel="1">
      <c r="C38" s="51" t="s">
        <v>44</v>
      </c>
      <c r="D38" s="339">
        <f>GETPIVOTDATA("dato",'[1]tabla dinámica EM'!$A$58,"categoría","Hoteleros","mes",6,"año",2008)</f>
        <v>2.5299999999999998</v>
      </c>
      <c r="E38" s="339"/>
      <c r="F38" s="339">
        <f>GETPIVOTDATA("dato",'[1]tabla dinámica EM'!$A$58,"categoría","TOTAL","mes",6,"año",2008)</f>
        <v>2.5299999999999998</v>
      </c>
      <c r="G38" s="339">
        <f>GETPIVOTDATA("Suma de TOTAL HOTELERO",'[1]tabla dinámica EM men'!$A$4,"MES","6","AÑO",2008)</f>
        <v>7.1130840740438721</v>
      </c>
      <c r="H38" s="339">
        <f>GETPIVOTDATA("Suma de extrahoteleros",'[1]tabla dinámica EM men'!$A$4,"MES","6","AÑO",2008)</f>
        <v>8.5435862850016857</v>
      </c>
      <c r="I38" s="339">
        <f>GETPIVOTDATA("Suma de TOTAL general",'[1]tabla dinámica EM men'!$A$4,"MES","6","AÑO",2008)</f>
        <v>7.6717723038235128</v>
      </c>
    </row>
    <row r="39" spans="3:9" hidden="1" outlineLevel="1">
      <c r="C39" s="51" t="s">
        <v>45</v>
      </c>
      <c r="D39" s="339">
        <f>GETPIVOTDATA("dato",'[1]tabla dinámica EM'!$A$58,"categoría","Hoteleros","mes",5,"año",2008)</f>
        <v>2.72</v>
      </c>
      <c r="E39" s="339"/>
      <c r="F39" s="339">
        <f>GETPIVOTDATA("dato",'[1]tabla dinámica EM'!$A$58,"categoría","TOTAL","mes",5,"año",2008)</f>
        <v>2.72</v>
      </c>
      <c r="G39" s="339">
        <f>GETPIVOTDATA("Suma de TOTAL HOTELERO",'[1]tabla dinámica EM men'!$A$4,"MES","5","AÑO",2008)</f>
        <v>6.6707015513925381</v>
      </c>
      <c r="H39" s="339">
        <f>GETPIVOTDATA("Suma de extrahoteleros",'[1]tabla dinámica EM men'!$A$4,"MES","5","AÑO",2008)</f>
        <v>8.0442909570206496</v>
      </c>
      <c r="I39" s="339">
        <f>GETPIVOTDATA("Suma de TOTAL general",'[1]tabla dinámica EM men'!$A$4,"MES","5","AÑO",2008)</f>
        <v>7.1852245362246938</v>
      </c>
    </row>
    <row r="40" spans="3:9" hidden="1" outlineLevel="1">
      <c r="C40" s="51" t="s">
        <v>46</v>
      </c>
      <c r="D40" s="339">
        <f>GETPIVOTDATA("dato",'[1]tabla dinámica EM'!$A$58,"categoría","Hoteleros","mes",4,"año",2008)</f>
        <v>2.4</v>
      </c>
      <c r="E40" s="339"/>
      <c r="F40" s="339">
        <f>GETPIVOTDATA("dato",'[1]tabla dinámica EM'!$A$58,"categoría","TOTAL","mes",4,"año",2008)</f>
        <v>2.4</v>
      </c>
      <c r="G40" s="339">
        <f>GETPIVOTDATA("Suma de TOTAL HOTELERO",'[1]tabla dinámica EM men'!$A$4,"MES","4","AÑO",2008)</f>
        <v>7.3618816560348685</v>
      </c>
      <c r="H40" s="339">
        <f>GETPIVOTDATA("Suma de extrahoteleros",'[1]tabla dinámica EM men'!$A$4,"MES","4","AÑO",2008)</f>
        <v>8.9058894179213315</v>
      </c>
      <c r="I40" s="339">
        <f>GETPIVOTDATA("Suma de TOTAL general",'[1]tabla dinámica EM men'!$A$4,"MES","4","AÑO",2008)</f>
        <v>7.9554266761520234</v>
      </c>
    </row>
    <row r="41" spans="3:9" hidden="1" outlineLevel="1">
      <c r="C41" s="51" t="s">
        <v>47</v>
      </c>
      <c r="D41" s="339">
        <f>GETPIVOTDATA("dato",'[1]tabla dinámica EM'!$A$58,"categoría","Hoteleros","mes",3,"año",2008)</f>
        <v>2.9</v>
      </c>
      <c r="E41" s="339"/>
      <c r="F41" s="339">
        <f>GETPIVOTDATA("dato",'[1]tabla dinámica EM'!$A$58,"categoría","TOTAL","mes",3,"año",2008)</f>
        <v>2.9</v>
      </c>
      <c r="G41" s="339">
        <f>GETPIVOTDATA("Suma de TOTAL HOTELERO",'[1]tabla dinámica EM men'!$A$4,"MES","3","AÑO",2008)</f>
        <v>7.1430596918735203</v>
      </c>
      <c r="H41" s="339">
        <f>GETPIVOTDATA("Suma de extrahoteleros",'[1]tabla dinámica EM men'!$A$4,"MES","3","AÑO",2008)</f>
        <v>8.8028733664995844</v>
      </c>
      <c r="I41" s="339">
        <f>GETPIVOTDATA("Suma de TOTAL general",'[1]tabla dinámica EM men'!$A$4,"MES","3","AÑO",2008)</f>
        <v>7.8397702737544854</v>
      </c>
    </row>
    <row r="42" spans="3:9" hidden="1" outlineLevel="1">
      <c r="C42" s="51" t="s">
        <v>48</v>
      </c>
      <c r="D42" s="339">
        <f>GETPIVOTDATA("dato",'[1]tabla dinámica EM'!$A$58,"categoría","Hoteleros","mes",2,"año",2008)</f>
        <v>2.5099999999999998</v>
      </c>
      <c r="E42" s="339"/>
      <c r="F42" s="339">
        <f>GETPIVOTDATA("dato",'[1]tabla dinámica EM'!$A$58,"categoría","TOTAL","mes",2,"año",2008)</f>
        <v>2.5099999999999998</v>
      </c>
      <c r="G42" s="339">
        <f>GETPIVOTDATA("Suma de TOTAL HOTELERO",'[1]tabla dinámica EM men'!$A$4,"MES","2","AÑO",2008)</f>
        <v>7.4667640417562788</v>
      </c>
      <c r="H42" s="339">
        <f>GETPIVOTDATA("Suma de extrahoteleros",'[1]tabla dinámica EM men'!$A$4,"MES","2","AÑO",2008)</f>
        <v>9.0456319604563191</v>
      </c>
      <c r="I42" s="339">
        <f>GETPIVOTDATA("Suma de TOTAL general",'[1]tabla dinámica EM men'!$A$4,"MES","2","AÑO",2008)</f>
        <v>8.1501615505372698</v>
      </c>
    </row>
    <row r="43" spans="3:9" hidden="1" outlineLevel="1">
      <c r="C43" s="51" t="s">
        <v>49</v>
      </c>
      <c r="D43" s="339">
        <f>GETPIVOTDATA("dato",'[1]tabla dinámica EM'!$A$58,"categoría","Hoteleros","mes",1,"año",2008)</f>
        <v>2.5335060652455543</v>
      </c>
      <c r="E43" s="339"/>
      <c r="F43" s="339">
        <f>GETPIVOTDATA("dato",'[1]tabla dinámica EM'!$A$58,"categoría","TOTAL","mes",1,"año",2008)</f>
        <v>2.5335060652455543</v>
      </c>
      <c r="G43" s="339">
        <f>GETPIVOTDATA("Suma de TOTAL HOTELERO",'[1]tabla dinámica EM men'!$A$4,"MES","1","AÑO",2008)</f>
        <v>8.414077465972106</v>
      </c>
      <c r="H43" s="339">
        <f>GETPIVOTDATA("Suma de extrahoteleros",'[1]tabla dinámica EM men'!$A$4,"MES","1","AÑO",2008)</f>
        <v>10.465007250723616</v>
      </c>
      <c r="I43" s="339">
        <f>GETPIVOTDATA("Suma de TOTAL general",'[1]tabla dinámica EM men'!$A$4,"MES","1","AÑO",2008)</f>
        <v>9.2735322040185775</v>
      </c>
    </row>
    <row r="44" spans="3:9" collapsed="1">
      <c r="C44" s="58">
        <v>2008</v>
      </c>
      <c r="D44" s="343">
        <f>'[1]tabla dinámica EM'!D334</f>
        <v>2.5045040987298441</v>
      </c>
      <c r="E44" s="343"/>
      <c r="F44" s="343">
        <f>'[1]tabla dinámica EM'!D347</f>
        <v>2.5045040987298441</v>
      </c>
      <c r="G44" s="343">
        <f>GETPIVOTDATA("Suma de TOTAL HOTELERO",'[1]tabla dinámica EM men'!$A$262,"MES","12","AÑO",2008)</f>
        <v>7.3795307445182061</v>
      </c>
      <c r="H44" s="343">
        <f>GETPIVOTDATA("Suma de extrahoteleros",'[1]tabla dinámica EM men'!$A$262,"MES","12","AÑO",2008)</f>
        <v>8.7625754027458651</v>
      </c>
      <c r="I44" s="343">
        <f>GETPIVOTDATA("Suma de TOTAL general",'[1]tabla dinámica EM men'!$A$262,"MES","12","AÑO",2008)</f>
        <v>7.9477471819107173</v>
      </c>
    </row>
    <row r="45" spans="3:9" hidden="1" outlineLevel="1">
      <c r="C45" s="51" t="s">
        <v>38</v>
      </c>
      <c r="D45" s="339">
        <f>GETPIVOTDATA("dato",'[1]tabla dinámica EM'!$A$58,"categoría","Hoteleros","mes",12,"año",2007)</f>
        <v>2.4700000000000002</v>
      </c>
      <c r="E45" s="339"/>
      <c r="F45" s="339">
        <f>GETPIVOTDATA("dato",'[1]tabla dinámica EM'!$A$58,"categoría","TOTAL","mes",12,"año",2007)</f>
        <v>2.4700000000000002</v>
      </c>
      <c r="G45" s="339">
        <f>GETPIVOTDATA("Suma de TOTAL HOTELERO",'[1]tabla dinámica EM men'!$A$4,"MES","12","AÑO",2007)</f>
        <v>7.4946747507799403</v>
      </c>
      <c r="H45" s="339">
        <f>GETPIVOTDATA("Suma de extrahoteleros",'[1]tabla dinámica EM men'!$A$4,"MES","12","AÑO",2007)</f>
        <v>9.2811047957747217</v>
      </c>
      <c r="I45" s="339">
        <f>GETPIVOTDATA("Suma de TOTAL general",'[1]tabla dinámica EM men'!$A$4,"MES","12","AÑO",2007)</f>
        <v>8.2647694918966277</v>
      </c>
    </row>
    <row r="46" spans="3:9" hidden="1" outlineLevel="1">
      <c r="C46" s="51" t="s">
        <v>39</v>
      </c>
      <c r="D46" s="339">
        <f>GETPIVOTDATA("dato",'[1]tabla dinámica EM'!$A$58,"categoría","Hoteleros","mes",11,"año",2007)</f>
        <v>2.29</v>
      </c>
      <c r="E46" s="339"/>
      <c r="F46" s="339">
        <f>GETPIVOTDATA("dato",'[1]tabla dinámica EM'!$A$58,"categoría","TOTAL","mes",11,"año",2007)</f>
        <v>2.29</v>
      </c>
      <c r="G46" s="339">
        <f>GETPIVOTDATA("Suma de TOTAL HOTELERO",'[1]tabla dinámica EM men'!$A$4,"MES","11","AÑO",2007)</f>
        <v>7.3514836457463764</v>
      </c>
      <c r="H46" s="339">
        <f>GETPIVOTDATA("Suma de extrahoteleros",'[1]tabla dinámica EM men'!$A$4,"MES","11","AÑO",2007)</f>
        <v>8.8246249806691068</v>
      </c>
      <c r="I46" s="339">
        <f>GETPIVOTDATA("Suma de TOTAL general",'[1]tabla dinámica EM men'!$A$4,"MES","11","AÑO",2007)</f>
        <v>7.9760868139794114</v>
      </c>
    </row>
    <row r="47" spans="3:9" hidden="1" outlineLevel="1">
      <c r="C47" s="51" t="s">
        <v>40</v>
      </c>
      <c r="D47" s="339">
        <f>GETPIVOTDATA("dato",'[1]tabla dinámica EM'!$A$58,"categoría","Hoteleros","mes",10,"año",2007)</f>
        <v>2.52</v>
      </c>
      <c r="E47" s="339"/>
      <c r="F47" s="339">
        <f>GETPIVOTDATA("dato",'[1]tabla dinámica EM'!$A$58,"categoría","TOTAL","mes",10,"año",2007)</f>
        <v>2.52</v>
      </c>
      <c r="G47" s="339">
        <f>GETPIVOTDATA("Suma de TOTAL HOTELERO",'[1]tabla dinámica EM men'!$A$4,"MES","10","AÑO",2007)</f>
        <v>6.8196304396794138</v>
      </c>
      <c r="H47" s="339">
        <f>GETPIVOTDATA("Suma de extrahoteleros",'[1]tabla dinámica EM men'!$A$4,"MES","10","AÑO",2007)</f>
        <v>8.1746500745187554</v>
      </c>
      <c r="I47" s="339">
        <f>GETPIVOTDATA("Suma de TOTAL general",'[1]tabla dinámica EM men'!$A$4,"MES","10","AÑO",2007)</f>
        <v>7.3762587125169112</v>
      </c>
    </row>
    <row r="48" spans="3:9" hidden="1" outlineLevel="1">
      <c r="C48" s="51" t="s">
        <v>41</v>
      </c>
      <c r="D48" s="339">
        <f>GETPIVOTDATA("dato",'[1]tabla dinámica EM'!$A$58,"categoría","Hoteleros","mes",9,"año",2007)</f>
        <v>2.62</v>
      </c>
      <c r="E48" s="339"/>
      <c r="F48" s="339">
        <f>GETPIVOTDATA("dato",'[1]tabla dinámica EM'!$A$58,"categoría","TOTAL","mes",9,"año",2007)</f>
        <v>2.62</v>
      </c>
      <c r="G48" s="339">
        <f>GETPIVOTDATA("Suma de TOTAL HOTELERO",'[1]tabla dinámica EM men'!$A$4,"MES","9","AÑO",2007)</f>
        <v>7.2523424585656064</v>
      </c>
      <c r="H48" s="339">
        <f>GETPIVOTDATA("Suma de extrahoteleros",'[1]tabla dinámica EM men'!$A$4,"MES","9","AÑO",2007)</f>
        <v>8.8422440723101339</v>
      </c>
      <c r="I48" s="339">
        <f>GETPIVOTDATA("Suma de TOTAL general",'[1]tabla dinámica EM men'!$A$4,"MES","9","AÑO",2007)</f>
        <v>7.8585780921625918</v>
      </c>
    </row>
    <row r="49" spans="3:9" hidden="1" outlineLevel="1">
      <c r="C49" s="51" t="s">
        <v>42</v>
      </c>
      <c r="D49" s="339">
        <f>GETPIVOTDATA("dato",'[1]tabla dinámica EM'!$A$58,"categoría","Hoteleros","mes",8,"año",2007)</f>
        <v>2.72</v>
      </c>
      <c r="E49" s="339"/>
      <c r="F49" s="339">
        <f>GETPIVOTDATA("dato",'[1]tabla dinámica EM'!$A$58,"categoría","TOTAL","mes",8,"año",2007)</f>
        <v>2.72</v>
      </c>
      <c r="G49" s="339">
        <f>GETPIVOTDATA("Suma de TOTAL HOTELERO",'[1]tabla dinámica EM men'!$A$4,"MES","8","AÑO",2007)</f>
        <v>7.6296941916488219</v>
      </c>
      <c r="H49" s="339">
        <f>GETPIVOTDATA("Suma de extrahoteleros",'[1]tabla dinámica EM men'!$A$4,"MES","8","AÑO",2007)</f>
        <v>8.4888947899979108</v>
      </c>
      <c r="I49" s="339">
        <f>GETPIVOTDATA("Suma de TOTAL general",'[1]tabla dinámica EM men'!$A$4,"MES","8","AÑO",2007)</f>
        <v>8.0030798801343952</v>
      </c>
    </row>
    <row r="50" spans="3:9" hidden="1" outlineLevel="1">
      <c r="C50" s="51" t="s">
        <v>43</v>
      </c>
      <c r="D50" s="339">
        <f>GETPIVOTDATA("dato",'[1]tabla dinámica EM'!$A$58,"categoría","Hoteleros","mes",7,"año",2007)</f>
        <v>2.92</v>
      </c>
      <c r="E50" s="339"/>
      <c r="F50" s="339">
        <f>GETPIVOTDATA("dato",'[1]tabla dinámica EM'!$A$58,"categoría","TOTAL","mes",7,"año",2007)</f>
        <v>2.92</v>
      </c>
      <c r="G50" s="339">
        <f>GETPIVOTDATA("Suma de TOTAL HOTELERO",'[1]tabla dinámica EM men'!$A$4,"MES","7","AÑO",2007)</f>
        <v>7.3148288394711001</v>
      </c>
      <c r="H50" s="339">
        <f>GETPIVOTDATA("Suma de extrahoteleros",'[1]tabla dinámica EM men'!$A$4,"MES","7","AÑO",2007)</f>
        <v>8.7486146890279173</v>
      </c>
      <c r="I50" s="339">
        <f>GETPIVOTDATA("Suma de TOTAL general",'[1]tabla dinámica EM men'!$A$4,"MES","7","AÑO",2007)</f>
        <v>7.8998410481810639</v>
      </c>
    </row>
    <row r="51" spans="3:9" hidden="1" outlineLevel="1">
      <c r="C51" s="51" t="s">
        <v>44</v>
      </c>
      <c r="D51" s="339">
        <f>GETPIVOTDATA("dato",'[1]tabla dinámica EM'!$A$58,"categoría","Hoteleros","mes",6,"año",2007)</f>
        <v>3.21</v>
      </c>
      <c r="E51" s="339"/>
      <c r="F51" s="339">
        <f>GETPIVOTDATA("dato",'[1]tabla dinámica EM'!$A$58,"categoría","TOTAL","mes",6,"año",2007)</f>
        <v>3.21</v>
      </c>
      <c r="G51" s="339">
        <f>GETPIVOTDATA("Suma de TOTAL HOTELERO",'[1]tabla dinámica EM men'!$A$4,"MES","6","AÑO",2007)</f>
        <v>6.7198768956650268</v>
      </c>
      <c r="H51" s="339">
        <f>GETPIVOTDATA("Suma de extrahoteleros",'[1]tabla dinámica EM men'!$A$4,"MES","6","AÑO",2007)</f>
        <v>7.7306944292503861</v>
      </c>
      <c r="I51" s="339">
        <f>GETPIVOTDATA("Suma de TOTAL general",'[1]tabla dinámica EM men'!$A$4,"MES","6","AÑO",2007)</f>
        <v>7.1240683090188419</v>
      </c>
    </row>
    <row r="52" spans="3:9" hidden="1" outlineLevel="1">
      <c r="C52" s="51" t="s">
        <v>45</v>
      </c>
      <c r="D52" s="339">
        <f>GETPIVOTDATA("dato",'[1]tabla dinámica EM'!$A$58,"categoría","Hoteleros","mes",5,"año",2007)</f>
        <v>2.98</v>
      </c>
      <c r="E52" s="339"/>
      <c r="F52" s="339">
        <f>GETPIVOTDATA("dato",'[1]tabla dinámica EM'!$A$58,"categoría","TOTAL","mes",5,"año",2007)</f>
        <v>2.98</v>
      </c>
      <c r="G52" s="339">
        <f>GETPIVOTDATA("Suma de TOTAL HOTELERO",'[1]tabla dinámica EM men'!$A$4,"MES","5","AÑO",2007)</f>
        <v>7.2189774087514964</v>
      </c>
      <c r="H52" s="339">
        <f>GETPIVOTDATA("Suma de extrahoteleros",'[1]tabla dinámica EM men'!$A$4,"MES","5","AÑO",2007)</f>
        <v>9.080218882842729</v>
      </c>
      <c r="I52" s="339">
        <f>GETPIVOTDATA("Suma de TOTAL general",'[1]tabla dinámica EM men'!$A$4,"MES","5","AÑO",2007)</f>
        <v>7.9330001493179685</v>
      </c>
    </row>
    <row r="53" spans="3:9" hidden="1" outlineLevel="1">
      <c r="C53" s="51" t="s">
        <v>46</v>
      </c>
      <c r="D53" s="339">
        <f>GETPIVOTDATA("dato",'[1]tabla dinámica EM'!$A$58,"categoría","Hoteleros","mes",4,"año",2007)</f>
        <v>2.87</v>
      </c>
      <c r="E53" s="339"/>
      <c r="F53" s="339">
        <f>GETPIVOTDATA("dato",'[1]tabla dinámica EM'!$A$58,"categoría","TOTAL","mes",4,"año",2007)</f>
        <v>2.87</v>
      </c>
      <c r="G53" s="339">
        <f>GETPIVOTDATA("Suma de TOTAL HOTELERO",'[1]tabla dinámica EM men'!$A$4,"MES","4","AÑO",2007)</f>
        <v>6.861529837972455</v>
      </c>
      <c r="H53" s="339">
        <f>GETPIVOTDATA("Suma de extrahoteleros",'[1]tabla dinámica EM men'!$A$4,"MES","4","AÑO",2007)</f>
        <v>8.5684325302462625</v>
      </c>
      <c r="I53" s="339">
        <f>GETPIVOTDATA("Suma de TOTAL general",'[1]tabla dinámica EM men'!$A$4,"MES","4","AÑO",2007)</f>
        <v>7.533085978591493</v>
      </c>
    </row>
    <row r="54" spans="3:9" hidden="1" outlineLevel="1">
      <c r="C54" s="51" t="s">
        <v>47</v>
      </c>
      <c r="D54" s="339">
        <f>GETPIVOTDATA("dato",'[1]tabla dinámica EM'!$A$58,"categoría","Hoteleros","mes",3,"año",2007)</f>
        <v>2.61</v>
      </c>
      <c r="E54" s="339"/>
      <c r="F54" s="339">
        <f>GETPIVOTDATA("dato",'[1]tabla dinámica EM'!$A$58,"categoría","TOTAL","mes",3,"año",2007)</f>
        <v>2.61</v>
      </c>
      <c r="G54" s="339">
        <f>GETPIVOTDATA("Suma de TOTAL HOTELERO",'[1]tabla dinámica EM men'!$A$4,"MES","3","AÑO",2007)</f>
        <v>7.2925896752520405</v>
      </c>
      <c r="H54" s="339">
        <f>GETPIVOTDATA("Suma de extrahoteleros",'[1]tabla dinámica EM men'!$A$4,"MES","3","AÑO",2007)</f>
        <v>8.7033147233623076</v>
      </c>
      <c r="I54" s="339">
        <f>GETPIVOTDATA("Suma de TOTAL general",'[1]tabla dinámica EM men'!$A$4,"MES","3","AÑO",2007)</f>
        <v>7.9012655691175775</v>
      </c>
    </row>
    <row r="55" spans="3:9" hidden="1" outlineLevel="1">
      <c r="C55" s="51" t="s">
        <v>48</v>
      </c>
      <c r="D55" s="339">
        <f>GETPIVOTDATA("dato",'[1]tabla dinámica EM'!$A$58,"categoría","Hoteleros","mes",2,"año",2007)</f>
        <v>2.64</v>
      </c>
      <c r="E55" s="339"/>
      <c r="F55" s="339">
        <f>GETPIVOTDATA("dato",'[1]tabla dinámica EM'!$A$58,"categoría","TOTAL","mes",2,"año",2007)</f>
        <v>2.64</v>
      </c>
      <c r="G55" s="339">
        <f>GETPIVOTDATA("Suma de TOTAL HOTELERO",'[1]tabla dinámica EM men'!$A$4,"MES","2","AÑO",2007)</f>
        <v>7.5315781664715873</v>
      </c>
      <c r="H55" s="339">
        <f>GETPIVOTDATA("Suma de extrahoteleros",'[1]tabla dinámica EM men'!$A$4,"MES","2","AÑO",2007)</f>
        <v>9.4419420689655169</v>
      </c>
      <c r="I55" s="339">
        <f>GETPIVOTDATA("Suma de TOTAL general",'[1]tabla dinámica EM men'!$A$4,"MES","2","AÑO",2007)</f>
        <v>8.3484333051811106</v>
      </c>
    </row>
    <row r="56" spans="3:9" hidden="1" outlineLevel="1">
      <c r="C56" s="51" t="s">
        <v>49</v>
      </c>
      <c r="D56" s="339">
        <f>GETPIVOTDATA("dato",'[1]tabla dinámica EM'!$A$58,"categoría","Hoteleros","mes",1,"año",2007)</f>
        <v>2.68</v>
      </c>
      <c r="E56" s="339"/>
      <c r="F56" s="339">
        <f>GETPIVOTDATA("dato",'[1]tabla dinámica EM'!$A$58,"categoría","TOTAL","mes",1,"año",2007)</f>
        <v>2.68</v>
      </c>
      <c r="G56" s="339">
        <f>GETPIVOTDATA("Suma de TOTAL HOTELERO",'[1]tabla dinámica EM men'!$A$4,"MES","1","AÑO",2007)</f>
        <v>8.3597658103436583</v>
      </c>
      <c r="H56" s="339">
        <f>GETPIVOTDATA("Suma de extrahoteleros",'[1]tabla dinámica EM men'!$A$4,"MES","1","AÑO",2007)</f>
        <v>10.348010848852571</v>
      </c>
      <c r="I56" s="339">
        <f>GETPIVOTDATA("Suma de TOTAL general",'[1]tabla dinámica EM men'!$A$4,"MES","1","AÑO",2007)</f>
        <v>9.1952442241468244</v>
      </c>
    </row>
    <row r="57" spans="3:9" collapsed="1">
      <c r="C57" s="58">
        <v>2007</v>
      </c>
      <c r="D57" s="343">
        <f>'[1]tabla dinámica EM'!C334</f>
        <v>2.6882476247515856</v>
      </c>
      <c r="E57" s="343"/>
      <c r="F57" s="343">
        <f>'[1]tabla dinámica EM'!C347</f>
        <v>2.6882476247515856</v>
      </c>
      <c r="G57" s="343">
        <f>GETPIVOTDATA("Suma de TOTAL HOTELERO",'[1]tabla dinámica EM men'!$A$262,"MES","12","AÑO",2007)</f>
        <v>7.315456957864213</v>
      </c>
      <c r="H57" s="343">
        <f>GETPIVOTDATA("Suma de extrahoteleros",'[1]tabla dinámica EM men'!$A$262,"MES","12","AÑO",2007)</f>
        <v>8.8378839707738877</v>
      </c>
      <c r="I57" s="343">
        <f>GETPIVOTDATA("Suma de TOTAL general",'[1]tabla dinámica EM men'!$A$262,"MES","12","AÑO",2007)</f>
        <v>7.9448414634885607</v>
      </c>
    </row>
    <row r="58" spans="3:9" hidden="1" outlineLevel="1">
      <c r="C58" s="51" t="s">
        <v>38</v>
      </c>
      <c r="D58" s="339">
        <f>GETPIVOTDATA("dato",'[1]tabla dinámica EM'!$A$58,"categoría","Hoteleros","mes",12,"año",2006)</f>
        <v>2.72</v>
      </c>
      <c r="E58" s="339"/>
      <c r="F58" s="339">
        <f>GETPIVOTDATA("dato",'[1]tabla dinámica EM'!$A$58,"categoría","TOTAL","mes",12,"año",2006)</f>
        <v>2.72</v>
      </c>
      <c r="G58" s="339">
        <f>GETPIVOTDATA("Suma de TOTAL HOTELERO",'[1]tabla dinámica EM men'!$A$4,"MES","12","AÑO",2006)</f>
        <v>7.2528910387519732</v>
      </c>
      <c r="H58" s="339">
        <f>GETPIVOTDATA("Suma de extrahoteleros",'[1]tabla dinámica EM men'!$A$4,"MES","12","AÑO",2006)</f>
        <v>8.6288749818075967</v>
      </c>
      <c r="I58" s="339">
        <f>GETPIVOTDATA("Suma de TOTAL general",'[1]tabla dinámica EM men'!$A$4,"MES","12","AÑO",2006)</f>
        <v>7.8535863971272892</v>
      </c>
    </row>
    <row r="59" spans="3:9" hidden="1" outlineLevel="1">
      <c r="C59" s="51" t="s">
        <v>39</v>
      </c>
      <c r="D59" s="339">
        <f>GETPIVOTDATA("dato",'[1]tabla dinámica EM'!$A$58,"categoría","Hoteleros","mes",11,"año",2006)</f>
        <v>2.5299999999999998</v>
      </c>
      <c r="E59" s="339"/>
      <c r="F59" s="339">
        <f>GETPIVOTDATA("dato",'[1]tabla dinámica EM'!$A$58,"categoría","TOTAL","mes",11,"año",2006)</f>
        <v>2.5299999999999998</v>
      </c>
      <c r="G59" s="339">
        <f>GETPIVOTDATA("Suma de TOTAL HOTELERO",'[1]tabla dinámica EM men'!$A$4,"MES","11","AÑO",2006)</f>
        <v>7.3103328993139902</v>
      </c>
      <c r="H59" s="339">
        <f>GETPIVOTDATA("Suma de extrahoteleros",'[1]tabla dinámica EM men'!$A$4,"MES","11","AÑO",2006)</f>
        <v>9.7294296213452629</v>
      </c>
      <c r="I59" s="339">
        <f>GETPIVOTDATA("Suma de TOTAL general",'[1]tabla dinámica EM men'!$A$4,"MES","11","AÑO",2006)</f>
        <v>8.2904838198813042</v>
      </c>
    </row>
    <row r="60" spans="3:9" hidden="1" outlineLevel="1">
      <c r="C60" s="51" t="s">
        <v>40</v>
      </c>
      <c r="D60" s="339">
        <f>GETPIVOTDATA("dato",'[1]tabla dinámica EM'!$A$58,"categoría","Hoteleros","mes",10,"año",2006)</f>
        <v>2.58</v>
      </c>
      <c r="E60" s="339"/>
      <c r="F60" s="339">
        <f>GETPIVOTDATA("dato",'[1]tabla dinámica EM'!$A$58,"categoría","TOTAL","mes",10,"año",2006)</f>
        <v>2.58</v>
      </c>
      <c r="G60" s="339">
        <f>GETPIVOTDATA("Suma de TOTAL HOTELERO",'[1]tabla dinámica EM men'!$A$4,"MES","10","AÑO",2006)</f>
        <v>6.9720154052692225</v>
      </c>
      <c r="H60" s="339">
        <f>GETPIVOTDATA("Suma de extrahoteleros",'[1]tabla dinámica EM men'!$A$4,"MES","10","AÑO",2006)</f>
        <v>8.3815583091522239</v>
      </c>
      <c r="I60" s="339">
        <f>GETPIVOTDATA("Suma de TOTAL general",'[1]tabla dinámica EM men'!$A$4,"MES","10","AÑO",2006)</f>
        <v>7.5615202484548449</v>
      </c>
    </row>
    <row r="61" spans="3:9" hidden="1" outlineLevel="1">
      <c r="C61" s="51" t="s">
        <v>41</v>
      </c>
      <c r="D61" s="339">
        <f>GETPIVOTDATA("dato",'[1]tabla dinámica EM'!$A$58,"categoría","Hoteleros","mes",9,"año",2006)</f>
        <v>2.65</v>
      </c>
      <c r="E61" s="339"/>
      <c r="F61" s="339">
        <f>GETPIVOTDATA("dato",'[1]tabla dinámica EM'!$A$58,"categoría","TOTAL","mes",9,"año",2006)</f>
        <v>2.65</v>
      </c>
      <c r="G61" s="339">
        <f>GETPIVOTDATA("Suma de TOTAL HOTELERO",'[1]tabla dinámica EM men'!$A$4,"MES","9","AÑO",2006)</f>
        <v>7.1137429583043188</v>
      </c>
      <c r="H61" s="339">
        <f>GETPIVOTDATA("Suma de extrahoteleros",'[1]tabla dinámica EM men'!$A$4,"MES","9","AÑO",2006)</f>
        <v>8.0849735334299524</v>
      </c>
      <c r="I61" s="339">
        <f>GETPIVOTDATA("Suma de TOTAL general",'[1]tabla dinámica EM men'!$A$4,"MES","9","AÑO",2006)</f>
        <v>7.5167569827946696</v>
      </c>
    </row>
    <row r="62" spans="3:9" hidden="1" outlineLevel="1">
      <c r="C62" s="51" t="s">
        <v>42</v>
      </c>
      <c r="D62" s="339">
        <f>GETPIVOTDATA("dato",'[1]tabla dinámica EM'!$A$58,"categoría","Hoteleros","mes",8,"año",2006)</f>
        <v>2.93</v>
      </c>
      <c r="E62" s="339"/>
      <c r="F62" s="339">
        <f>GETPIVOTDATA("dato",'[1]tabla dinámica EM'!$A$58,"categoría","TOTAL","mes",8,"año",2006)</f>
        <v>2.93</v>
      </c>
      <c r="G62" s="339">
        <f>GETPIVOTDATA("Suma de TOTAL HOTELERO",'[1]tabla dinámica EM men'!$A$4,"MES","8","AÑO",2006)</f>
        <v>7.8349005616822618</v>
      </c>
      <c r="H62" s="339">
        <f>GETPIVOTDATA("Suma de extrahoteleros",'[1]tabla dinámica EM men'!$A$4,"MES","8","AÑO",2006)</f>
        <v>9.4413085283377622</v>
      </c>
      <c r="I62" s="339">
        <f>GETPIVOTDATA("Suma de TOTAL general",'[1]tabla dinámica EM men'!$A$4,"MES","8","AÑO",2006)</f>
        <v>8.5323330813003402</v>
      </c>
    </row>
    <row r="63" spans="3:9" hidden="1" outlineLevel="1">
      <c r="C63" s="51" t="s">
        <v>43</v>
      </c>
      <c r="D63" s="339">
        <f>GETPIVOTDATA("dato",'[1]tabla dinámica EM'!$A$58,"categoría","Hoteleros","mes",7,"año",2006)</f>
        <v>2.4700000000000002</v>
      </c>
      <c r="E63" s="339"/>
      <c r="F63" s="339">
        <f>GETPIVOTDATA("dato",'[1]tabla dinámica EM'!$A$58,"categoría","TOTAL","mes",7,"año",2006)</f>
        <v>2.4700000000000002</v>
      </c>
      <c r="G63" s="339">
        <f>GETPIVOTDATA("Suma de TOTAL HOTELERO",'[1]tabla dinámica EM men'!$A$4,"MES","7","AÑO",2006)</f>
        <v>7.7226385088184308</v>
      </c>
      <c r="H63" s="339">
        <f>GETPIVOTDATA("Suma de extrahoteleros",'[1]tabla dinámica EM men'!$A$4,"MES","7","AÑO",2006)</f>
        <v>9.0453183737763219</v>
      </c>
      <c r="I63" s="339">
        <f>GETPIVOTDATA("Suma de TOTAL general",'[1]tabla dinámica EM men'!$A$4,"MES","7","AÑO",2006)</f>
        <v>8.2857186935611935</v>
      </c>
    </row>
    <row r="64" spans="3:9" hidden="1" outlineLevel="1">
      <c r="C64" s="51" t="s">
        <v>44</v>
      </c>
      <c r="D64" s="339">
        <f>GETPIVOTDATA("dato",'[1]tabla dinámica EM'!$A$58,"categoría","Hoteleros","mes",6,"año",2006)</f>
        <v>2.23</v>
      </c>
      <c r="E64" s="339"/>
      <c r="F64" s="339">
        <f>GETPIVOTDATA("dato",'[1]tabla dinámica EM'!$A$58,"categoría","TOTAL","mes",6,"año",2006)</f>
        <v>2.23</v>
      </c>
      <c r="G64" s="339">
        <f>GETPIVOTDATA("Suma de TOTAL HOTELERO",'[1]tabla dinámica EM men'!$A$4,"MES","6","AÑO",2006)</f>
        <v>7.2318359075385326</v>
      </c>
      <c r="H64" s="339">
        <f>GETPIVOTDATA("Suma de extrahoteleros",'[1]tabla dinámica EM men'!$A$4,"MES","6","AÑO",2006)</f>
        <v>7.86111439925594</v>
      </c>
      <c r="I64" s="339">
        <f>GETPIVOTDATA("Suma de TOTAL general",'[1]tabla dinámica EM men'!$A$4,"MES","6","AÑO",2006)</f>
        <v>7.4944380279404124</v>
      </c>
    </row>
    <row r="65" spans="3:9" hidden="1" outlineLevel="1">
      <c r="C65" s="51" t="s">
        <v>45</v>
      </c>
      <c r="D65" s="339">
        <f>GETPIVOTDATA("dato",'[1]tabla dinámica EM'!$A$58,"categoría","Hoteleros","mes",5,"año",2006)</f>
        <v>2.34</v>
      </c>
      <c r="E65" s="339"/>
      <c r="F65" s="339">
        <f>GETPIVOTDATA("dato",'[1]tabla dinámica EM'!$A$58,"categoría","TOTAL","mes",5,"año",2006)</f>
        <v>2.34</v>
      </c>
      <c r="G65" s="339">
        <f>GETPIVOTDATA("Suma de TOTAL HOTELERO",'[1]tabla dinámica EM men'!$A$4,"MES","5","AÑO",2006)</f>
        <v>7.3574024025965628</v>
      </c>
      <c r="H65" s="339">
        <f>GETPIVOTDATA("Suma de extrahoteleros",'[1]tabla dinámica EM men'!$A$4,"MES","5","AÑO",2006)</f>
        <v>8.8824645600038785</v>
      </c>
      <c r="I65" s="339">
        <f>GETPIVOTDATA("Suma de TOTAL general",'[1]tabla dinámica EM men'!$A$4,"MES","5","AÑO",2006)</f>
        <v>7.9424678133252566</v>
      </c>
    </row>
    <row r="66" spans="3:9" hidden="1" outlineLevel="1">
      <c r="C66" s="51" t="s">
        <v>46</v>
      </c>
      <c r="D66" s="339">
        <f>GETPIVOTDATA("dato",'[1]tabla dinámica EM'!$A$58,"categoría","Hoteleros","mes",4,"año",2006)</f>
        <v>2.69</v>
      </c>
      <c r="E66" s="339"/>
      <c r="F66" s="339">
        <f>GETPIVOTDATA("dato",'[1]tabla dinámica EM'!$A$58,"categoría","TOTAL","mes",4,"año",2006)</f>
        <v>2.69</v>
      </c>
      <c r="G66" s="339">
        <f>GETPIVOTDATA("Suma de TOTAL HOTELERO",'[1]tabla dinámica EM men'!$A$4,"MES","4","AÑO",2006)</f>
        <v>6.9023675695302238</v>
      </c>
      <c r="H66" s="339">
        <f>GETPIVOTDATA("Suma de extrahoteleros",'[1]tabla dinámica EM men'!$A$4,"MES","4","AÑO",2006)</f>
        <v>8.4061503393572661</v>
      </c>
      <c r="I66" s="339">
        <f>GETPIVOTDATA("Suma de TOTAL general",'[1]tabla dinámica EM men'!$A$4,"MES","4","AÑO",2006)</f>
        <v>7.5197519854800294</v>
      </c>
    </row>
    <row r="67" spans="3:9" hidden="1" outlineLevel="1">
      <c r="C67" s="51" t="s">
        <v>47</v>
      </c>
      <c r="D67" s="339">
        <f>GETPIVOTDATA("dato",'[1]tabla dinámica EM'!$A$58,"categoría","Hoteleros","mes",3,"año",2006)</f>
        <v>2.52</v>
      </c>
      <c r="E67" s="339"/>
      <c r="F67" s="339">
        <f>GETPIVOTDATA("dato",'[1]tabla dinámica EM'!$A$58,"categoría","TOTAL","mes",3,"año",2006)</f>
        <v>2.52</v>
      </c>
      <c r="G67" s="339">
        <f>GETPIVOTDATA("Suma de TOTAL HOTELERO",'[1]tabla dinámica EM men'!$A$4,"MES","3","AÑO",2006)</f>
        <v>7.6643628247829731</v>
      </c>
      <c r="H67" s="339">
        <f>GETPIVOTDATA("Suma de extrahoteleros",'[1]tabla dinámica EM men'!$A$4,"MES","3","AÑO",2006)</f>
        <v>8.974658575808073</v>
      </c>
      <c r="I67" s="339">
        <f>GETPIVOTDATA("Suma de TOTAL general",'[1]tabla dinámica EM men'!$A$4,"MES","3","AÑO",2006)</f>
        <v>8.2385084387826346</v>
      </c>
    </row>
    <row r="68" spans="3:9" hidden="1" outlineLevel="1">
      <c r="C68" s="51" t="s">
        <v>48</v>
      </c>
      <c r="D68" s="339">
        <f>GETPIVOTDATA("dato",'[1]tabla dinámica EM'!$A$58,"categoría","Hoteleros","mes",2,"año",2006)</f>
        <v>2.75</v>
      </c>
      <c r="E68" s="339"/>
      <c r="F68" s="339">
        <f>GETPIVOTDATA("dato",'[1]tabla dinámica EM'!$A$58,"categoría","TOTAL","mes",2,"año",2006)</f>
        <v>2.75</v>
      </c>
      <c r="G68" s="339">
        <f>GETPIVOTDATA("Suma de TOTAL HOTELERO",'[1]tabla dinámica EM men'!$A$4,"MES","2","AÑO",2006)</f>
        <v>7.6784499102820192</v>
      </c>
      <c r="H68" s="339">
        <f>GETPIVOTDATA("Suma de extrahoteleros",'[1]tabla dinámica EM men'!$A$4,"MES","2","AÑO",2006)</f>
        <v>9.4987507891882554</v>
      </c>
      <c r="I68" s="339">
        <f>GETPIVOTDATA("Suma de TOTAL general",'[1]tabla dinámica EM men'!$A$4,"MES","2","AÑO",2006)</f>
        <v>8.4785502344567174</v>
      </c>
    </row>
    <row r="69" spans="3:9" hidden="1" outlineLevel="1">
      <c r="C69" s="51" t="s">
        <v>49</v>
      </c>
      <c r="D69" s="339">
        <f>GETPIVOTDATA("dato",'[1]tabla dinámica EM'!$A$58,"categoría","Hoteleros","mes",1,"año",2006)</f>
        <v>2.37</v>
      </c>
      <c r="E69" s="339"/>
      <c r="F69" s="339">
        <f>GETPIVOTDATA("dato",'[1]tabla dinámica EM'!$A$58,"categoría","TOTAL","mes",1,"año",2006)</f>
        <v>2.37</v>
      </c>
      <c r="G69" s="339">
        <f>GETPIVOTDATA("Suma de TOTAL HOTELERO",'[1]tabla dinámica EM men'!$A$4,"MES","1","AÑO",2006)</f>
        <v>8.3304498640344296</v>
      </c>
      <c r="H69" s="339">
        <f>GETPIVOTDATA("Suma de extrahoteleros",'[1]tabla dinámica EM men'!$A$4,"MES","1","AÑO",2006)</f>
        <v>9.6557114846087213</v>
      </c>
      <c r="I69" s="339">
        <f>GETPIVOTDATA("Suma de TOTAL general",'[1]tabla dinámica EM men'!$A$4,"MES","1","AÑO",2006)</f>
        <v>8.9218626246721655</v>
      </c>
    </row>
    <row r="70" spans="3:9" collapsed="1">
      <c r="C70" s="58">
        <v>2006</v>
      </c>
      <c r="D70" s="343">
        <f>'[1]tabla dinámica EM'!B334</f>
        <v>2.5569914593512171</v>
      </c>
      <c r="E70" s="343"/>
      <c r="F70" s="343">
        <f>'[1]tabla dinámica EM'!B347</f>
        <v>2.5569914593512171</v>
      </c>
      <c r="G70" s="343">
        <f>GETPIVOTDATA("Suma de TOTAL HOTELERO",'[1]tabla dinámica EM men'!$A$262,"MES","12","AÑO",2006)</f>
        <v>7.4390114382072561</v>
      </c>
      <c r="H70" s="343">
        <f>GETPIVOTDATA("Suma de extrahoteleros",'[1]tabla dinámica EM men'!$A$262,"MES","12","AÑO",2006)</f>
        <v>8.8865936288321663</v>
      </c>
      <c r="I70" s="343">
        <f>GETPIVOTDATA("Suma de TOTAL general",'[1]tabla dinámica EM men'!$A$262,"MES","12","AÑO",2006)</f>
        <v>8.0514511706356231</v>
      </c>
    </row>
    <row r="71" spans="3:9" ht="15" customHeight="1">
      <c r="C71" s="135" t="s">
        <v>78</v>
      </c>
      <c r="D71" s="136"/>
      <c r="E71" s="136"/>
      <c r="F71" s="136"/>
      <c r="G71" s="136"/>
      <c r="H71" s="136"/>
      <c r="I71" s="137"/>
    </row>
  </sheetData>
  <mergeCells count="5">
    <mergeCell ref="C3:I3"/>
    <mergeCell ref="C4:C5"/>
    <mergeCell ref="D4:F4"/>
    <mergeCell ref="G4:I4"/>
    <mergeCell ref="C71:I7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C2:J74"/>
  <sheetViews>
    <sheetView showGridLines="0" showRowColHeaders="0" zoomScaleNormal="100" workbookViewId="0">
      <selection activeCell="I13" sqref="I13"/>
    </sheetView>
  </sheetViews>
  <sheetFormatPr baseColWidth="10" defaultRowHeight="15" outlineLevelRow="1"/>
  <cols>
    <col min="1" max="1" width="14.28515625" style="120" customWidth="1"/>
    <col min="2" max="8" width="11.42578125" style="120"/>
    <col min="9" max="9" width="14" style="120" customWidth="1"/>
    <col min="10" max="11" width="11.42578125" style="120"/>
    <col min="12" max="12" width="14.28515625" style="120" customWidth="1"/>
    <col min="13" max="16384" width="11.42578125" style="120"/>
  </cols>
  <sheetData>
    <row r="2" spans="3:10" ht="42.75" customHeight="1"/>
    <row r="3" spans="3:10" ht="30" customHeight="1">
      <c r="C3" s="159" t="s">
        <v>271</v>
      </c>
      <c r="D3" s="159"/>
      <c r="E3" s="159"/>
      <c r="F3" s="159"/>
      <c r="G3" s="159"/>
      <c r="H3" s="159"/>
      <c r="I3" s="159"/>
      <c r="J3" s="159"/>
    </row>
    <row r="4" spans="3:10" ht="45" customHeight="1">
      <c r="C4" s="160"/>
      <c r="D4" s="127" t="s">
        <v>226</v>
      </c>
      <c r="E4" s="127" t="s">
        <v>227</v>
      </c>
      <c r="F4" s="127" t="s">
        <v>228</v>
      </c>
      <c r="G4" s="127" t="s">
        <v>229</v>
      </c>
      <c r="H4" s="161" t="s">
        <v>35</v>
      </c>
      <c r="I4" s="161" t="s">
        <v>116</v>
      </c>
      <c r="J4" s="162" t="s">
        <v>37</v>
      </c>
    </row>
    <row r="5" spans="3:10" hidden="1">
      <c r="C5" s="51" t="s">
        <v>38</v>
      </c>
      <c r="D5" s="339">
        <f>GETPIVOTDATA("dato",'[1]tabla dinámica EM'!$A$58,"categoría","1*","mes",12,"año",2010)</f>
        <v>0</v>
      </c>
      <c r="E5" s="339">
        <f>GETPIVOTDATA("dato",'[1]tabla dinámica EM'!$A$58,"categoría","2*","mes",12,"año",2010)</f>
        <v>0</v>
      </c>
      <c r="F5" s="339">
        <f>GETPIVOTDATA("dato",'[1]tabla dinámica EM'!$A$58,"categoría","3 *","mes",12,"año",2010)</f>
        <v>0</v>
      </c>
      <c r="G5" s="339">
        <f>GETPIVOTDATA("dato",'[1]tabla dinámica EM'!$A$58,"categoría","4* Y 5*","mes",12,"año",2010)</f>
        <v>0</v>
      </c>
      <c r="H5" s="339">
        <f>GETPIVOTDATA("dato",'[1]tabla dinámica EM'!$A$58,"categoría","HOTELEROS","mes",12,"año",2010)</f>
        <v>0</v>
      </c>
      <c r="I5" s="339"/>
      <c r="J5" s="339">
        <f>GETPIVOTDATA("dato",'[1]tabla dinámica EM'!$A$58,"categoría","TOTAL","mes",12,"año",2010)</f>
        <v>0</v>
      </c>
    </row>
    <row r="6" spans="3:10" hidden="1">
      <c r="C6" s="51" t="s">
        <v>39</v>
      </c>
      <c r="D6" s="339">
        <f>GETPIVOTDATA("dato",'[1]tabla dinámica EM'!$A$58,"categoría","1*","mes",11,"año",2010)</f>
        <v>0</v>
      </c>
      <c r="E6" s="339">
        <f>GETPIVOTDATA("dato",'[1]tabla dinámica EM'!$A$58,"categoría","2*","mes",11,"año",2010)</f>
        <v>0</v>
      </c>
      <c r="F6" s="339">
        <f>GETPIVOTDATA("dato",'[1]tabla dinámica EM'!$A$58,"categoría","3 *","mes",11,"año",2010)</f>
        <v>0</v>
      </c>
      <c r="G6" s="339">
        <f>GETPIVOTDATA("dato",'[1]tabla dinámica EM'!$A$58,"categoría","4* Y 5*","mes",11,"año",2010)</f>
        <v>0</v>
      </c>
      <c r="H6" s="339">
        <f>GETPIVOTDATA("dato",'[1]tabla dinámica EM'!$A$58,"categoría","HOTELEROS","mes",11,"año",2010)</f>
        <v>0</v>
      </c>
      <c r="I6" s="339"/>
      <c r="J6" s="339">
        <f>GETPIVOTDATA("dato",'[1]tabla dinámica EM'!$A$58,"categoría","TOTAL","mes",11,"año",2010)</f>
        <v>0</v>
      </c>
    </row>
    <row r="7" spans="3:10" hidden="1">
      <c r="C7" s="51" t="s">
        <v>40</v>
      </c>
      <c r="D7" s="339">
        <f>GETPIVOTDATA("dato",'[1]tabla dinámica EM'!$A$58,"categoría","1*","mes",10,"año",2010)</f>
        <v>0</v>
      </c>
      <c r="E7" s="339">
        <f>GETPIVOTDATA("dato",'[1]tabla dinámica EM'!$A$58,"categoría","2*","mes",10,"año",2010)</f>
        <v>0</v>
      </c>
      <c r="F7" s="339">
        <f>GETPIVOTDATA("dato",'[1]tabla dinámica EM'!$A$58,"categoría","3 *","mes",10,"año",2010)</f>
        <v>0</v>
      </c>
      <c r="G7" s="339">
        <f>GETPIVOTDATA("dato",'[1]tabla dinámica EM'!$A$58,"categoría","4* Y 5*","mes",10,"año",2010)</f>
        <v>0</v>
      </c>
      <c r="H7" s="339">
        <f>GETPIVOTDATA("dato",'[1]tabla dinámica EM'!$A$58,"categoría","HOTELEROS","mes",10,"año",2010)</f>
        <v>0</v>
      </c>
      <c r="I7" s="339"/>
      <c r="J7" s="339">
        <f>GETPIVOTDATA("dato",'[1]tabla dinámica EM'!$A$58,"categoría","TOTAL","mes",10,"año",2010)</f>
        <v>0</v>
      </c>
    </row>
    <row r="8" spans="3:10" hidden="1">
      <c r="C8" s="51" t="s">
        <v>41</v>
      </c>
      <c r="D8" s="339">
        <f>GETPIVOTDATA("dato",'[1]tabla dinámica EM'!$A$58,"categoría","1*","mes",9,"año",2010)</f>
        <v>0</v>
      </c>
      <c r="E8" s="339">
        <f>GETPIVOTDATA("dato",'[1]tabla dinámica EM'!$A$58,"categoría","2*","mes",9,"año",2010)</f>
        <v>0</v>
      </c>
      <c r="F8" s="339">
        <f>GETPIVOTDATA("dato",'[1]tabla dinámica EM'!$A$58,"categoría","3 *","mes",9,"año",2010)</f>
        <v>0</v>
      </c>
      <c r="G8" s="339">
        <f>GETPIVOTDATA("dato",'[1]tabla dinámica EM'!$A$58,"categoría","4* Y 5*","mes",9,"año",2010)</f>
        <v>0</v>
      </c>
      <c r="H8" s="339">
        <f>GETPIVOTDATA("dato",'[1]tabla dinámica EM'!$A$58,"categoría","HOTELEROS","mes",9,"año",2010)</f>
        <v>0</v>
      </c>
      <c r="I8" s="339"/>
      <c r="J8" s="339">
        <f>GETPIVOTDATA("dato",'[1]tabla dinámica EM'!$A$58,"categoría","TOTAL","mes",9,"año",2010)</f>
        <v>0</v>
      </c>
    </row>
    <row r="9" spans="3:10" hidden="1">
      <c r="C9" s="51" t="s">
        <v>42</v>
      </c>
      <c r="D9" s="339">
        <f>GETPIVOTDATA("dato",'[1]tabla dinámica EM'!$A$58,"categoría","1*","mes",8,"año",2010)</f>
        <v>0</v>
      </c>
      <c r="E9" s="339">
        <f>GETPIVOTDATA("dato",'[1]tabla dinámica EM'!$A$58,"categoría","2*","mes",8,"año",2010)</f>
        <v>0</v>
      </c>
      <c r="F9" s="339">
        <f>GETPIVOTDATA("dato",'[1]tabla dinámica EM'!$A$58,"categoría","3 *","mes",8,"año",2010)</f>
        <v>0</v>
      </c>
      <c r="G9" s="339">
        <f>GETPIVOTDATA("dato",'[1]tabla dinámica EM'!$A$58,"categoría","4* Y 5*","mes",8,"año",2010)</f>
        <v>0</v>
      </c>
      <c r="H9" s="339">
        <f>GETPIVOTDATA("dato",'[1]tabla dinámica EM'!$A$58,"categoría","HOTELEROS","mes",8,"año",2010)</f>
        <v>0</v>
      </c>
      <c r="I9" s="339"/>
      <c r="J9" s="339">
        <f>GETPIVOTDATA("dato",'[1]tabla dinámica EM'!$A$58,"categoría","TOTAL","mes",8,"año",2010)</f>
        <v>0</v>
      </c>
    </row>
    <row r="10" spans="3:10">
      <c r="C10" s="51" t="s">
        <v>43</v>
      </c>
      <c r="D10" s="339">
        <f>GETPIVOTDATA("dato",'[1]tabla dinámica EM'!$A$58,"categoría","1*","mes",7,"año",2010)</f>
        <v>4.4023668639053257</v>
      </c>
      <c r="E10" s="339">
        <f>GETPIVOTDATA("dato",'[1]tabla dinámica EM'!$A$58,"categoría","2*","mes",7,"año",2010)</f>
        <v>2.0602272727272726</v>
      </c>
      <c r="F10" s="339">
        <f>GETPIVOTDATA("dato",'[1]tabla dinámica EM'!$A$58,"categoría","3 *","mes",7,"año",2010)</f>
        <v>2.1565916398713827</v>
      </c>
      <c r="G10" s="339">
        <f>GETPIVOTDATA("dato",'[1]tabla dinámica EM'!$A$58,"categoría","4* Y 5*","mes",7,"año",2010)</f>
        <v>1.94</v>
      </c>
      <c r="H10" s="339">
        <f>GETPIVOTDATA("dato",'[1]tabla dinámica EM'!$A$58,"categoría","HOTELEROS","mes",7,"año",2010)</f>
        <v>2.16</v>
      </c>
      <c r="I10" s="339"/>
      <c r="J10" s="339">
        <f>GETPIVOTDATA("dato",'[1]tabla dinámica EM'!$A$58,"categoría","TOTAL","mes",7,"año",2010)</f>
        <v>2.16</v>
      </c>
    </row>
    <row r="11" spans="3:10">
      <c r="C11" s="51" t="s">
        <v>44</v>
      </c>
      <c r="D11" s="339">
        <f>GETPIVOTDATA("dato",'[1]tabla dinámica EM'!$A$58,"categoría","1*","mes",6,"año",2010)</f>
        <v>4.4893617021276597</v>
      </c>
      <c r="E11" s="339">
        <f>GETPIVOTDATA("dato",'[1]tabla dinámica EM'!$A$58,"categoría","2*","mes",6,"año",2010)</f>
        <v>2.0908879049172686</v>
      </c>
      <c r="F11" s="339">
        <f>GETPIVOTDATA("dato",'[1]tabla dinámica EM'!$A$58,"categoría","3 *","mes",6,"año",2010)</f>
        <v>2.0617462614568258</v>
      </c>
      <c r="G11" s="339">
        <f>GETPIVOTDATA("dato",'[1]tabla dinámica EM'!$A$58,"categoría","4* Y 5*","mes",6,"año",2010)</f>
        <v>1.6861587982832618</v>
      </c>
      <c r="H11" s="339">
        <f>GETPIVOTDATA("dato",'[1]tabla dinámica EM'!$A$58,"categoría","HOTELEROS","mes",6,"año",2010)</f>
        <v>2.0601640119854912</v>
      </c>
      <c r="I11" s="339"/>
      <c r="J11" s="339">
        <f>GETPIVOTDATA("dato",'[1]tabla dinámica EM'!$A$58,"categoría","TOTAL","mes",6,"año",2010)</f>
        <v>2.0601640119854912</v>
      </c>
    </row>
    <row r="12" spans="3:10">
      <c r="C12" s="51" t="s">
        <v>45</v>
      </c>
      <c r="D12" s="339">
        <f>GETPIVOTDATA("dato",'[1]tabla dinámica EM'!$A$58,"categoría","1*","mes",5,"año",2010)</f>
        <v>3.9193548387096775</v>
      </c>
      <c r="E12" s="339">
        <f>GETPIVOTDATA("dato",'[1]tabla dinámica EM'!$A$58,"categoría","2*","mes",5,"año",2010)</f>
        <v>2.0266243282852954</v>
      </c>
      <c r="F12" s="339">
        <f>GETPIVOTDATA("dato",'[1]tabla dinámica EM'!$A$58,"categoría","3 *","mes",5,"año",2010)</f>
        <v>2.0369310793237974</v>
      </c>
      <c r="G12" s="339">
        <f>GETPIVOTDATA("dato",'[1]tabla dinámica EM'!$A$58,"categoría","4* Y 5*","mes",5,"año",2010)</f>
        <v>1.7902813299232736</v>
      </c>
      <c r="H12" s="339">
        <f>GETPIVOTDATA("dato",'[1]tabla dinámica EM'!$A$58,"categoría","HOTELEROS","mes",5,"año",2010)</f>
        <v>2.0404610300636739</v>
      </c>
      <c r="I12" s="339"/>
      <c r="J12" s="339">
        <f>GETPIVOTDATA("dato",'[1]tabla dinámica EM'!$A$58,"categoría","TOTAL","mes",5,"año",2010)</f>
        <v>2.0404610300636739</v>
      </c>
    </row>
    <row r="13" spans="3:10">
      <c r="C13" s="51" t="s">
        <v>46</v>
      </c>
      <c r="D13" s="339">
        <f>GETPIVOTDATA("dato",'[1]tabla dinámica EM'!$A$58,"categoría","1*","mes",4,"año",2010)</f>
        <v>3.6515912899999998</v>
      </c>
      <c r="E13" s="339">
        <f>GETPIVOTDATA("dato",'[1]tabla dinámica EM'!$A$58,"categoría","2*","mes",4,"año",2010)</f>
        <v>2.1218592959999998</v>
      </c>
      <c r="F13" s="339">
        <f>GETPIVOTDATA("dato",'[1]tabla dinámica EM'!$A$58,"categoría","3 *","mes",4,"año",2010)</f>
        <v>2.3989952410000002</v>
      </c>
      <c r="G13" s="339">
        <f>GETPIVOTDATA("dato",'[1]tabla dinámica EM'!$A$58,"categoría","4* Y 5*","mes",4,"año",2010)</f>
        <v>1.853635505</v>
      </c>
      <c r="H13" s="339">
        <f>GETPIVOTDATA("dato",'[1]tabla dinámica EM'!$A$58,"categoría","HOTELEROS","mes",4,"año",2010)</f>
        <v>2.1873759430000002</v>
      </c>
      <c r="I13" s="339"/>
      <c r="J13" s="339">
        <f>GETPIVOTDATA("dato",'[1]tabla dinámica EM'!$A$58,"categoría","TOTAL","mes",4,"año",2010)</f>
        <v>2.1873759430000002</v>
      </c>
    </row>
    <row r="14" spans="3:10">
      <c r="C14" s="51" t="s">
        <v>47</v>
      </c>
      <c r="D14" s="339">
        <f>GETPIVOTDATA("dato",'[1]tabla dinámica EM'!$A$58,"categoría","1*","mes",3,"año",2010)</f>
        <v>3.1540312876052949</v>
      </c>
      <c r="E14" s="339">
        <f>GETPIVOTDATA("dato",'[1]tabla dinámica EM'!$A$58,"categoría","2*","mes",3,"año",2010)</f>
        <v>1.8962783527857301</v>
      </c>
      <c r="F14" s="339">
        <f>GETPIVOTDATA("dato",'[1]tabla dinámica EM'!$A$58,"categoría","3 *","mes",3,"año",2010)</f>
        <v>2.0746086105675148</v>
      </c>
      <c r="G14" s="339">
        <f>GETPIVOTDATA("dato",'[1]tabla dinámica EM'!$A$58,"categoría","4* Y 5*","mes",3,"año",2010)</f>
        <v>1.7113805240516229</v>
      </c>
      <c r="H14" s="339">
        <f>GETPIVOTDATA("dato",'[1]tabla dinámica EM'!$A$58,"categoría","HOTELEROS","mes",3,"año",2010)</f>
        <v>1.9531357211472484</v>
      </c>
      <c r="I14" s="339"/>
      <c r="J14" s="339">
        <f>GETPIVOTDATA("dato",'[1]tabla dinámica EM'!$A$58,"categoría","TOTAL","mes",3,"año",2010)</f>
        <v>1.9531357211472484</v>
      </c>
    </row>
    <row r="15" spans="3:10">
      <c r="C15" s="51" t="s">
        <v>48</v>
      </c>
      <c r="D15" s="339">
        <f>GETPIVOTDATA("dato",'[1]tabla dinámica EM'!$A$58,"categoría","1*","mes",2,"año",2010)</f>
        <v>3.27</v>
      </c>
      <c r="E15" s="339">
        <f>GETPIVOTDATA("dato",'[1]tabla dinámica EM'!$A$58,"categoría","2*","mes",2,"año",2010)</f>
        <v>2.19</v>
      </c>
      <c r="F15" s="339">
        <f>GETPIVOTDATA("dato",'[1]tabla dinámica EM'!$A$58,"categoría","3 *","mes",2,"año",2010)</f>
        <v>2.06</v>
      </c>
      <c r="G15" s="339">
        <f>GETPIVOTDATA("dato",'[1]tabla dinámica EM'!$A$58,"categoría","4* Y 5*","mes",2,"año",2010)</f>
        <v>1.6764758981765662</v>
      </c>
      <c r="H15" s="339">
        <f>GETPIVOTDATA("dato",'[1]tabla dinámica EM'!$A$58,"categoría","HOTELEROS","mes",2,"año",2010)</f>
        <v>2.0699999999999998</v>
      </c>
      <c r="I15" s="339"/>
      <c r="J15" s="339">
        <f>GETPIVOTDATA("dato",'[1]tabla dinámica EM'!$A$58,"categoría","TOTAL","mes",2,"año",2010)</f>
        <v>2.0699999999999998</v>
      </c>
    </row>
    <row r="16" spans="3:10">
      <c r="C16" s="51" t="s">
        <v>49</v>
      </c>
      <c r="D16" s="339">
        <f>GETPIVOTDATA("dato",'[1]tabla dinámica EM'!$A$58,"categoría","1*","mes",1,"año",2010)</f>
        <v>3.72</v>
      </c>
      <c r="E16" s="339">
        <f>GETPIVOTDATA("dato",'[1]tabla dinámica EM'!$A$58,"categoría","2*","mes",1,"año",2010)</f>
        <v>2.1</v>
      </c>
      <c r="F16" s="339">
        <f>GETPIVOTDATA("dato",'[1]tabla dinámica EM'!$A$58,"categoría","3 *","mes",1,"año",2010)</f>
        <v>2.1</v>
      </c>
      <c r="G16" s="339">
        <f>GETPIVOTDATA("dato",'[1]tabla dinámica EM'!$A$58,"categoría","4* Y 5*","mes",1,"año",2010)</f>
        <v>2.0697093551316983</v>
      </c>
      <c r="H16" s="339">
        <f>GETPIVOTDATA("dato",'[1]tabla dinámica EM'!$A$58,"categoría","HOTELEROS","mes",1,"año",2010)</f>
        <v>2.17</v>
      </c>
      <c r="I16" s="339"/>
      <c r="J16" s="339">
        <f>GETPIVOTDATA("dato",'[1]tabla dinámica EM'!$A$58,"categoría","TOTAL","mes",1,"año",2010)</f>
        <v>2.17</v>
      </c>
    </row>
    <row r="17" spans="3:10" ht="30">
      <c r="C17" s="69" t="s">
        <v>55</v>
      </c>
      <c r="D17" s="387">
        <f>'[1]tabla dinámica municipios'!$L$379</f>
        <v>3.6768391269199676</v>
      </c>
      <c r="E17" s="387">
        <f>'[1]tabla dinámica municipios'!$N$379</f>
        <v>2.071387855011233</v>
      </c>
      <c r="F17" s="387">
        <f>'[1]tabla dinámica municipios'!$O$379</f>
        <v>2.1225036179450072</v>
      </c>
      <c r="G17" s="387">
        <f>'[1]tabla dinámica municipios'!$Q$379</f>
        <v>1.8100312448610425</v>
      </c>
      <c r="H17" s="387">
        <f>'[1]tabla dinámica municipios'!$T$379</f>
        <v>2.0865799000172385</v>
      </c>
      <c r="I17" s="387"/>
      <c r="J17" s="387">
        <f>'[1]tabla dinámica municipios'!$U$379</f>
        <v>2.0865799000172385</v>
      </c>
    </row>
    <row r="18" spans="3:10" hidden="1" outlineLevel="1">
      <c r="C18" s="51" t="s">
        <v>38</v>
      </c>
      <c r="D18" s="339">
        <f>GETPIVOTDATA("dato",'[1]tabla dinámica EM'!$A$58,"categoría","1*","mes",12,"año",2009)</f>
        <v>3.481060606060606</v>
      </c>
      <c r="E18" s="339">
        <f>GETPIVOTDATA("dato",'[1]tabla dinámica EM'!$A$58,"categoría","2*","mes",12,"año",2009)</f>
        <v>2.1021606880637718</v>
      </c>
      <c r="F18" s="339">
        <f>GETPIVOTDATA("dato",'[1]tabla dinámica EM'!$A$58,"categoría","3 *","mes",12,"año",2009)</f>
        <v>2.2856403622250969</v>
      </c>
      <c r="G18" s="339">
        <f>GETPIVOTDATA("dato",'[1]tabla dinámica EM'!$A$58,"categoría","4* Y 5*","mes",12,"año",2009)</f>
        <v>3.9497542326597488</v>
      </c>
      <c r="H18" s="339">
        <f>GETPIVOTDATA("dato",'[1]tabla dinámica EM'!$A$58,"categoría","HOTELEROS","mes",12,"año",2009)</f>
        <v>2.7568393703194252</v>
      </c>
      <c r="I18" s="339"/>
      <c r="J18" s="339">
        <f>GETPIVOTDATA("dato",'[1]tabla dinámica EM'!$A$58,"categoría","TOTAL","mes",12,"año",2009)</f>
        <v>2.7568393703194252</v>
      </c>
    </row>
    <row r="19" spans="3:10" hidden="1" outlineLevel="1">
      <c r="C19" s="51" t="s">
        <v>39</v>
      </c>
      <c r="D19" s="339">
        <f>GETPIVOTDATA("dato",'[1]tabla dinámica EM'!$A$58,"categoría","1*","mes",11,"año",2009)</f>
        <v>3.4388020833333335</v>
      </c>
      <c r="E19" s="339">
        <f>GETPIVOTDATA("dato",'[1]tabla dinámica EM'!$A$58,"categoría","2*","mes",11,"año",2009)</f>
        <v>2.007585899152164</v>
      </c>
      <c r="F19" s="339">
        <f>GETPIVOTDATA("dato",'[1]tabla dinámica EM'!$A$58,"categoría","3 *","mes",11,"año",2009)</f>
        <v>1.8958574404073132</v>
      </c>
      <c r="G19" s="339">
        <f>GETPIVOTDATA("dato",'[1]tabla dinámica EM'!$A$58,"categoría","4* Y 5*","mes",11,"año",2009)</f>
        <v>1.7816248019914007</v>
      </c>
      <c r="H19" s="339">
        <f>GETPIVOTDATA("dato",'[1]tabla dinámica EM'!$A$58,"categoría","HOTELEROS","mes",11,"año",2009)</f>
        <v>1.9802716225875625</v>
      </c>
      <c r="I19" s="339"/>
      <c r="J19" s="339">
        <f>GETPIVOTDATA("dato",'[1]tabla dinámica EM'!$A$58,"categoría","TOTAL","mes",11,"año",2009)</f>
        <v>1.9802716225875625</v>
      </c>
    </row>
    <row r="20" spans="3:10" hidden="1" outlineLevel="1">
      <c r="C20" s="51" t="s">
        <v>40</v>
      </c>
      <c r="D20" s="339">
        <f>GETPIVOTDATA("dato",'[1]tabla dinámica EM'!$A$58,"categoría","1*","mes",10,"año",2009)</f>
        <v>4.190851735015773</v>
      </c>
      <c r="E20" s="339">
        <f>GETPIVOTDATA("dato",'[1]tabla dinámica EM'!$A$58,"categoría","2*","mes",10,"año",2009)</f>
        <v>2.2014867982568571</v>
      </c>
      <c r="F20" s="339">
        <f>GETPIVOTDATA("dato",'[1]tabla dinámica EM'!$A$58,"categoría","3 *","mes",10,"año",2009)</f>
        <v>2.1486013986013988</v>
      </c>
      <c r="G20" s="339">
        <f>GETPIVOTDATA("dato",'[1]tabla dinámica EM'!$A$58,"categoría","4* Y 5*","mes",10,"año",2009)</f>
        <v>2.1362997658079625</v>
      </c>
      <c r="H20" s="339">
        <f>GETPIVOTDATA("dato",'[1]tabla dinámica EM'!$A$58,"categoría","HOTELEROS","mes",10,"año",2009)</f>
        <v>2.2616909985166678</v>
      </c>
      <c r="I20" s="339"/>
      <c r="J20" s="339">
        <f>GETPIVOTDATA("dato",'[1]tabla dinámica EM'!$A$58,"categoría","TOTAL","mes",10,"año",2009)</f>
        <v>2.2616909985166678</v>
      </c>
    </row>
    <row r="21" spans="3:10" hidden="1" outlineLevel="1">
      <c r="C21" s="51" t="s">
        <v>41</v>
      </c>
      <c r="D21" s="339">
        <f>GETPIVOTDATA("dato",'[1]tabla dinámica EM'!$A$58,"categoría","1*","mes",9,"año",2009)</f>
        <v>3.98</v>
      </c>
      <c r="E21" s="339">
        <f>GETPIVOTDATA("dato",'[1]tabla dinámica EM'!$A$58,"categoría","2*","mes",9,"año",2009)</f>
        <v>2.14</v>
      </c>
      <c r="F21" s="339">
        <f>GETPIVOTDATA("dato",'[1]tabla dinámica EM'!$A$58,"categoría","3 *","mes",9,"año",2009)</f>
        <v>2.36</v>
      </c>
      <c r="G21" s="339">
        <f>GETPIVOTDATA("dato",'[1]tabla dinámica EM'!$A$58,"categoría","4* Y 5*","mes",9,"año",2009)</f>
        <v>2.1605877722382578</v>
      </c>
      <c r="H21" s="339">
        <f>GETPIVOTDATA("dato",'[1]tabla dinámica EM'!$A$58,"categoría","HOTELEROS","mes",9,"año",2009)</f>
        <v>2.33</v>
      </c>
      <c r="I21" s="339"/>
      <c r="J21" s="339">
        <f>GETPIVOTDATA("dato",'[1]tabla dinámica EM'!$A$58,"categoría","TOTAL","mes",9,"año",2009)</f>
        <v>2.33</v>
      </c>
    </row>
    <row r="22" spans="3:10" hidden="1" outlineLevel="1">
      <c r="C22" s="51" t="s">
        <v>42</v>
      </c>
      <c r="D22" s="339">
        <f>GETPIVOTDATA("dato",'[1]tabla dinámica EM'!$A$58,"categoría","1*","mes",8,"año",2009)</f>
        <v>4.3499999999999996</v>
      </c>
      <c r="E22" s="339">
        <f>GETPIVOTDATA("dato",'[1]tabla dinámica EM'!$A$58,"categoría","2*","mes",8,"año",2009)</f>
        <v>2.46</v>
      </c>
      <c r="F22" s="339">
        <f>GETPIVOTDATA("dato",'[1]tabla dinámica EM'!$A$58,"categoría","3 *","mes",8,"año",2009)</f>
        <v>2.52</v>
      </c>
      <c r="G22" s="339">
        <f>GETPIVOTDATA("dato",'[1]tabla dinámica EM'!$A$58,"categoría","4* Y 5*","mes",8,"año",2009)</f>
        <v>2.8732681336593315</v>
      </c>
      <c r="H22" s="339">
        <f>GETPIVOTDATA("dato",'[1]tabla dinámica EM'!$A$58,"categoría","HOTELEROS","mes",8,"año",2009)</f>
        <v>2.75</v>
      </c>
      <c r="I22" s="339"/>
      <c r="J22" s="339">
        <f>GETPIVOTDATA("dato",'[1]tabla dinámica EM'!$A$58,"categoría","TOTAL","mes",8,"año",2009)</f>
        <v>2.75</v>
      </c>
    </row>
    <row r="23" spans="3:10" hidden="1" outlineLevel="1">
      <c r="C23" s="51" t="s">
        <v>43</v>
      </c>
      <c r="D23" s="339">
        <f>GETPIVOTDATA("dato",'[1]tabla dinámica EM'!$A$58,"categoría","1*","mes",7,"año",2009)</f>
        <v>3.35</v>
      </c>
      <c r="E23" s="339">
        <f>GETPIVOTDATA("dato",'[1]tabla dinámica EM'!$A$58,"categoría","2*","mes",7,"año",2009)</f>
        <v>2.38</v>
      </c>
      <c r="F23" s="339">
        <f>GETPIVOTDATA("dato",'[1]tabla dinámica EM'!$A$58,"categoría","3 *","mes",7,"año",2009)</f>
        <v>2.2200000000000002</v>
      </c>
      <c r="G23" s="339">
        <f>GETPIVOTDATA("dato",'[1]tabla dinámica EM'!$A$58,"categoría","4* Y 5*","mes",7,"año",2009)</f>
        <v>2.0671506352087112</v>
      </c>
      <c r="H23" s="339">
        <f>GETPIVOTDATA("dato",'[1]tabla dinámica EM'!$A$58,"categoría","HOTELEROS","mes",7,"año",2009)</f>
        <v>2.29</v>
      </c>
      <c r="I23" s="339"/>
      <c r="J23" s="339">
        <f>GETPIVOTDATA("dato",'[1]tabla dinámica EM'!$A$58,"categoría","TOTAL","mes",7,"año",2009)</f>
        <v>2.29</v>
      </c>
    </row>
    <row r="24" spans="3:10" hidden="1" outlineLevel="1">
      <c r="C24" s="51" t="s">
        <v>44</v>
      </c>
      <c r="D24" s="339">
        <f>GETPIVOTDATA("dato",'[1]tabla dinámica EM'!$A$58,"categoría","1*","mes",6,"año",2009)</f>
        <v>3.3664596273291925</v>
      </c>
      <c r="E24" s="339">
        <f>GETPIVOTDATA("dato",'[1]tabla dinámica EM'!$A$58,"categoría","2*","mes",6,"año",2009)</f>
        <v>2.2093506493506494</v>
      </c>
      <c r="F24" s="339">
        <f>GETPIVOTDATA("dato",'[1]tabla dinámica EM'!$A$58,"categoría","3 *","mes",6,"año",2009)</f>
        <v>2.1175621028307337</v>
      </c>
      <c r="G24" s="339">
        <f>GETPIVOTDATA("dato",'[1]tabla dinámica EM'!$A$58,"categoría","4* Y 5*","mes",6,"año",2009)</f>
        <v>2.062378588387654</v>
      </c>
      <c r="H24" s="339">
        <f>GETPIVOTDATA("dato",'[1]tabla dinámica EM'!$A$58,"categoría","HOTELEROS","mes",6,"año",2009)</f>
        <v>2.2040784313725492</v>
      </c>
      <c r="I24" s="339"/>
      <c r="J24" s="339">
        <f>GETPIVOTDATA("dato",'[1]tabla dinámica EM'!$A$58,"categoría","TOTAL","mes",6,"año",2009)</f>
        <v>2.2040784313725492</v>
      </c>
    </row>
    <row r="25" spans="3:10" hidden="1" outlineLevel="1">
      <c r="C25" s="51" t="s">
        <v>45</v>
      </c>
      <c r="D25" s="339">
        <f>GETPIVOTDATA("dato",'[1]tabla dinámica EM'!$A$58,"categoría","1*","mes",5,"año",2009)</f>
        <v>2.96</v>
      </c>
      <c r="E25" s="339">
        <f>GETPIVOTDATA("dato",'[1]tabla dinámica EM'!$A$58,"categoría","2*","mes",5,"año",2009)</f>
        <v>2.38</v>
      </c>
      <c r="F25" s="339">
        <f>GETPIVOTDATA("dato",'[1]tabla dinámica EM'!$A$58,"categoría","3 *","mes",5,"año",2009)</f>
        <v>2.14</v>
      </c>
      <c r="G25" s="339">
        <f>GETPIVOTDATA("dato",'[1]tabla dinámica EM'!$A$58,"categoría","4* Y 5*","mes",5,"año",2009)</f>
        <v>2.0401178603807799</v>
      </c>
      <c r="H25" s="339">
        <f>GETPIVOTDATA("dato",'[1]tabla dinámica EM'!$A$58,"categoría","HOTELEROS","mes",5,"año",2009)</f>
        <v>2.2400000000000002</v>
      </c>
      <c r="I25" s="339"/>
      <c r="J25" s="339">
        <f>GETPIVOTDATA("dato",'[1]tabla dinámica EM'!$A$58,"categoría","TOTAL","mes",5,"año",2009)</f>
        <v>2.2400000000000002</v>
      </c>
    </row>
    <row r="26" spans="3:10" hidden="1" outlineLevel="1">
      <c r="C26" s="51" t="s">
        <v>46</v>
      </c>
      <c r="D26" s="339">
        <f>GETPIVOTDATA("dato",'[1]tabla dinámica EM'!$A$58,"categoría","1*","mes",4,"año",2009)</f>
        <v>2.65</v>
      </c>
      <c r="E26" s="339">
        <f>GETPIVOTDATA("dato",'[1]tabla dinámica EM'!$A$58,"categoría","2*","mes",4,"año",2009)</f>
        <v>2.31</v>
      </c>
      <c r="F26" s="339">
        <f>GETPIVOTDATA("dato",'[1]tabla dinámica EM'!$A$58,"categoría","3 *","mes",4,"año",2009)</f>
        <v>2.17</v>
      </c>
      <c r="G26" s="339">
        <f>GETPIVOTDATA("dato",'[1]tabla dinámica EM'!$A$58,"categoría","4* Y 5*","mes",4,"año",2009)</f>
        <v>2.2508693492300051</v>
      </c>
      <c r="H26" s="339">
        <f>GETPIVOTDATA("dato",'[1]tabla dinámica EM'!$A$58,"categoría","HOTELEROS","mes",4,"año",2009)</f>
        <v>2.2799999999999998</v>
      </c>
      <c r="I26" s="339"/>
      <c r="J26" s="339">
        <f>GETPIVOTDATA("dato",'[1]tabla dinámica EM'!$A$58,"categoría","TOTAL","mes",4,"año",2009)</f>
        <v>2.2799999999999998</v>
      </c>
    </row>
    <row r="27" spans="3:10" hidden="1" outlineLevel="1">
      <c r="C27" s="51" t="s">
        <v>47</v>
      </c>
      <c r="D27" s="339">
        <f>GETPIVOTDATA("dato",'[1]tabla dinámica EM'!$A$58,"categoría","1*","mes",3,"año",2009)</f>
        <v>2.91</v>
      </c>
      <c r="E27" s="339">
        <f>GETPIVOTDATA("dato",'[1]tabla dinámica EM'!$A$58,"categoría","2*","mes",3,"año",2009)</f>
        <v>2.76</v>
      </c>
      <c r="F27" s="339">
        <f>GETPIVOTDATA("dato",'[1]tabla dinámica EM'!$A$58,"categoría","3 *","mes",3,"año",2009)</f>
        <v>2.12</v>
      </c>
      <c r="G27" s="339">
        <f>GETPIVOTDATA("dato",'[1]tabla dinámica EM'!$A$58,"categoría","4* Y 5*","mes",3,"año",2009)</f>
        <v>1.9778</v>
      </c>
      <c r="H27" s="339">
        <f>GETPIVOTDATA("dato",'[1]tabla dinámica EM'!$A$58,"categoría","HOTELEROS","mes",3,"año",2009)</f>
        <v>2.34</v>
      </c>
      <c r="I27" s="339"/>
      <c r="J27" s="339">
        <f>GETPIVOTDATA("dato",'[1]tabla dinámica EM'!$A$58,"categoría","TOTAL","mes",3,"año",2009)</f>
        <v>2.34</v>
      </c>
    </row>
    <row r="28" spans="3:10" hidden="1" outlineLevel="1">
      <c r="C28" s="51" t="s">
        <v>48</v>
      </c>
      <c r="D28" s="339">
        <f>GETPIVOTDATA("dato",'[1]tabla dinámica EM'!$A$58,"categoría","1*","mes",2,"año",2009)</f>
        <v>2.57</v>
      </c>
      <c r="E28" s="339">
        <f>GETPIVOTDATA("dato",'[1]tabla dinámica EM'!$A$58,"categoría","2*","mes",2,"año",2009)</f>
        <v>2.59</v>
      </c>
      <c r="F28" s="339">
        <f>GETPIVOTDATA("dato",'[1]tabla dinámica EM'!$A$58,"categoría","3 *","mes",2,"año",2009)</f>
        <v>2.36</v>
      </c>
      <c r="G28" s="339">
        <f>GETPIVOTDATA("dato",'[1]tabla dinámica EM'!$A$58,"categoría","4* Y 5*","mes",2,"año",2009)</f>
        <v>2.7622217995054212</v>
      </c>
      <c r="H28" s="339">
        <f>GETPIVOTDATA("dato",'[1]tabla dinámica EM'!$A$58,"categoría","HOTELEROS","mes",2,"año",2009)</f>
        <v>2.59</v>
      </c>
      <c r="I28" s="339"/>
      <c r="J28" s="339">
        <f>GETPIVOTDATA("dato",'[1]tabla dinámica EM'!$A$58,"categoría","TOTAL","mes",2,"año",2009)</f>
        <v>2.59</v>
      </c>
    </row>
    <row r="29" spans="3:10" hidden="1" outlineLevel="1">
      <c r="C29" s="51" t="s">
        <v>49</v>
      </c>
      <c r="D29" s="339">
        <f>GETPIVOTDATA("dato",'[1]tabla dinámica EM'!$A$58,"categoría","1*","mes",1,"año",2009)</f>
        <v>2.67</v>
      </c>
      <c r="E29" s="339">
        <f>GETPIVOTDATA("dato",'[1]tabla dinámica EM'!$A$58,"categoría","2*","mes",1,"año",2009)</f>
        <v>2.84</v>
      </c>
      <c r="F29" s="339">
        <f>GETPIVOTDATA("dato",'[1]tabla dinámica EM'!$A$58,"categoría","3 *","mes",1,"año",2009)</f>
        <v>2</v>
      </c>
      <c r="G29" s="339">
        <f>GETPIVOTDATA("dato",'[1]tabla dinámica EM'!$A$58,"categoría","4* Y 5*","mes",1,"año",2009)</f>
        <v>2.3563894523326572</v>
      </c>
      <c r="H29" s="339">
        <f>GETPIVOTDATA("dato",'[1]tabla dinámica EM'!$A$58,"categoría","HOTELEROS","mes",1,"año",2009)</f>
        <v>2.4300000000000002</v>
      </c>
      <c r="I29" s="339"/>
      <c r="J29" s="339">
        <f>GETPIVOTDATA("dato",'[1]tabla dinámica EM'!$A$58,"categoría","TOTAL","mes",1,"año",2009)</f>
        <v>2.4300000000000002</v>
      </c>
    </row>
    <row r="30" spans="3:10" collapsed="1">
      <c r="C30" s="56">
        <v>2009</v>
      </c>
      <c r="D30" s="342">
        <f>'[1]tabla dinámica EM'!E269</f>
        <v>3.1970576848625627</v>
      </c>
      <c r="E30" s="342">
        <f>'[1]tabla dinámica EM'!E282</f>
        <v>2.3715694902073143</v>
      </c>
      <c r="F30" s="342">
        <f>'[1]tabla dinámica EM'!E295</f>
        <v>2.1818120458073662</v>
      </c>
      <c r="G30" s="342">
        <f>'[1]tabla dinámica EM'!E308</f>
        <v>2.3331296445960064</v>
      </c>
      <c r="H30" s="342">
        <f>'[1]tabla dinámica EM'!E334</f>
        <v>2.3595512168578701</v>
      </c>
      <c r="I30" s="342"/>
      <c r="J30" s="342">
        <f>'[1]tabla dinámica EM'!E347</f>
        <v>2.3595512168578701</v>
      </c>
    </row>
    <row r="31" spans="3:10" hidden="1" outlineLevel="1">
      <c r="C31" s="51" t="s">
        <v>38</v>
      </c>
      <c r="D31" s="339">
        <f>GETPIVOTDATA("dato",'[1]tabla dinámica EM'!$A$58,"categoría","1*","mes",12,"año",2008)</f>
        <v>2.68</v>
      </c>
      <c r="E31" s="339">
        <f>GETPIVOTDATA("dato",'[1]tabla dinámica EM'!$A$58,"categoría","2*","mes",12,"año",2008)</f>
        <v>2.64</v>
      </c>
      <c r="F31" s="339">
        <f>GETPIVOTDATA("dato",'[1]tabla dinámica EM'!$A$58,"categoría","3 *","mes",12,"año",2008)</f>
        <v>1.99</v>
      </c>
      <c r="G31" s="339">
        <f>GETPIVOTDATA("dato",'[1]tabla dinámica EM'!$A$58,"categoría","4* Y 5*","mes",12,"año",2008)</f>
        <v>2.2035065748278022</v>
      </c>
      <c r="H31" s="339">
        <f>GETPIVOTDATA("dato",'[1]tabla dinámica EM'!$A$58,"categoría","HOTELEROS","mes",12,"año",2008)</f>
        <v>2.37</v>
      </c>
      <c r="I31" s="339"/>
      <c r="J31" s="339">
        <f>GETPIVOTDATA("dato",'[1]tabla dinámica EM'!$A$58,"categoría","TOTAL","mes",12,"año",2008)</f>
        <v>2.37</v>
      </c>
    </row>
    <row r="32" spans="3:10" hidden="1" outlineLevel="1">
      <c r="C32" s="51" t="s">
        <v>39</v>
      </c>
      <c r="D32" s="339">
        <f>GETPIVOTDATA("dato",'[1]tabla dinámica EM'!$A$58,"categoría","1*","mes",11,"año",2008)</f>
        <v>2.94</v>
      </c>
      <c r="E32" s="339">
        <f>GETPIVOTDATA("dato",'[1]tabla dinámica EM'!$A$58,"categoría","2*","mes",11,"año",2008)</f>
        <v>2.6</v>
      </c>
      <c r="F32" s="339">
        <f>GETPIVOTDATA("dato",'[1]tabla dinámica EM'!$A$58,"categoría","3 *","mes",11,"año",2008)</f>
        <v>2.2200000000000002</v>
      </c>
      <c r="G32" s="339">
        <f>GETPIVOTDATA("dato",'[1]tabla dinámica EM'!$A$58,"categoría","4* Y 5*","mes",11,"año",2008)</f>
        <v>2.088141592920354</v>
      </c>
      <c r="H32" s="339">
        <f>GETPIVOTDATA("dato",'[1]tabla dinámica EM'!$A$58,"categoría","HOTELEROS","mes",11,"año",2008)</f>
        <v>2.38</v>
      </c>
      <c r="I32" s="339"/>
      <c r="J32" s="339">
        <f>GETPIVOTDATA("dato",'[1]tabla dinámica EM'!$A$58,"categoría","TOTAL","mes",11,"año",2008)</f>
        <v>2.38</v>
      </c>
    </row>
    <row r="33" spans="3:10" hidden="1" outlineLevel="1">
      <c r="C33" s="51" t="s">
        <v>40</v>
      </c>
      <c r="D33" s="339">
        <f>GETPIVOTDATA("dato",'[1]tabla dinámica EM'!$A$58,"categoría","1*","mes",10,"año",2008)</f>
        <v>2.77</v>
      </c>
      <c r="E33" s="339">
        <f>GETPIVOTDATA("dato",'[1]tabla dinámica EM'!$A$58,"categoría","2*","mes",10,"año",2008)</f>
        <v>2.48</v>
      </c>
      <c r="F33" s="339">
        <f>GETPIVOTDATA("dato",'[1]tabla dinámica EM'!$A$58,"categoría","3 *","mes",10,"año",2008)</f>
        <v>2.2799999999999998</v>
      </c>
      <c r="G33" s="339">
        <f>GETPIVOTDATA("dato",'[1]tabla dinámica EM'!$A$58,"categoría","4* Y 5*","mes",10,"año",2008)</f>
        <v>1.9533052554477202</v>
      </c>
      <c r="H33" s="339">
        <f>GETPIVOTDATA("dato",'[1]tabla dinámica EM'!$A$58,"categoría","HOTELEROS","mes",10,"año",2008)</f>
        <v>2.2999999999999998</v>
      </c>
      <c r="I33" s="339"/>
      <c r="J33" s="339">
        <f>GETPIVOTDATA("dato",'[1]tabla dinámica EM'!$A$58,"categoría","TOTAL","mes",10,"año",2008)</f>
        <v>2.2999999999999998</v>
      </c>
    </row>
    <row r="34" spans="3:10" hidden="1" outlineLevel="1">
      <c r="C34" s="51" t="s">
        <v>41</v>
      </c>
      <c r="D34" s="339">
        <f>GETPIVOTDATA("dato",'[1]tabla dinámica EM'!$A$58,"categoría","1*","mes",9,"año",2008)</f>
        <v>2.91</v>
      </c>
      <c r="E34" s="339">
        <f>GETPIVOTDATA("dato",'[1]tabla dinámica EM'!$A$58,"categoría","2*","mes",9,"año",2008)</f>
        <v>2.2000000000000002</v>
      </c>
      <c r="F34" s="339">
        <f>GETPIVOTDATA("dato",'[1]tabla dinámica EM'!$A$58,"categoría","3 *","mes",9,"año",2008)</f>
        <v>2.25</v>
      </c>
      <c r="G34" s="339">
        <f>GETPIVOTDATA("dato",'[1]tabla dinámica EM'!$A$58,"categoría","4* Y 5*","mes",9,"año",2008)</f>
        <v>2.1198476702508962</v>
      </c>
      <c r="H34" s="339">
        <f>GETPIVOTDATA("dato",'[1]tabla dinámica EM'!$A$58,"categoría","HOTELEROS","mes",9,"año",2008)</f>
        <v>2.2599999999999998</v>
      </c>
      <c r="I34" s="339"/>
      <c r="J34" s="339">
        <f>GETPIVOTDATA("dato",'[1]tabla dinámica EM'!$A$58,"categoría","TOTAL","mes",9,"año",2008)</f>
        <v>2.2599999999999998</v>
      </c>
    </row>
    <row r="35" spans="3:10" hidden="1" outlineLevel="1">
      <c r="C35" s="51" t="s">
        <v>42</v>
      </c>
      <c r="D35" s="339">
        <f>GETPIVOTDATA("dato",'[1]tabla dinámica EM'!$A$58,"categoría","1*","mes",8,"año",2008)</f>
        <v>3.48</v>
      </c>
      <c r="E35" s="339">
        <f>GETPIVOTDATA("dato",'[1]tabla dinámica EM'!$A$58,"categoría","2*","mes",8,"año",2008)</f>
        <v>2.73</v>
      </c>
      <c r="F35" s="339">
        <f>GETPIVOTDATA("dato",'[1]tabla dinámica EM'!$A$58,"categoría","3 *","mes",8,"año",2008)</f>
        <v>2.82</v>
      </c>
      <c r="G35" s="339">
        <f>GETPIVOTDATA("dato",'[1]tabla dinámica EM'!$A$58,"categoría","4* Y 5*","mes",8,"año",2008)</f>
        <v>2.0636074511585645</v>
      </c>
      <c r="H35" s="339">
        <f>GETPIVOTDATA("dato",'[1]tabla dinámica EM'!$A$58,"categoría","HOTELEROS","mes",8,"año",2008)</f>
        <v>2.59</v>
      </c>
      <c r="I35" s="339"/>
      <c r="J35" s="339">
        <f>GETPIVOTDATA("dato",'[1]tabla dinámica EM'!$A$58,"categoría","TOTAL","mes",8,"año",2008)</f>
        <v>2.59</v>
      </c>
    </row>
    <row r="36" spans="3:10" hidden="1" outlineLevel="1">
      <c r="C36" s="51" t="s">
        <v>43</v>
      </c>
      <c r="D36" s="339">
        <f>GETPIVOTDATA("dato",'[1]tabla dinámica EM'!$A$58,"categoría","1*","mes",7,"año",2008)</f>
        <v>4.4000000000000004</v>
      </c>
      <c r="E36" s="339">
        <f>GETPIVOTDATA("dato",'[1]tabla dinámica EM'!$A$58,"categoría","2*","mes",7,"año",2008)</f>
        <v>2.74</v>
      </c>
      <c r="F36" s="339">
        <f>GETPIVOTDATA("dato",'[1]tabla dinámica EM'!$A$58,"categoría","3 *","mes",7,"año",2008)</f>
        <v>2.3199999999999998</v>
      </c>
      <c r="G36" s="339">
        <f>GETPIVOTDATA("dato",'[1]tabla dinámica EM'!$A$58,"categoría","4* Y 5*","mes",7,"año",2008)</f>
        <v>2.2197389594135526</v>
      </c>
      <c r="H36" s="339">
        <f>GETPIVOTDATA("dato",'[1]tabla dinámica EM'!$A$58,"categoría","HOTELEROS","mes",7,"año",2008)</f>
        <v>2.59</v>
      </c>
      <c r="I36" s="339"/>
      <c r="J36" s="339">
        <f>GETPIVOTDATA("dato",'[1]tabla dinámica EM'!$A$58,"categoría","TOTAL","mes",7,"año",2008)</f>
        <v>2.59</v>
      </c>
    </row>
    <row r="37" spans="3:10" hidden="1" outlineLevel="1">
      <c r="C37" s="51" t="s">
        <v>44</v>
      </c>
      <c r="D37" s="339">
        <f>GETPIVOTDATA("dato",'[1]tabla dinámica EM'!$A$58,"categoría","1*","mes",6,"año",2008)</f>
        <v>3.93</v>
      </c>
      <c r="E37" s="339">
        <f>GETPIVOTDATA("dato",'[1]tabla dinámica EM'!$A$58,"categoría","2*","mes",6,"año",2008)</f>
        <v>2.4700000000000002</v>
      </c>
      <c r="F37" s="339">
        <f>GETPIVOTDATA("dato",'[1]tabla dinámica EM'!$A$58,"categoría","3 *","mes",6,"año",2008)</f>
        <v>2.66</v>
      </c>
      <c r="G37" s="339">
        <f>GETPIVOTDATA("dato",'[1]tabla dinámica EM'!$A$58,"categoría","4* Y 5*","mes",6,"año",2008)</f>
        <v>2.222375690607735</v>
      </c>
      <c r="H37" s="339">
        <f>GETPIVOTDATA("dato",'[1]tabla dinámica EM'!$A$58,"categoría","HOTELEROS","mes",6,"año",2008)</f>
        <v>2.5299999999999998</v>
      </c>
      <c r="I37" s="339"/>
      <c r="J37" s="339">
        <f>GETPIVOTDATA("dato",'[1]tabla dinámica EM'!$A$58,"categoría","TOTAL","mes",6,"año",2008)</f>
        <v>2.5299999999999998</v>
      </c>
    </row>
    <row r="38" spans="3:10" hidden="1" outlineLevel="1">
      <c r="C38" s="51" t="s">
        <v>45</v>
      </c>
      <c r="D38" s="339">
        <f>GETPIVOTDATA("dato",'[1]tabla dinámica EM'!$A$58,"categoría","1*","mes",5,"año",2008)</f>
        <v>3.16</v>
      </c>
      <c r="E38" s="339">
        <f>GETPIVOTDATA("dato",'[1]tabla dinámica EM'!$A$58,"categoría","2*","mes",5,"año",2008)</f>
        <v>2.6</v>
      </c>
      <c r="F38" s="339">
        <f>GETPIVOTDATA("dato",'[1]tabla dinámica EM'!$A$58,"categoría","3 *","mes",5,"año",2008)</f>
        <v>2.38</v>
      </c>
      <c r="G38" s="339">
        <f>GETPIVOTDATA("dato",'[1]tabla dinámica EM'!$A$58,"categoría","4* Y 5*","mes",5,"año",2008)</f>
        <v>2.9748330765279918</v>
      </c>
      <c r="H38" s="339">
        <f>GETPIVOTDATA("dato",'[1]tabla dinámica EM'!$A$58,"categoría","HOTELEROS","mes",5,"año",2008)</f>
        <v>2.72</v>
      </c>
      <c r="I38" s="339"/>
      <c r="J38" s="339">
        <f>GETPIVOTDATA("dato",'[1]tabla dinámica EM'!$A$58,"categoría","TOTAL","mes",5,"año",2008)</f>
        <v>2.72</v>
      </c>
    </row>
    <row r="39" spans="3:10" hidden="1" outlineLevel="1">
      <c r="C39" s="51" t="s">
        <v>46</v>
      </c>
      <c r="D39" s="339">
        <f>GETPIVOTDATA("dato",'[1]tabla dinámica EM'!$A$58,"categoría","1*","mes",4,"año",2008)</f>
        <v>3.27</v>
      </c>
      <c r="E39" s="339">
        <f>GETPIVOTDATA("dato",'[1]tabla dinámica EM'!$A$58,"categoría","2*","mes",4,"año",2008)</f>
        <v>2.41</v>
      </c>
      <c r="F39" s="339">
        <f>GETPIVOTDATA("dato",'[1]tabla dinámica EM'!$A$58,"categoría","3 *","mes",4,"año",2008)</f>
        <v>2.23</v>
      </c>
      <c r="G39" s="339">
        <f>GETPIVOTDATA("dato",'[1]tabla dinámica EM'!$A$58,"categoría","4* Y 5*","mes",4,"año",2008)</f>
        <v>2.3041583439259123</v>
      </c>
      <c r="H39" s="339">
        <f>GETPIVOTDATA("dato",'[1]tabla dinámica EM'!$A$58,"categoría","HOTELEROS","mes",4,"año",2008)</f>
        <v>2.4</v>
      </c>
      <c r="I39" s="339"/>
      <c r="J39" s="339">
        <f>GETPIVOTDATA("dato",'[1]tabla dinámica EM'!$A$58,"categoría","TOTAL","mes",4,"año",2008)</f>
        <v>2.4</v>
      </c>
    </row>
    <row r="40" spans="3:10" hidden="1" outlineLevel="1">
      <c r="C40" s="51" t="s">
        <v>47</v>
      </c>
      <c r="D40" s="339">
        <f>GETPIVOTDATA("dato",'[1]tabla dinámica EM'!$A$58,"categoría","1*","mes",3,"año",2008)</f>
        <v>3.39</v>
      </c>
      <c r="E40" s="339">
        <f>GETPIVOTDATA("dato",'[1]tabla dinámica EM'!$A$58,"categoría","2*","mes",3,"año",2008)</f>
        <v>2.48</v>
      </c>
      <c r="F40" s="339">
        <f>GETPIVOTDATA("dato",'[1]tabla dinámica EM'!$A$58,"categoría","3 *","mes",3,"año",2008)</f>
        <v>2.4</v>
      </c>
      <c r="G40" s="339">
        <f>GETPIVOTDATA("dato",'[1]tabla dinámica EM'!$A$58,"categoría","4* Y 5*","mes",3,"año",2008)</f>
        <v>3.6998568799836433</v>
      </c>
      <c r="H40" s="339">
        <f>GETPIVOTDATA("dato",'[1]tabla dinámica EM'!$A$58,"categoría","HOTELEROS","mes",3,"año",2008)</f>
        <v>2.9</v>
      </c>
      <c r="I40" s="339"/>
      <c r="J40" s="339">
        <f>GETPIVOTDATA("dato",'[1]tabla dinámica EM'!$A$58,"categoría","TOTAL","mes",3,"año",2008)</f>
        <v>2.9</v>
      </c>
    </row>
    <row r="41" spans="3:10" hidden="1" outlineLevel="1">
      <c r="C41" s="51" t="s">
        <v>48</v>
      </c>
      <c r="D41" s="339">
        <f>GETPIVOTDATA("dato",'[1]tabla dinámica EM'!$A$58,"categoría","1*","mes",2,"año",2008)</f>
        <v>3.5</v>
      </c>
      <c r="E41" s="339">
        <f>GETPIVOTDATA("dato",'[1]tabla dinámica EM'!$A$58,"categoría","2*","mes",2,"año",2008)</f>
        <v>2.62</v>
      </c>
      <c r="F41" s="339">
        <f>GETPIVOTDATA("dato",'[1]tabla dinámica EM'!$A$58,"categoría","3 *","mes",2,"año",2008)</f>
        <v>2.46</v>
      </c>
      <c r="G41" s="339">
        <f>GETPIVOTDATA("dato",'[1]tabla dinámica EM'!$A$58,"categoría","4* Y 5*","mes",2,"año",2008)</f>
        <v>2.1408153321422771</v>
      </c>
      <c r="H41" s="339">
        <f>GETPIVOTDATA("dato",'[1]tabla dinámica EM'!$A$58,"categoría","HOTELEROS","mes",2,"año",2008)</f>
        <v>2.5099999999999998</v>
      </c>
      <c r="I41" s="339"/>
      <c r="J41" s="339">
        <f>GETPIVOTDATA("dato",'[1]tabla dinámica EM'!$A$58,"categoría","TOTAL","mes",2,"año",2008)</f>
        <v>2.5099999999999998</v>
      </c>
    </row>
    <row r="42" spans="3:10" hidden="1" outlineLevel="1">
      <c r="C42" s="51" t="s">
        <v>49</v>
      </c>
      <c r="D42" s="339">
        <f>GETPIVOTDATA("dato",'[1]tabla dinámica EM'!$A$58,"categoría","1*","mes",1,"año",2008)</f>
        <v>3.2945159106296549</v>
      </c>
      <c r="E42" s="339">
        <f>GETPIVOTDATA("dato",'[1]tabla dinámica EM'!$A$58,"categoría","2*","mes",1,"año",2008)</f>
        <v>2.8883167042162858</v>
      </c>
      <c r="F42" s="339">
        <f>GETPIVOTDATA("dato",'[1]tabla dinámica EM'!$A$58,"categoría","3 *","mes",1,"año",2008)</f>
        <v>1.9849896480331264</v>
      </c>
      <c r="G42" s="339">
        <f>GETPIVOTDATA("dato",'[1]tabla dinámica EM'!$A$58,"categoría","4* Y 5*","mes",1,"año",2008)</f>
        <v>2.3106688778330571</v>
      </c>
      <c r="H42" s="339">
        <f>GETPIVOTDATA("dato",'[1]tabla dinámica EM'!$A$58,"categoría","HOTELEROS","mes",1,"año",2008)</f>
        <v>2.5335060652455543</v>
      </c>
      <c r="I42" s="339"/>
      <c r="J42" s="339">
        <f>GETPIVOTDATA("dato",'[1]tabla dinámica EM'!$A$58,"categoría","TOTAL","mes",1,"año",2008)</f>
        <v>2.5335060652455543</v>
      </c>
    </row>
    <row r="43" spans="3:10" collapsed="1">
      <c r="C43" s="58">
        <v>2008</v>
      </c>
      <c r="D43" s="343">
        <f>'[1]tabla dinámica EM'!D269</f>
        <v>3.2604621752126928</v>
      </c>
      <c r="E43" s="343">
        <f>'[1]tabla dinámica EM'!D282</f>
        <v>2.568532672312883</v>
      </c>
      <c r="F43" s="343">
        <f>'[1]tabla dinámica EM'!D295</f>
        <v>2.3216195897325744</v>
      </c>
      <c r="G43" s="343">
        <f>'[1]tabla dinámica EM'!D308</f>
        <v>2.3576961993296655</v>
      </c>
      <c r="H43" s="343">
        <f>'[1]tabla dinámica EM'!D334</f>
        <v>2.5045040987298441</v>
      </c>
      <c r="I43" s="343"/>
      <c r="J43" s="343">
        <f>'[1]tabla dinámica EM'!D347</f>
        <v>2.5045040987298441</v>
      </c>
    </row>
    <row r="44" spans="3:10" hidden="1" outlineLevel="1">
      <c r="C44" s="51" t="s">
        <v>38</v>
      </c>
      <c r="D44" s="339">
        <f>GETPIVOTDATA("dato",'[1]tabla dinámica EM'!$A$58,"categoría","1*","mes",12,"año",2007)</f>
        <v>2.87</v>
      </c>
      <c r="E44" s="339">
        <f>GETPIVOTDATA("dato",'[1]tabla dinámica EM'!$A$58,"categoría","2*","mes",12,"año",2007)</f>
        <v>2.56</v>
      </c>
      <c r="F44" s="339">
        <f>GETPIVOTDATA("dato",'[1]tabla dinámica EM'!$A$58,"categoría","3 *","mes",12,"año",2007)</f>
        <v>2.33</v>
      </c>
      <c r="G44" s="339">
        <f>GETPIVOTDATA("dato",'[1]tabla dinámica EM'!$A$58,"categoría","4* Y 5*","mes",12,"año",2007)</f>
        <v>2.3160585637927027</v>
      </c>
      <c r="H44" s="339">
        <f>GETPIVOTDATA("dato",'[1]tabla dinámica EM'!$A$58,"categoría","HOTELEROS","mes",12,"año",2007)</f>
        <v>2.4700000000000002</v>
      </c>
      <c r="I44" s="339"/>
      <c r="J44" s="339">
        <f>GETPIVOTDATA("dato",'[1]tabla dinámica EM'!$A$58,"categoría","TOTAL","mes",12,"año",2007)</f>
        <v>2.4700000000000002</v>
      </c>
    </row>
    <row r="45" spans="3:10" hidden="1" outlineLevel="1">
      <c r="C45" s="51" t="s">
        <v>39</v>
      </c>
      <c r="D45" s="339">
        <f>GETPIVOTDATA("dato",'[1]tabla dinámica EM'!$A$58,"categoría","1*","mes",11,"año",2007)</f>
        <v>2.83</v>
      </c>
      <c r="E45" s="339">
        <f>GETPIVOTDATA("dato",'[1]tabla dinámica EM'!$A$58,"categoría","2*","mes",11,"año",2007)</f>
        <v>2.4900000000000002</v>
      </c>
      <c r="F45" s="339">
        <f>GETPIVOTDATA("dato",'[1]tabla dinámica EM'!$A$58,"categoría","3 *","mes",11,"año",2007)</f>
        <v>2.04</v>
      </c>
      <c r="G45" s="339">
        <f>GETPIVOTDATA("dato",'[1]tabla dinámica EM'!$A$58,"categoría","4* Y 5*","mes",11,"año",2007)</f>
        <v>2.06619688234038</v>
      </c>
      <c r="H45" s="339">
        <f>GETPIVOTDATA("dato",'[1]tabla dinámica EM'!$A$58,"categoría","HOTELEROS","mes",11,"año",2007)</f>
        <v>2.29</v>
      </c>
      <c r="I45" s="339"/>
      <c r="J45" s="339">
        <f>GETPIVOTDATA("dato",'[1]tabla dinámica EM'!$A$58,"categoría","TOTAL","mes",11,"año",2007)</f>
        <v>2.29</v>
      </c>
    </row>
    <row r="46" spans="3:10" hidden="1" outlineLevel="1">
      <c r="C46" s="51" t="s">
        <v>40</v>
      </c>
      <c r="D46" s="339">
        <f>GETPIVOTDATA("dato",'[1]tabla dinámica EM'!$A$58,"categoría","1*","mes",10,"año",2007)</f>
        <v>3.11</v>
      </c>
      <c r="E46" s="339">
        <f>GETPIVOTDATA("dato",'[1]tabla dinámica EM'!$A$58,"categoría","2*","mes",10,"año",2007)</f>
        <v>2.54</v>
      </c>
      <c r="F46" s="339">
        <f>GETPIVOTDATA("dato",'[1]tabla dinámica EM'!$A$58,"categoría","3 *","mes",10,"año",2007)</f>
        <v>2.1800000000000002</v>
      </c>
      <c r="G46" s="339">
        <f>GETPIVOTDATA("dato",'[1]tabla dinámica EM'!$A$58,"categoría","4* Y 5*","mes",10,"año",2007)</f>
        <v>2.6352691218130313</v>
      </c>
      <c r="H46" s="339">
        <f>GETPIVOTDATA("dato",'[1]tabla dinámica EM'!$A$58,"categoría","HOTELEROS","mes",10,"año",2007)</f>
        <v>2.52</v>
      </c>
      <c r="I46" s="339"/>
      <c r="J46" s="339">
        <f>GETPIVOTDATA("dato",'[1]tabla dinámica EM'!$A$58,"categoría","TOTAL","mes",10,"año",2007)</f>
        <v>2.52</v>
      </c>
    </row>
    <row r="47" spans="3:10" hidden="1" outlineLevel="1">
      <c r="C47" s="51" t="s">
        <v>41</v>
      </c>
      <c r="D47" s="339">
        <f>GETPIVOTDATA("dato",'[1]tabla dinámica EM'!$A$58,"categoría","1*","mes",9,"año",2007)</f>
        <v>2.79</v>
      </c>
      <c r="E47" s="339">
        <f>GETPIVOTDATA("dato",'[1]tabla dinámica EM'!$A$58,"categoría","2*","mes",9,"año",2007)</f>
        <v>2.61</v>
      </c>
      <c r="F47" s="339">
        <f>GETPIVOTDATA("dato",'[1]tabla dinámica EM'!$A$58,"categoría","3 *","mes",9,"año",2007)</f>
        <v>2.36</v>
      </c>
      <c r="G47" s="339">
        <f>GETPIVOTDATA("dato",'[1]tabla dinámica EM'!$A$58,"categoría","4* Y 5*","mes",9,"año",2007)</f>
        <v>2.8739520958083831</v>
      </c>
      <c r="H47" s="339">
        <f>GETPIVOTDATA("dato",'[1]tabla dinámica EM'!$A$58,"categoría","HOTELEROS","mes",9,"año",2007)</f>
        <v>2.62</v>
      </c>
      <c r="I47" s="339"/>
      <c r="J47" s="339">
        <f>GETPIVOTDATA("dato",'[1]tabla dinámica EM'!$A$58,"categoría","TOTAL","mes",9,"año",2007)</f>
        <v>2.62</v>
      </c>
    </row>
    <row r="48" spans="3:10" hidden="1" outlineLevel="1">
      <c r="C48" s="51" t="s">
        <v>42</v>
      </c>
      <c r="D48" s="339">
        <f>GETPIVOTDATA("dato",'[1]tabla dinámica EM'!$A$58,"categoría","1*","mes",8,"año",2007)</f>
        <v>2.86</v>
      </c>
      <c r="E48" s="339">
        <f>GETPIVOTDATA("dato",'[1]tabla dinámica EM'!$A$58,"categoría","2*","mes",8,"año",2007)</f>
        <v>2.85</v>
      </c>
      <c r="F48" s="339">
        <f>GETPIVOTDATA("dato",'[1]tabla dinámica EM'!$A$58,"categoría","3 *","mes",8,"año",2007)</f>
        <v>2.88</v>
      </c>
      <c r="G48" s="339">
        <f>GETPIVOTDATA("dato",'[1]tabla dinámica EM'!$A$58,"categoría","4* Y 5*","mes",8,"año",2007)</f>
        <v>2.3022064617809299</v>
      </c>
      <c r="H48" s="339">
        <f>GETPIVOTDATA("dato",'[1]tabla dinámica EM'!$A$58,"categoría","HOTELEROS","mes",8,"año",2007)</f>
        <v>2.72</v>
      </c>
      <c r="I48" s="339"/>
      <c r="J48" s="339">
        <f>GETPIVOTDATA("dato",'[1]tabla dinámica EM'!$A$58,"categoría","TOTAL","mes",8,"año",2007)</f>
        <v>2.72</v>
      </c>
    </row>
    <row r="49" spans="3:10" hidden="1" outlineLevel="1">
      <c r="C49" s="51" t="s">
        <v>43</v>
      </c>
      <c r="D49" s="339">
        <f>GETPIVOTDATA("dato",'[1]tabla dinámica EM'!$A$58,"categoría","1*","mes",7,"año",2007)</f>
        <v>3.4</v>
      </c>
      <c r="E49" s="339">
        <f>GETPIVOTDATA("dato",'[1]tabla dinámica EM'!$A$58,"categoría","2*","mes",7,"año",2007)</f>
        <v>2.57</v>
      </c>
      <c r="F49" s="339">
        <f>GETPIVOTDATA("dato",'[1]tabla dinámica EM'!$A$58,"categoría","3 *","mes",7,"año",2007)</f>
        <v>2.15</v>
      </c>
      <c r="G49" s="339">
        <f>GETPIVOTDATA("dato",'[1]tabla dinámica EM'!$A$58,"categoría","4* Y 5*","mes",7,"año",2007)</f>
        <v>3.8432870370370371</v>
      </c>
      <c r="H49" s="339">
        <f>GETPIVOTDATA("dato",'[1]tabla dinámica EM'!$A$58,"categoría","HOTELEROS","mes",7,"año",2007)</f>
        <v>2.92</v>
      </c>
      <c r="I49" s="339"/>
      <c r="J49" s="339">
        <f>GETPIVOTDATA("dato",'[1]tabla dinámica EM'!$A$58,"categoría","TOTAL","mes",7,"año",2007)</f>
        <v>2.92</v>
      </c>
    </row>
    <row r="50" spans="3:10" hidden="1" outlineLevel="1">
      <c r="C50" s="51" t="s">
        <v>44</v>
      </c>
      <c r="D50" s="339">
        <f>GETPIVOTDATA("dato",'[1]tabla dinámica EM'!$A$58,"categoría","1*","mes",6,"año",2007)</f>
        <v>3.28</v>
      </c>
      <c r="E50" s="339">
        <f>GETPIVOTDATA("dato",'[1]tabla dinámica EM'!$A$58,"categoría","2*","mes",6,"año",2007)</f>
        <v>2.93</v>
      </c>
      <c r="F50" s="339">
        <f>GETPIVOTDATA("dato",'[1]tabla dinámica EM'!$A$58,"categoría","3 *","mes",6,"año",2007)</f>
        <v>2.06</v>
      </c>
      <c r="G50" s="339">
        <f>GETPIVOTDATA("dato",'[1]tabla dinámica EM'!$A$58,"categoría","4* Y 5*","mes",6,"año",2007)</f>
        <v>4.2353293413173656</v>
      </c>
      <c r="H50" s="339">
        <f>GETPIVOTDATA("dato",'[1]tabla dinámica EM'!$A$58,"categoría","HOTELEROS","mes",6,"año",2007)</f>
        <v>3.21</v>
      </c>
      <c r="I50" s="339"/>
      <c r="J50" s="339">
        <f>GETPIVOTDATA("dato",'[1]tabla dinámica EM'!$A$58,"categoría","TOTAL","mes",6,"año",2007)</f>
        <v>3.21</v>
      </c>
    </row>
    <row r="51" spans="3:10" hidden="1" outlineLevel="1">
      <c r="C51" s="51" t="s">
        <v>45</v>
      </c>
      <c r="D51" s="339">
        <f>GETPIVOTDATA("dato",'[1]tabla dinámica EM'!$A$58,"categoría","1*","mes",5,"año",2007)</f>
        <v>3.18</v>
      </c>
      <c r="E51" s="339">
        <f>GETPIVOTDATA("dato",'[1]tabla dinámica EM'!$A$58,"categoría","2*","mes",5,"año",2007)</f>
        <v>2.73</v>
      </c>
      <c r="F51" s="339">
        <f>GETPIVOTDATA("dato",'[1]tabla dinámica EM'!$A$58,"categoría","3 *","mes",5,"año",2007)</f>
        <v>2.2599999999999998</v>
      </c>
      <c r="G51" s="339">
        <f>GETPIVOTDATA("dato",'[1]tabla dinámica EM'!$A$58,"categoría","4* Y 5*","mes",5,"año",2007)</f>
        <v>3.7365269461077846</v>
      </c>
      <c r="H51" s="339">
        <f>GETPIVOTDATA("dato",'[1]tabla dinámica EM'!$A$58,"categoría","HOTELEROS","mes",5,"año",2007)</f>
        <v>2.98</v>
      </c>
      <c r="I51" s="339"/>
      <c r="J51" s="339">
        <f>GETPIVOTDATA("dato",'[1]tabla dinámica EM'!$A$58,"categoría","TOTAL","mes",5,"año",2007)</f>
        <v>2.98</v>
      </c>
    </row>
    <row r="52" spans="3:10" hidden="1" outlineLevel="1">
      <c r="C52" s="51" t="s">
        <v>46</v>
      </c>
      <c r="D52" s="339">
        <f>GETPIVOTDATA("dato",'[1]tabla dinámica EM'!$A$58,"categoría","1*","mes",4,"año",2007)</f>
        <v>3.21</v>
      </c>
      <c r="E52" s="339">
        <f>GETPIVOTDATA("dato",'[1]tabla dinámica EM'!$A$58,"categoría","2*","mes",4,"año",2007)</f>
        <v>2.8</v>
      </c>
      <c r="F52" s="339">
        <f>GETPIVOTDATA("dato",'[1]tabla dinámica EM'!$A$58,"categoría","3 *","mes",4,"año",2007)</f>
        <v>2.2999999999999998</v>
      </c>
      <c r="G52" s="339">
        <f>GETPIVOTDATA("dato",'[1]tabla dinámica EM'!$A$58,"categoría","4* Y 5*","mes",4,"año",2007)</f>
        <v>3.3057568438003222</v>
      </c>
      <c r="H52" s="339">
        <f>GETPIVOTDATA("dato",'[1]tabla dinámica EM'!$A$58,"categoría","HOTELEROS","mes",4,"año",2007)</f>
        <v>2.87</v>
      </c>
      <c r="I52" s="339"/>
      <c r="J52" s="339">
        <f>GETPIVOTDATA("dato",'[1]tabla dinámica EM'!$A$58,"categoría","TOTAL","mes",4,"año",2007)</f>
        <v>2.87</v>
      </c>
    </row>
    <row r="53" spans="3:10" hidden="1" outlineLevel="1">
      <c r="C53" s="51" t="s">
        <v>47</v>
      </c>
      <c r="D53" s="339">
        <f>GETPIVOTDATA("dato",'[1]tabla dinámica EM'!$A$58,"categoría","1*","mes",3,"año",2007)</f>
        <v>3.09</v>
      </c>
      <c r="E53" s="339">
        <f>GETPIVOTDATA("dato",'[1]tabla dinámica EM'!$A$58,"categoría","2*","mes",3,"año",2007)</f>
        <v>2.52</v>
      </c>
      <c r="F53" s="339">
        <f>GETPIVOTDATA("dato",'[1]tabla dinámica EM'!$A$58,"categoría","3 *","mes",3,"año",2007)</f>
        <v>2.2200000000000002</v>
      </c>
      <c r="G53" s="339">
        <f>GETPIVOTDATA("dato",'[1]tabla dinámica EM'!$A$58,"categoría","4* Y 5*","mes",3,"año",2007)</f>
        <v>2.8474718629262559</v>
      </c>
      <c r="H53" s="339">
        <f>GETPIVOTDATA("dato",'[1]tabla dinámica EM'!$A$58,"categoría","HOTELEROS","mes",3,"año",2007)</f>
        <v>2.61</v>
      </c>
      <c r="I53" s="339"/>
      <c r="J53" s="339">
        <f>GETPIVOTDATA("dato",'[1]tabla dinámica EM'!$A$58,"categoría","TOTAL","mes",3,"año",2007)</f>
        <v>2.61</v>
      </c>
    </row>
    <row r="54" spans="3:10" hidden="1" outlineLevel="1">
      <c r="C54" s="51" t="s">
        <v>48</v>
      </c>
      <c r="D54" s="339">
        <f>GETPIVOTDATA("dato",'[1]tabla dinámica EM'!$A$58,"categoría","1*","mes",2,"año",2007)</f>
        <v>3.26</v>
      </c>
      <c r="E54" s="339">
        <f>GETPIVOTDATA("dato",'[1]tabla dinámica EM'!$A$58,"categoría","2*","mes",2,"año",2007)</f>
        <v>2.79</v>
      </c>
      <c r="F54" s="339">
        <f>GETPIVOTDATA("dato",'[1]tabla dinámica EM'!$A$58,"categoría","3 *","mes",2,"año",2007)</f>
        <v>2.25</v>
      </c>
      <c r="G54" s="339">
        <f>GETPIVOTDATA("dato",'[1]tabla dinámica EM'!$A$58,"categoría","4* Y 5*","mes",2,"año",2007)</f>
        <v>2.5740664751743947</v>
      </c>
      <c r="H54" s="339">
        <f>GETPIVOTDATA("dato",'[1]tabla dinámica EM'!$A$58,"categoría","HOTELEROS","mes",2,"año",2007)</f>
        <v>2.64</v>
      </c>
      <c r="I54" s="339"/>
      <c r="J54" s="339">
        <f>GETPIVOTDATA("dato",'[1]tabla dinámica EM'!$A$58,"categoría","TOTAL","mes",2,"año",2007)</f>
        <v>2.64</v>
      </c>
    </row>
    <row r="55" spans="3:10" hidden="1" outlineLevel="1">
      <c r="C55" s="51" t="s">
        <v>49</v>
      </c>
      <c r="D55" s="339">
        <f>GETPIVOTDATA("dato",'[1]tabla dinámica EM'!$A$58,"categoría","1*","mes",1,"año",2007)</f>
        <v>3.24</v>
      </c>
      <c r="E55" s="339">
        <f>GETPIVOTDATA("dato",'[1]tabla dinámica EM'!$A$58,"categoría","2*","mes",1,"año",2007)</f>
        <v>2.56</v>
      </c>
      <c r="F55" s="339">
        <f>GETPIVOTDATA("dato",'[1]tabla dinámica EM'!$A$58,"categoría","3 *","mes",1,"año",2007)</f>
        <v>2.16</v>
      </c>
      <c r="G55" s="339">
        <f>GETPIVOTDATA("dato",'[1]tabla dinámica EM'!$A$58,"categoría","4* Y 5*","mes",1,"año",2007)</f>
        <v>2.9628742514970061</v>
      </c>
      <c r="H55" s="339">
        <f>GETPIVOTDATA("dato",'[1]tabla dinámica EM'!$A$58,"categoría","HOTELEROS","mes",1,"año",2007)</f>
        <v>2.68</v>
      </c>
      <c r="I55" s="339"/>
      <c r="J55" s="339">
        <f>GETPIVOTDATA("dato",'[1]tabla dinámica EM'!$A$58,"categoría","TOTAL","mes",1,"año",2007)</f>
        <v>2.68</v>
      </c>
    </row>
    <row r="56" spans="3:10" collapsed="1">
      <c r="C56" s="58">
        <v>2007</v>
      </c>
      <c r="D56" s="343">
        <f>'[1]tabla dinámica EM'!C269</f>
        <v>3.097266265718972</v>
      </c>
      <c r="E56" s="343">
        <f>'[1]tabla dinámica EM'!C282</f>
        <v>2.6317709660973745</v>
      </c>
      <c r="F56" s="343">
        <f>'[1]tabla dinámica EM'!C295</f>
        <v>2.2454202641719383</v>
      </c>
      <c r="G56" s="343">
        <f>'[1]tabla dinámica EM'!C308</f>
        <v>3.0128518066496541</v>
      </c>
      <c r="H56" s="343">
        <f>'[1]tabla dinámica EM'!C334</f>
        <v>2.6882476247515856</v>
      </c>
      <c r="I56" s="343"/>
      <c r="J56" s="343">
        <f>'[1]tabla dinámica EM'!C347</f>
        <v>2.6882476247515856</v>
      </c>
    </row>
    <row r="57" spans="3:10" hidden="1" outlineLevel="1">
      <c r="C57" s="51" t="s">
        <v>38</v>
      </c>
      <c r="D57" s="339">
        <f>GETPIVOTDATA("dato",'[1]tabla dinámica EM'!$A$58,"categoría","1*","mes",12,"año",2006)</f>
        <v>3.45</v>
      </c>
      <c r="E57" s="339">
        <f>GETPIVOTDATA("dato",'[1]tabla dinámica EM'!$A$58,"categoría","2*","mes",12,"año",2006)</f>
        <v>2.57</v>
      </c>
      <c r="F57" s="339">
        <f>GETPIVOTDATA("dato",'[1]tabla dinámica EM'!$A$58,"categoría","3 *","mes",12,"año",2006)</f>
        <v>2.14</v>
      </c>
      <c r="G57" s="339">
        <f>GETPIVOTDATA("dato",'[1]tabla dinámica EM'!$A$58,"categoría","4* Y 5*","mes",12,"año",2006)</f>
        <v>3.0866654268179281</v>
      </c>
      <c r="H57" s="339">
        <f>GETPIVOTDATA("dato",'[1]tabla dinámica EM'!$A$58,"categoría","HOTELEROS","mes",12,"año",2006)</f>
        <v>2.72</v>
      </c>
      <c r="I57" s="339"/>
      <c r="J57" s="339">
        <f>GETPIVOTDATA("dato",'[1]tabla dinámica EM'!$A$58,"categoría","TOTAL","mes",12,"año",2006)</f>
        <v>2.72</v>
      </c>
    </row>
    <row r="58" spans="3:10" hidden="1" outlineLevel="1">
      <c r="C58" s="51" t="s">
        <v>39</v>
      </c>
      <c r="D58" s="339">
        <f>GETPIVOTDATA("dato",'[1]tabla dinámica EM'!$A$58,"categoría","1*","mes",11,"año",2006)</f>
        <v>3.51</v>
      </c>
      <c r="E58" s="339">
        <f>GETPIVOTDATA("dato",'[1]tabla dinámica EM'!$A$58,"categoría","2*","mes",11,"año",2006)</f>
        <v>2.4500000000000002</v>
      </c>
      <c r="F58" s="339">
        <f>GETPIVOTDATA("dato",'[1]tabla dinámica EM'!$A$58,"categoría","3 *","mes",11,"año",2006)</f>
        <v>2.25</v>
      </c>
      <c r="G58" s="339">
        <f>GETPIVOTDATA("dato",'[1]tabla dinámica EM'!$A$58,"categoría","4* Y 5*","mes",11,"año",2006)</f>
        <v>2.5549494625381035</v>
      </c>
      <c r="H58" s="339">
        <f>GETPIVOTDATA("dato",'[1]tabla dinámica EM'!$A$58,"categoría","HOTELEROS","mes",11,"año",2006)</f>
        <v>2.5299999999999998</v>
      </c>
      <c r="I58" s="339"/>
      <c r="J58" s="339">
        <f>GETPIVOTDATA("dato",'[1]tabla dinámica EM'!$A$58,"categoría","TOTAL","mes",11,"año",2006)</f>
        <v>2.5299999999999998</v>
      </c>
    </row>
    <row r="59" spans="3:10" hidden="1" outlineLevel="1">
      <c r="C59" s="51" t="s">
        <v>40</v>
      </c>
      <c r="D59" s="339">
        <f>GETPIVOTDATA("dato",'[1]tabla dinámica EM'!$A$58,"categoría","1*","mes",10,"año",2006)</f>
        <v>2.97</v>
      </c>
      <c r="E59" s="339">
        <f>GETPIVOTDATA("dato",'[1]tabla dinámica EM'!$A$58,"categoría","2*","mes",10,"año",2006)</f>
        <v>2.5</v>
      </c>
      <c r="F59" s="339">
        <f>GETPIVOTDATA("dato",'[1]tabla dinámica EM'!$A$58,"categoría","3 *","mes",10,"año",2006)</f>
        <v>2.16</v>
      </c>
      <c r="G59" s="339">
        <f>GETPIVOTDATA("dato",'[1]tabla dinámica EM'!$A$58,"categoría","4* Y 5*","mes",10,"año",2006)</f>
        <v>2.7560307017543861</v>
      </c>
      <c r="H59" s="339">
        <f>GETPIVOTDATA("dato",'[1]tabla dinámica EM'!$A$58,"categoría","HOTELEROS","mes",10,"año",2006)</f>
        <v>2.58</v>
      </c>
      <c r="I59" s="339"/>
      <c r="J59" s="339">
        <f>GETPIVOTDATA("dato",'[1]tabla dinámica EM'!$A$58,"categoría","TOTAL","mes",10,"año",2006)</f>
        <v>2.58</v>
      </c>
    </row>
    <row r="60" spans="3:10" hidden="1" outlineLevel="1">
      <c r="C60" s="51" t="s">
        <v>41</v>
      </c>
      <c r="D60" s="339">
        <f>GETPIVOTDATA("dato",'[1]tabla dinámica EM'!$A$58,"categoría","1*","mes",9,"año",2006)</f>
        <v>3.96</v>
      </c>
      <c r="E60" s="339">
        <f>GETPIVOTDATA("dato",'[1]tabla dinámica EM'!$A$58,"categoría","2*","mes",9,"año",2006)</f>
        <v>2.75</v>
      </c>
      <c r="F60" s="339">
        <f>GETPIVOTDATA("dato",'[1]tabla dinámica EM'!$A$58,"categoría","3 *","mes",9,"año",2006)</f>
        <v>2.15</v>
      </c>
      <c r="G60" s="339">
        <f>GETPIVOTDATA("dato",'[1]tabla dinámica EM'!$A$58,"categoría","4* Y 5*","mes",9,"año",2006)</f>
        <v>2.4576237623762376</v>
      </c>
      <c r="H60" s="339">
        <f>GETPIVOTDATA("dato",'[1]tabla dinámica EM'!$A$58,"categoría","HOTELEROS","mes",9,"año",2006)</f>
        <v>2.65</v>
      </c>
      <c r="I60" s="339"/>
      <c r="J60" s="339">
        <f>GETPIVOTDATA("dato",'[1]tabla dinámica EM'!$A$58,"categoría","TOTAL","mes",9,"año",2006)</f>
        <v>2.65</v>
      </c>
    </row>
    <row r="61" spans="3:10" hidden="1" outlineLevel="1">
      <c r="C61" s="51" t="s">
        <v>42</v>
      </c>
      <c r="D61" s="339">
        <f>GETPIVOTDATA("dato",'[1]tabla dinámica EM'!$A$58,"categoría","1*","mes",8,"año",2006)</f>
        <v>3.89</v>
      </c>
      <c r="E61" s="339">
        <f>GETPIVOTDATA("dato",'[1]tabla dinámica EM'!$A$58,"categoría","2*","mes",8,"año",2006)</f>
        <v>2.7</v>
      </c>
      <c r="F61" s="339">
        <f>GETPIVOTDATA("dato",'[1]tabla dinámica EM'!$A$58,"categoría","3 *","mes",8,"año",2006)</f>
        <v>2.77</v>
      </c>
      <c r="G61" s="339">
        <f>GETPIVOTDATA("dato",'[1]tabla dinámica EM'!$A$58,"categoría","4* Y 5*","mes",8,"año",2006)</f>
        <v>2.9449434946392352</v>
      </c>
      <c r="H61" s="339">
        <f>GETPIVOTDATA("dato",'[1]tabla dinámica EM'!$A$58,"categoría","HOTELEROS","mes",8,"año",2006)</f>
        <v>2.93</v>
      </c>
      <c r="I61" s="339"/>
      <c r="J61" s="339">
        <f>GETPIVOTDATA("dato",'[1]tabla dinámica EM'!$A$58,"categoría","TOTAL","mes",8,"año",2006)</f>
        <v>2.93</v>
      </c>
    </row>
    <row r="62" spans="3:10" hidden="1" outlineLevel="1">
      <c r="C62" s="51" t="s">
        <v>43</v>
      </c>
      <c r="D62" s="339">
        <f>GETPIVOTDATA("dato",'[1]tabla dinámica EM'!$A$58,"categoría","1*","mes",7,"año",2006)</f>
        <v>2.44</v>
      </c>
      <c r="E62" s="339">
        <f>GETPIVOTDATA("dato",'[1]tabla dinámica EM'!$A$58,"categoría","2*","mes",7,"año",2006)</f>
        <v>2.5499999999999998</v>
      </c>
      <c r="F62" s="339">
        <f>GETPIVOTDATA("dato",'[1]tabla dinámica EM'!$A$58,"categoría","3 *","mes",7,"año",2006)</f>
        <v>2.27</v>
      </c>
      <c r="G62" s="339">
        <f>GETPIVOTDATA("dato",'[1]tabla dinámica EM'!$A$58,"categoría","4* Y 5*","mes",7,"año",2006)</f>
        <v>2.5129700382063143</v>
      </c>
      <c r="H62" s="339">
        <f>GETPIVOTDATA("dato",'[1]tabla dinámica EM'!$A$58,"categoría","HOTELEROS","mes",7,"año",2006)</f>
        <v>2.4700000000000002</v>
      </c>
      <c r="I62" s="339"/>
      <c r="J62" s="339">
        <f>GETPIVOTDATA("dato",'[1]tabla dinámica EM'!$A$58,"categoría","TOTAL","mes",7,"año",2006)</f>
        <v>2.4700000000000002</v>
      </c>
    </row>
    <row r="63" spans="3:10" hidden="1" outlineLevel="1">
      <c r="C63" s="51" t="s">
        <v>44</v>
      </c>
      <c r="D63" s="339">
        <f>GETPIVOTDATA("dato",'[1]tabla dinámica EM'!$A$58,"categoría","1*","mes",6,"año",2006)</f>
        <v>2.4300000000000002</v>
      </c>
      <c r="E63" s="339">
        <f>GETPIVOTDATA("dato",'[1]tabla dinámica EM'!$A$58,"categoría","2*","mes",6,"año",2006)</f>
        <v>2.8</v>
      </c>
      <c r="F63" s="339">
        <f>GETPIVOTDATA("dato",'[1]tabla dinámica EM'!$A$58,"categoría","3 *","mes",6,"año",2006)</f>
        <v>2.09</v>
      </c>
      <c r="G63" s="339">
        <f>GETPIVOTDATA("dato",'[1]tabla dinámica EM'!$A$58,"categoría","4* Y 5*","mes",6,"año",2006)</f>
        <v>1.7797356828193833</v>
      </c>
      <c r="H63" s="339">
        <f>GETPIVOTDATA("dato",'[1]tabla dinámica EM'!$A$58,"categoría","HOTELEROS","mes",6,"año",2006)</f>
        <v>2.23</v>
      </c>
      <c r="I63" s="339"/>
      <c r="J63" s="339">
        <f>GETPIVOTDATA("dato",'[1]tabla dinámica EM'!$A$58,"categoría","TOTAL","mes",6,"año",2006)</f>
        <v>2.23</v>
      </c>
    </row>
    <row r="64" spans="3:10" hidden="1" outlineLevel="1">
      <c r="C64" s="51" t="s">
        <v>45</v>
      </c>
      <c r="D64" s="339">
        <f>GETPIVOTDATA("dato",'[1]tabla dinámica EM'!$A$58,"categoría","1*","mes",5,"año",2006)</f>
        <v>3.07</v>
      </c>
      <c r="E64" s="339">
        <f>GETPIVOTDATA("dato",'[1]tabla dinámica EM'!$A$58,"categoría","2*","mes",5,"año",2006)</f>
        <v>2.6</v>
      </c>
      <c r="F64" s="339">
        <f>GETPIVOTDATA("dato",'[1]tabla dinámica EM'!$A$58,"categoría","3 *","mes",5,"año",2006)</f>
        <v>2.3199999999999998</v>
      </c>
      <c r="G64" s="339">
        <f>GETPIVOTDATA("dato",'[1]tabla dinámica EM'!$A$58,"categoría","4* Y 5*","mes",5,"año",2006)</f>
        <v>1.9804381846635368</v>
      </c>
      <c r="H64" s="339">
        <f>GETPIVOTDATA("dato",'[1]tabla dinámica EM'!$A$58,"categoría","HOTELEROS","mes",5,"año",2006)</f>
        <v>2.34</v>
      </c>
      <c r="I64" s="339"/>
      <c r="J64" s="339">
        <f>GETPIVOTDATA("dato",'[1]tabla dinámica EM'!$A$58,"categoría","TOTAL","mes",5,"año",2006)</f>
        <v>2.34</v>
      </c>
    </row>
    <row r="65" spans="3:10" hidden="1" outlineLevel="1">
      <c r="C65" s="51" t="s">
        <v>46</v>
      </c>
      <c r="D65" s="339">
        <f>GETPIVOTDATA("dato",'[1]tabla dinámica EM'!$A$58,"categoría","1*","mes",4,"año",2006)</f>
        <v>3.57</v>
      </c>
      <c r="E65" s="339">
        <f>GETPIVOTDATA("dato",'[1]tabla dinámica EM'!$A$58,"categoría","2*","mes",4,"año",2006)</f>
        <v>2.83</v>
      </c>
      <c r="F65" s="339">
        <f>GETPIVOTDATA("dato",'[1]tabla dinámica EM'!$A$58,"categoría","3 *","mes",4,"año",2006)</f>
        <v>2.23</v>
      </c>
      <c r="G65" s="339">
        <f>GETPIVOTDATA("dato",'[1]tabla dinámica EM'!$A$58,"categoría","4* Y 5*","mes",4,"año",2006)</f>
        <v>2.7804428044280445</v>
      </c>
      <c r="H65" s="339">
        <f>GETPIVOTDATA("dato",'[1]tabla dinámica EM'!$A$58,"categoría","HOTELEROS","mes",4,"año",2006)</f>
        <v>2.69</v>
      </c>
      <c r="I65" s="339"/>
      <c r="J65" s="339">
        <f>GETPIVOTDATA("dato",'[1]tabla dinámica EM'!$A$58,"categoría","TOTAL","mes",4,"año",2006)</f>
        <v>2.69</v>
      </c>
    </row>
    <row r="66" spans="3:10" hidden="1" outlineLevel="1">
      <c r="C66" s="51" t="s">
        <v>47</v>
      </c>
      <c r="D66" s="339">
        <f>GETPIVOTDATA("dato",'[1]tabla dinámica EM'!$A$58,"categoría","1*","mes",3,"año",2006)</f>
        <v>3.62</v>
      </c>
      <c r="E66" s="339">
        <f>GETPIVOTDATA("dato",'[1]tabla dinámica EM'!$A$58,"categoría","2*","mes",3,"año",2006)</f>
        <v>2.78</v>
      </c>
      <c r="F66" s="339">
        <f>GETPIVOTDATA("dato",'[1]tabla dinámica EM'!$A$58,"categoría","3 *","mes",3,"año",2006)</f>
        <v>2.1</v>
      </c>
      <c r="G66" s="339">
        <f>GETPIVOTDATA("dato",'[1]tabla dinámica EM'!$A$58,"categoría","4* Y 5*","mes",3,"año",2006)</f>
        <v>2.3827180659915062</v>
      </c>
      <c r="H66" s="339">
        <f>GETPIVOTDATA("dato",'[1]tabla dinámica EM'!$A$58,"categoría","HOTELEROS","mes",3,"año",2006)</f>
        <v>2.52</v>
      </c>
      <c r="I66" s="339"/>
      <c r="J66" s="339">
        <f>GETPIVOTDATA("dato",'[1]tabla dinámica EM'!$A$58,"categoría","TOTAL","mes",3,"año",2006)</f>
        <v>2.52</v>
      </c>
    </row>
    <row r="67" spans="3:10" hidden="1" outlineLevel="1">
      <c r="C67" s="51" t="s">
        <v>48</v>
      </c>
      <c r="D67" s="339">
        <f>GETPIVOTDATA("dato",'[1]tabla dinámica EM'!$A$58,"categoría","1*","mes",2,"año",2006)</f>
        <v>3.29</v>
      </c>
      <c r="E67" s="339">
        <f>GETPIVOTDATA("dato",'[1]tabla dinámica EM'!$A$58,"categoría","2*","mes",2,"año",2006)</f>
        <v>2.97</v>
      </c>
      <c r="F67" s="339">
        <f>GETPIVOTDATA("dato",'[1]tabla dinámica EM'!$A$58,"categoría","3 *","mes",2,"año",2006)</f>
        <v>2.52</v>
      </c>
      <c r="G67" s="339">
        <f>GETPIVOTDATA("dato",'[1]tabla dinámica EM'!$A$58,"categoría","4* Y 5*","mes",2,"año",2006)</f>
        <v>2.6024900757849152</v>
      </c>
      <c r="H67" s="339">
        <f>GETPIVOTDATA("dato",'[1]tabla dinámica EM'!$A$58,"categoría","HOTELEROS","mes",2,"año",2006)</f>
        <v>2.75</v>
      </c>
      <c r="I67" s="339"/>
      <c r="J67" s="339">
        <f>GETPIVOTDATA("dato",'[1]tabla dinámica EM'!$A$58,"categoría","TOTAL","mes",2,"año",2006)</f>
        <v>2.75</v>
      </c>
    </row>
    <row r="68" spans="3:10" hidden="1" outlineLevel="1">
      <c r="C68" s="51" t="s">
        <v>49</v>
      </c>
      <c r="D68" s="339">
        <f>GETPIVOTDATA("dato",'[1]tabla dinámica EM'!$A$58,"categoría","1*","mes",1,"año",2006)</f>
        <v>2.65</v>
      </c>
      <c r="E68" s="339">
        <f>GETPIVOTDATA("dato",'[1]tabla dinámica EM'!$A$58,"categoría","2*","mes",1,"año",2006)</f>
        <v>2.86</v>
      </c>
      <c r="F68" s="339">
        <f>GETPIVOTDATA("dato",'[1]tabla dinámica EM'!$A$58,"categoría","3 *","mes",1,"año",2006)</f>
        <v>2.2599999999999998</v>
      </c>
      <c r="G68" s="339">
        <f>GETPIVOTDATA("dato",'[1]tabla dinámica EM'!$A$58,"categoría","4* Y 5*","mes",1,"año",2006)</f>
        <v>1.9291052312664108</v>
      </c>
      <c r="H68" s="339">
        <f>GETPIVOTDATA("dato",'[1]tabla dinámica EM'!$A$58,"categoría","HOTELEROS","mes",1,"año",2006)</f>
        <v>2.37</v>
      </c>
      <c r="I68" s="339"/>
      <c r="J68" s="339">
        <f>GETPIVOTDATA("dato",'[1]tabla dinámica EM'!$A$58,"categoría","TOTAL","mes",1,"año",2006)</f>
        <v>2.37</v>
      </c>
    </row>
    <row r="69" spans="3:10" collapsed="1">
      <c r="C69" s="58">
        <v>2006</v>
      </c>
      <c r="D69" s="343">
        <f>'[1]tabla dinámica EM'!B269</f>
        <v>3.2266843677397943</v>
      </c>
      <c r="E69" s="343">
        <f>'[1]tabla dinámica EM'!B282</f>
        <v>2.6867127764205718</v>
      </c>
      <c r="F69" s="343">
        <f>'[1]tabla dinámica EM'!B295</f>
        <v>2.2528232804735979</v>
      </c>
      <c r="G69" s="343">
        <f>'[1]tabla dinámica EM'!B308</f>
        <v>2.4695810506476703</v>
      </c>
      <c r="H69" s="343">
        <f>'[1]tabla dinámica EM'!B334</f>
        <v>2.5569914593512171</v>
      </c>
      <c r="I69" s="343"/>
      <c r="J69" s="343">
        <f>'[1]tabla dinámica EM'!B347</f>
        <v>2.5569914593512171</v>
      </c>
    </row>
    <row r="70" spans="3:10" ht="15" customHeight="1">
      <c r="C70" s="165" t="s">
        <v>33</v>
      </c>
      <c r="D70" s="165"/>
      <c r="E70" s="165"/>
      <c r="F70" s="165"/>
      <c r="G70" s="165"/>
      <c r="H70" s="165"/>
      <c r="I70" s="165"/>
      <c r="J70" s="165"/>
    </row>
    <row r="72" spans="3:10" ht="30" customHeight="1"/>
    <row r="74" spans="3:10" ht="30" customHeight="1"/>
  </sheetData>
  <mergeCells count="2">
    <mergeCell ref="C3:J3"/>
    <mergeCell ref="C70:J7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C2:J61"/>
  <sheetViews>
    <sheetView showGridLines="0" showRowColHeaders="0" zoomScaleNormal="100" workbookViewId="0">
      <selection activeCell="I13" sqref="I13"/>
    </sheetView>
  </sheetViews>
  <sheetFormatPr baseColWidth="10" defaultRowHeight="15" outlineLevelRow="1"/>
  <cols>
    <col min="1" max="1" width="14.28515625" style="120" customWidth="1"/>
    <col min="2" max="8" width="11.42578125" style="120"/>
    <col min="9" max="9" width="14" style="120" customWidth="1"/>
    <col min="10" max="11" width="11.42578125" style="120"/>
    <col min="12" max="12" width="14.28515625" style="120" customWidth="1"/>
    <col min="13" max="16384" width="11.42578125" style="120"/>
  </cols>
  <sheetData>
    <row r="2" spans="3:10" ht="42.75" customHeight="1"/>
    <row r="3" spans="3:10" ht="30" customHeight="1">
      <c r="C3" s="159" t="s">
        <v>272</v>
      </c>
      <c r="D3" s="159"/>
      <c r="E3" s="159"/>
      <c r="F3" s="159"/>
      <c r="G3" s="159"/>
      <c r="H3" s="159"/>
      <c r="I3" s="159"/>
      <c r="J3" s="159"/>
    </row>
    <row r="4" spans="3:10" ht="45" customHeight="1">
      <c r="C4" s="160"/>
      <c r="D4" s="127" t="s">
        <v>226</v>
      </c>
      <c r="E4" s="127" t="s">
        <v>227</v>
      </c>
      <c r="F4" s="127" t="s">
        <v>228</v>
      </c>
      <c r="G4" s="127" t="s">
        <v>229</v>
      </c>
      <c r="H4" s="161" t="s">
        <v>35</v>
      </c>
      <c r="I4" s="161" t="s">
        <v>116</v>
      </c>
      <c r="J4" s="162" t="s">
        <v>37</v>
      </c>
    </row>
    <row r="5" spans="3:10" hidden="1">
      <c r="C5" s="51" t="s">
        <v>38</v>
      </c>
      <c r="D5" s="339">
        <f>IFERROR('tablas evol EM CAT'!D5-'tablas evol EM CAT'!D18,"-")</f>
        <v>-3.481060606060606</v>
      </c>
      <c r="E5" s="339">
        <f>IFERROR('tablas evol EM CAT'!E5-'tablas evol EM CAT'!E18,"-")</f>
        <v>-2.1021606880637718</v>
      </c>
      <c r="F5" s="339">
        <f>IFERROR('tablas evol EM CAT'!F5-'tablas evol EM CAT'!F18,"-")</f>
        <v>-2.2856403622250969</v>
      </c>
      <c r="G5" s="339">
        <f>IFERROR('tablas evol EM CAT'!G5-'tablas evol EM CAT'!G18,"-")</f>
        <v>-3.9497542326597488</v>
      </c>
      <c r="H5" s="339">
        <f>IFERROR('tablas evol EM CAT'!H5-'tablas evol EM CAT'!H18,"-")</f>
        <v>-2.7568393703194252</v>
      </c>
      <c r="I5" s="339"/>
      <c r="J5" s="339">
        <f>IFERROR('tablas evol EM CAT'!J5-'tablas evol EM CAT'!J18,"-")</f>
        <v>-2.7568393703194252</v>
      </c>
    </row>
    <row r="6" spans="3:10" hidden="1">
      <c r="C6" s="51" t="s">
        <v>39</v>
      </c>
      <c r="D6" s="339">
        <f>IFERROR('tablas evol EM CAT'!D6-'tablas evol EM CAT'!D19,"-")</f>
        <v>-3.4388020833333335</v>
      </c>
      <c r="E6" s="339">
        <f>IFERROR('tablas evol EM CAT'!E6-'tablas evol EM CAT'!E19,"-")</f>
        <v>-2.007585899152164</v>
      </c>
      <c r="F6" s="339">
        <f>IFERROR('tablas evol EM CAT'!F6-'tablas evol EM CAT'!F19,"-")</f>
        <v>-1.8958574404073132</v>
      </c>
      <c r="G6" s="339">
        <f>IFERROR('tablas evol EM CAT'!G6-'tablas evol EM CAT'!G19,"-")</f>
        <v>-1.7816248019914007</v>
      </c>
      <c r="H6" s="339">
        <f>IFERROR('tablas evol EM CAT'!H6-'tablas evol EM CAT'!H19,"-")</f>
        <v>-1.9802716225875625</v>
      </c>
      <c r="I6" s="339"/>
      <c r="J6" s="339">
        <f>IFERROR('tablas evol EM CAT'!J6-'tablas evol EM CAT'!J19,"-")</f>
        <v>-1.9802716225875625</v>
      </c>
    </row>
    <row r="7" spans="3:10" hidden="1">
      <c r="C7" s="51" t="s">
        <v>40</v>
      </c>
      <c r="D7" s="339">
        <f>IFERROR('tablas evol EM CAT'!D7-'tablas evol EM CAT'!D20,"-")</f>
        <v>-4.190851735015773</v>
      </c>
      <c r="E7" s="339">
        <f>IFERROR('tablas evol EM CAT'!E7-'tablas evol EM CAT'!E20,"-")</f>
        <v>-2.2014867982568571</v>
      </c>
      <c r="F7" s="339">
        <f>IFERROR('tablas evol EM CAT'!F7-'tablas evol EM CAT'!F20,"-")</f>
        <v>-2.1486013986013988</v>
      </c>
      <c r="G7" s="339">
        <f>IFERROR('tablas evol EM CAT'!G7-'tablas evol EM CAT'!G20,"-")</f>
        <v>-2.1362997658079625</v>
      </c>
      <c r="H7" s="339">
        <f>IFERROR('tablas evol EM CAT'!H7-'tablas evol EM CAT'!H20,"-")</f>
        <v>-2.2616909985166678</v>
      </c>
      <c r="I7" s="339"/>
      <c r="J7" s="339">
        <f>IFERROR('tablas evol EM CAT'!J7-'tablas evol EM CAT'!J20,"-")</f>
        <v>-2.2616909985166678</v>
      </c>
    </row>
    <row r="8" spans="3:10" hidden="1">
      <c r="C8" s="51" t="s">
        <v>41</v>
      </c>
      <c r="D8" s="339">
        <f>IFERROR('tablas evol EM CAT'!D8-'tablas evol EM CAT'!D21,"-")</f>
        <v>-3.98</v>
      </c>
      <c r="E8" s="339">
        <f>IFERROR('tablas evol EM CAT'!E8-'tablas evol EM CAT'!E21,"-")</f>
        <v>-2.14</v>
      </c>
      <c r="F8" s="339">
        <f>IFERROR('tablas evol EM CAT'!F8-'tablas evol EM CAT'!F21,"-")</f>
        <v>-2.36</v>
      </c>
      <c r="G8" s="339">
        <f>IFERROR('tablas evol EM CAT'!G8-'tablas evol EM CAT'!G21,"-")</f>
        <v>-2.1605877722382578</v>
      </c>
      <c r="H8" s="339">
        <f>IFERROR('tablas evol EM CAT'!H8-'tablas evol EM CAT'!H21,"-")</f>
        <v>-2.33</v>
      </c>
      <c r="I8" s="339"/>
      <c r="J8" s="339">
        <f>IFERROR('tablas evol EM CAT'!J8-'tablas evol EM CAT'!J21,"-")</f>
        <v>-2.33</v>
      </c>
    </row>
    <row r="9" spans="3:10" hidden="1">
      <c r="C9" s="51" t="s">
        <v>42</v>
      </c>
      <c r="D9" s="339">
        <f>IFERROR('tablas evol EM CAT'!D9-'tablas evol EM CAT'!D22,"-")</f>
        <v>-4.3499999999999996</v>
      </c>
      <c r="E9" s="339">
        <f>IFERROR('tablas evol EM CAT'!E9-'tablas evol EM CAT'!E22,"-")</f>
        <v>-2.46</v>
      </c>
      <c r="F9" s="339">
        <f>IFERROR('tablas evol EM CAT'!F9-'tablas evol EM CAT'!F22,"-")</f>
        <v>-2.52</v>
      </c>
      <c r="G9" s="339">
        <f>IFERROR('tablas evol EM CAT'!G9-'tablas evol EM CAT'!G22,"-")</f>
        <v>-2.8732681336593315</v>
      </c>
      <c r="H9" s="339">
        <f>IFERROR('tablas evol EM CAT'!H9-'tablas evol EM CAT'!H22,"-")</f>
        <v>-2.75</v>
      </c>
      <c r="I9" s="339"/>
      <c r="J9" s="339">
        <f>IFERROR('tablas evol EM CAT'!J9-'tablas evol EM CAT'!J22,"-")</f>
        <v>-2.75</v>
      </c>
    </row>
    <row r="10" spans="3:10">
      <c r="C10" s="51" t="s">
        <v>43</v>
      </c>
      <c r="D10" s="339">
        <f>IFERROR('tablas evol EM CAT'!D10-'tablas evol EM CAT'!D23,"-")</f>
        <v>1.0523668639053256</v>
      </c>
      <c r="E10" s="339">
        <f>IFERROR('tablas evol EM CAT'!E10-'tablas evol EM CAT'!E23,"-")</f>
        <v>-0.31977272727272732</v>
      </c>
      <c r="F10" s="339">
        <f>IFERROR('tablas evol EM CAT'!F10-'tablas evol EM CAT'!F23,"-")</f>
        <v>-6.3408360128617502E-2</v>
      </c>
      <c r="G10" s="339">
        <f>IFERROR('tablas evol EM CAT'!G10-'tablas evol EM CAT'!G23,"-")</f>
        <v>-0.12715063520871128</v>
      </c>
      <c r="H10" s="339">
        <f>IFERROR('tablas evol EM CAT'!H10-'tablas evol EM CAT'!H23,"-")</f>
        <v>-0.12999999999999989</v>
      </c>
      <c r="I10" s="339"/>
      <c r="J10" s="339">
        <f>IFERROR('tablas evol EM CAT'!J10-'tablas evol EM CAT'!J23,"-")</f>
        <v>-0.12999999999999989</v>
      </c>
    </row>
    <row r="11" spans="3:10">
      <c r="C11" s="51" t="s">
        <v>44</v>
      </c>
      <c r="D11" s="339">
        <f>IFERROR('tablas evol EM CAT'!D11-'tablas evol EM CAT'!D24,"-")</f>
        <v>1.1229020747984673</v>
      </c>
      <c r="E11" s="339">
        <f>IFERROR('tablas evol EM CAT'!E11-'tablas evol EM CAT'!E24,"-")</f>
        <v>-0.11846274443338078</v>
      </c>
      <c r="F11" s="339">
        <f>IFERROR('tablas evol EM CAT'!F11-'tablas evol EM CAT'!F24,"-")</f>
        <v>-5.5815841373907826E-2</v>
      </c>
      <c r="G11" s="339">
        <f>IFERROR('tablas evol EM CAT'!G11-'tablas evol EM CAT'!G24,"-")</f>
        <v>-0.37621979010439222</v>
      </c>
      <c r="H11" s="339">
        <f>IFERROR('tablas evol EM CAT'!H11-'tablas evol EM CAT'!H24,"-")</f>
        <v>-0.14391441938705807</v>
      </c>
      <c r="I11" s="339"/>
      <c r="J11" s="339">
        <f>IFERROR('tablas evol EM CAT'!J11-'tablas evol EM CAT'!J24,"-")</f>
        <v>-0.14391441938705807</v>
      </c>
    </row>
    <row r="12" spans="3:10">
      <c r="C12" s="51" t="s">
        <v>45</v>
      </c>
      <c r="D12" s="339">
        <f>IFERROR('tablas evol EM CAT'!D12-'tablas evol EM CAT'!D25,"-")</f>
        <v>0.95935483870967753</v>
      </c>
      <c r="E12" s="339">
        <f>IFERROR('tablas evol EM CAT'!E12-'tablas evol EM CAT'!E25,"-")</f>
        <v>-0.35337567171470452</v>
      </c>
      <c r="F12" s="339">
        <f>IFERROR('tablas evol EM CAT'!F12-'tablas evol EM CAT'!F25,"-")</f>
        <v>-0.10306892067620277</v>
      </c>
      <c r="G12" s="339">
        <f>IFERROR('tablas evol EM CAT'!G12-'tablas evol EM CAT'!G25,"-")</f>
        <v>-0.24983653045750631</v>
      </c>
      <c r="H12" s="339">
        <f>IFERROR('tablas evol EM CAT'!H12-'tablas evol EM CAT'!H25,"-")</f>
        <v>-0.19953896993632636</v>
      </c>
      <c r="I12" s="339"/>
      <c r="J12" s="339">
        <f>IFERROR('tablas evol EM CAT'!J12-'tablas evol EM CAT'!J25,"-")</f>
        <v>-0.19953896993632636</v>
      </c>
    </row>
    <row r="13" spans="3:10">
      <c r="C13" s="51" t="s">
        <v>46</v>
      </c>
      <c r="D13" s="339">
        <f>IFERROR('tablas evol EM CAT'!D13-'tablas evol EM CAT'!D26,"-")</f>
        <v>1.0015912899999999</v>
      </c>
      <c r="E13" s="339">
        <f>IFERROR('tablas evol EM CAT'!E13-'tablas evol EM CAT'!E26,"-")</f>
        <v>-0.18814070400000027</v>
      </c>
      <c r="F13" s="339">
        <f>IFERROR('tablas evol EM CAT'!F13-'tablas evol EM CAT'!F26,"-")</f>
        <v>0.22899524100000024</v>
      </c>
      <c r="G13" s="339">
        <f>IFERROR('tablas evol EM CAT'!G13-'tablas evol EM CAT'!G26,"-")</f>
        <v>-0.39723384423000518</v>
      </c>
      <c r="H13" s="339">
        <f>IFERROR('tablas evol EM CAT'!H13-'tablas evol EM CAT'!H26,"-")</f>
        <v>-9.2624056999999649E-2</v>
      </c>
      <c r="I13" s="339"/>
      <c r="J13" s="339">
        <f>IFERROR('tablas evol EM CAT'!J13-'tablas evol EM CAT'!J26,"-")</f>
        <v>-9.2624056999999649E-2</v>
      </c>
    </row>
    <row r="14" spans="3:10">
      <c r="C14" s="51" t="s">
        <v>47</v>
      </c>
      <c r="D14" s="339">
        <f>IFERROR('tablas evol EM CAT'!D14-'tablas evol EM CAT'!D27,"-")</f>
        <v>0.2440312876052948</v>
      </c>
      <c r="E14" s="339">
        <f>IFERROR('tablas evol EM CAT'!E14-'tablas evol EM CAT'!E27,"-")</f>
        <v>-0.86372164721426969</v>
      </c>
      <c r="F14" s="339">
        <f>IFERROR('tablas evol EM CAT'!F14-'tablas evol EM CAT'!F27,"-")</f>
        <v>-4.539138943248533E-2</v>
      </c>
      <c r="G14" s="339">
        <f>IFERROR('tablas evol EM CAT'!G14-'tablas evol EM CAT'!G27,"-")</f>
        <v>-0.26641947594837712</v>
      </c>
      <c r="H14" s="339">
        <f>IFERROR('tablas evol EM CAT'!H14-'tablas evol EM CAT'!H27,"-")</f>
        <v>-0.38686427885275143</v>
      </c>
      <c r="I14" s="339"/>
      <c r="J14" s="339">
        <f>IFERROR('tablas evol EM CAT'!J14-'tablas evol EM CAT'!J27,"-")</f>
        <v>-0.38686427885275143</v>
      </c>
    </row>
    <row r="15" spans="3:10">
      <c r="C15" s="51" t="s">
        <v>48</v>
      </c>
      <c r="D15" s="339">
        <f>IFERROR('tablas evol EM CAT'!D15-'tablas evol EM CAT'!D28,"-")</f>
        <v>0.70000000000000018</v>
      </c>
      <c r="E15" s="339">
        <f>IFERROR('tablas evol EM CAT'!E15-'tablas evol EM CAT'!E28,"-")</f>
        <v>-0.39999999999999991</v>
      </c>
      <c r="F15" s="339">
        <f>IFERROR('tablas evol EM CAT'!F15-'tablas evol EM CAT'!F28,"-")</f>
        <v>-0.29999999999999982</v>
      </c>
      <c r="G15" s="339">
        <f>IFERROR('tablas evol EM CAT'!G15-'tablas evol EM CAT'!G28,"-")</f>
        <v>-1.0857459013288551</v>
      </c>
      <c r="H15" s="339">
        <f>IFERROR('tablas evol EM CAT'!H15-'tablas evol EM CAT'!H28,"-")</f>
        <v>-0.52</v>
      </c>
      <c r="I15" s="339"/>
      <c r="J15" s="339">
        <f>IFERROR('tablas evol EM CAT'!J15-'tablas evol EM CAT'!J28,"-")</f>
        <v>-0.52</v>
      </c>
    </row>
    <row r="16" spans="3:10">
      <c r="C16" s="51" t="s">
        <v>49</v>
      </c>
      <c r="D16" s="339">
        <f>IFERROR('tablas evol EM CAT'!D16-'tablas evol EM CAT'!D29,"-")</f>
        <v>1.0500000000000003</v>
      </c>
      <c r="E16" s="339">
        <f>IFERROR('tablas evol EM CAT'!E16-'tablas evol EM CAT'!E29,"-")</f>
        <v>-0.73999999999999977</v>
      </c>
      <c r="F16" s="339">
        <f>IFERROR('tablas evol EM CAT'!F16-'tablas evol EM CAT'!F29,"-")</f>
        <v>0.10000000000000009</v>
      </c>
      <c r="G16" s="339">
        <f>IFERROR('tablas evol EM CAT'!G16-'tablas evol EM CAT'!G29,"-")</f>
        <v>-0.28668009720095888</v>
      </c>
      <c r="H16" s="339">
        <f>IFERROR('tablas evol EM CAT'!H16-'tablas evol EM CAT'!H29,"-")</f>
        <v>-0.26000000000000023</v>
      </c>
      <c r="I16" s="339"/>
      <c r="J16" s="339">
        <f>IFERROR('tablas evol EM CAT'!J16-'tablas evol EM CAT'!J29,"-")</f>
        <v>-0.26000000000000023</v>
      </c>
    </row>
    <row r="17" spans="3:10" ht="30">
      <c r="C17" s="69" t="s">
        <v>55</v>
      </c>
      <c r="D17" s="387">
        <f>'[1]tabla dinámica municipios'!$L$379-'[1]tabla dinámica municipios'!$B$379</f>
        <v>0.80138655631895395</v>
      </c>
      <c r="E17" s="387">
        <f>'[1]tabla dinámica municipios'!$N$379-'[1]tabla dinámica municipios'!$D$379</f>
        <v>-0.43621032275619953</v>
      </c>
      <c r="F17" s="387">
        <f>'[1]tabla dinámica municipios'!$O$379-'[1]tabla dinámica municipios'!$E$379</f>
        <v>-4.2886078224081192E-2</v>
      </c>
      <c r="G17" s="387">
        <f>'[1]tabla dinámica municipios'!$Q$379-'[1]tabla dinámica municipios'!$G$379</f>
        <v>-0.42001701919002388</v>
      </c>
      <c r="H17" s="387">
        <f>'[1]tabla dinámica municipios'!$T$379-'[1]tabla dinámica municipios'!$J$379</f>
        <v>-0.25948864415148565</v>
      </c>
      <c r="I17" s="387"/>
      <c r="J17" s="387">
        <f>'[1]tabla dinámica municipios'!$U$379-'[1]tabla dinámica municipios'!$K$379</f>
        <v>-0.25948864415148565</v>
      </c>
    </row>
    <row r="18" spans="3:10" hidden="1" outlineLevel="1">
      <c r="C18" s="51" t="s">
        <v>38</v>
      </c>
      <c r="D18" s="339">
        <f>IFERROR('tablas evol EM CAT'!D18-'tablas evol EM CAT'!D31,"-")</f>
        <v>0.80106060606060581</v>
      </c>
      <c r="E18" s="339">
        <f>IFERROR('tablas evol EM CAT'!E18-'tablas evol EM CAT'!E31,"-")</f>
        <v>-0.53783931193622836</v>
      </c>
      <c r="F18" s="339">
        <f>IFERROR('tablas evol EM CAT'!F18-'tablas evol EM CAT'!F31,"-")</f>
        <v>0.29564036222509693</v>
      </c>
      <c r="G18" s="339">
        <f>IFERROR('tablas evol EM CAT'!G18-'tablas evol EM CAT'!G31,"-")</f>
        <v>1.7462476578319466</v>
      </c>
      <c r="H18" s="339">
        <f>IFERROR('tablas evol EM CAT'!H18-'tablas evol EM CAT'!H31,"-")</f>
        <v>0.38683937031942506</v>
      </c>
      <c r="I18" s="339"/>
      <c r="J18" s="339">
        <f>IFERROR('tablas evol EM CAT'!J18-'tablas evol EM CAT'!J31,"-")</f>
        <v>0.38683937031942506</v>
      </c>
    </row>
    <row r="19" spans="3:10" hidden="1" outlineLevel="1">
      <c r="C19" s="51" t="s">
        <v>39</v>
      </c>
      <c r="D19" s="339">
        <f>IFERROR('tablas evol EM CAT'!D19-'tablas evol EM CAT'!D32,"-")</f>
        <v>0.49880208333333353</v>
      </c>
      <c r="E19" s="339">
        <f>IFERROR('tablas evol EM CAT'!E19-'tablas evol EM CAT'!E32,"-")</f>
        <v>-0.59241410084783608</v>
      </c>
      <c r="F19" s="339">
        <f>IFERROR('tablas evol EM CAT'!F19-'tablas evol EM CAT'!F32,"-")</f>
        <v>-0.32414255959268701</v>
      </c>
      <c r="G19" s="339">
        <f>IFERROR('tablas evol EM CAT'!G19-'tablas evol EM CAT'!G32,"-")</f>
        <v>-0.30651679092895323</v>
      </c>
      <c r="H19" s="339">
        <f>IFERROR('tablas evol EM CAT'!H19-'tablas evol EM CAT'!H32,"-")</f>
        <v>-0.39972837741243739</v>
      </c>
      <c r="I19" s="339"/>
      <c r="J19" s="339">
        <f>IFERROR('tablas evol EM CAT'!J19-'tablas evol EM CAT'!J32,"-")</f>
        <v>-0.39972837741243739</v>
      </c>
    </row>
    <row r="20" spans="3:10" hidden="1" outlineLevel="1">
      <c r="C20" s="51" t="s">
        <v>40</v>
      </c>
      <c r="D20" s="339">
        <f>IFERROR('tablas evol EM CAT'!D20-'tablas evol EM CAT'!D33,"-")</f>
        <v>1.420851735015773</v>
      </c>
      <c r="E20" s="339">
        <f>IFERROR('tablas evol EM CAT'!E20-'tablas evol EM CAT'!E33,"-")</f>
        <v>-0.27851320174314287</v>
      </c>
      <c r="F20" s="339">
        <f>IFERROR('tablas evol EM CAT'!F20-'tablas evol EM CAT'!F33,"-")</f>
        <v>-0.13139860139860104</v>
      </c>
      <c r="G20" s="339">
        <f>IFERROR('tablas evol EM CAT'!G20-'tablas evol EM CAT'!G33,"-")</f>
        <v>0.18299451036024239</v>
      </c>
      <c r="H20" s="339">
        <f>IFERROR('tablas evol EM CAT'!H20-'tablas evol EM CAT'!H33,"-")</f>
        <v>-3.830900148333205E-2</v>
      </c>
      <c r="I20" s="339"/>
      <c r="J20" s="339">
        <f>IFERROR('tablas evol EM CAT'!J20-'tablas evol EM CAT'!J33,"-")</f>
        <v>-3.830900148333205E-2</v>
      </c>
    </row>
    <row r="21" spans="3:10" hidden="1" outlineLevel="1">
      <c r="C21" s="51" t="s">
        <v>41</v>
      </c>
      <c r="D21" s="339">
        <f>IFERROR('tablas evol EM CAT'!D21-'tablas evol EM CAT'!D34,"-")</f>
        <v>1.0699999999999998</v>
      </c>
      <c r="E21" s="339">
        <f>IFERROR('tablas evol EM CAT'!E21-'tablas evol EM CAT'!E34,"-")</f>
        <v>-6.0000000000000053E-2</v>
      </c>
      <c r="F21" s="339">
        <f>IFERROR('tablas evol EM CAT'!F21-'tablas evol EM CAT'!F34,"-")</f>
        <v>0.10999999999999988</v>
      </c>
      <c r="G21" s="339">
        <f>IFERROR('tablas evol EM CAT'!G21-'tablas evol EM CAT'!G34,"-")</f>
        <v>4.0740101987361665E-2</v>
      </c>
      <c r="H21" s="339">
        <f>IFERROR('tablas evol EM CAT'!H21-'tablas evol EM CAT'!H34,"-")</f>
        <v>7.0000000000000284E-2</v>
      </c>
      <c r="I21" s="339"/>
      <c r="J21" s="339">
        <f>IFERROR('tablas evol EM CAT'!J21-'tablas evol EM CAT'!J34,"-")</f>
        <v>7.0000000000000284E-2</v>
      </c>
    </row>
    <row r="22" spans="3:10" hidden="1" outlineLevel="1">
      <c r="C22" s="51" t="s">
        <v>42</v>
      </c>
      <c r="D22" s="339">
        <f>IFERROR('tablas evol EM CAT'!D22-'tablas evol EM CAT'!D35,"-")</f>
        <v>0.86999999999999966</v>
      </c>
      <c r="E22" s="339">
        <f>IFERROR('tablas evol EM CAT'!E22-'tablas evol EM CAT'!E35,"-")</f>
        <v>-0.27</v>
      </c>
      <c r="F22" s="339">
        <f>IFERROR('tablas evol EM CAT'!F22-'tablas evol EM CAT'!F35,"-")</f>
        <v>-0.29999999999999982</v>
      </c>
      <c r="G22" s="339">
        <f>IFERROR('tablas evol EM CAT'!G22-'tablas evol EM CAT'!G35,"-")</f>
        <v>0.80966068250076706</v>
      </c>
      <c r="H22" s="339">
        <f>IFERROR('tablas evol EM CAT'!H22-'tablas evol EM CAT'!H35,"-")</f>
        <v>0.16000000000000014</v>
      </c>
      <c r="I22" s="339"/>
      <c r="J22" s="339">
        <f>IFERROR('tablas evol EM CAT'!J22-'tablas evol EM CAT'!J35,"-")</f>
        <v>0.16000000000000014</v>
      </c>
    </row>
    <row r="23" spans="3:10" hidden="1" outlineLevel="1">
      <c r="C23" s="51" t="s">
        <v>43</v>
      </c>
      <c r="D23" s="339">
        <f>IFERROR('tablas evol EM CAT'!D23-'tablas evol EM CAT'!D36,"-")</f>
        <v>-1.0500000000000003</v>
      </c>
      <c r="E23" s="339">
        <f>IFERROR('tablas evol EM CAT'!E23-'tablas evol EM CAT'!E36,"-")</f>
        <v>-0.36000000000000032</v>
      </c>
      <c r="F23" s="339">
        <f>IFERROR('tablas evol EM CAT'!F23-'tablas evol EM CAT'!F36,"-")</f>
        <v>-9.9999999999999645E-2</v>
      </c>
      <c r="G23" s="339">
        <f>IFERROR('tablas evol EM CAT'!G23-'tablas evol EM CAT'!G36,"-")</f>
        <v>-0.15258832420484136</v>
      </c>
      <c r="H23" s="339">
        <f>IFERROR('tablas evol EM CAT'!H23-'tablas evol EM CAT'!H36,"-")</f>
        <v>-0.29999999999999982</v>
      </c>
      <c r="I23" s="339"/>
      <c r="J23" s="339">
        <f>IFERROR('tablas evol EM CAT'!J23-'tablas evol EM CAT'!J36,"-")</f>
        <v>-0.29999999999999982</v>
      </c>
    </row>
    <row r="24" spans="3:10" hidden="1" outlineLevel="1">
      <c r="C24" s="51" t="s">
        <v>44</v>
      </c>
      <c r="D24" s="339">
        <f>IFERROR('tablas evol EM CAT'!D24-'tablas evol EM CAT'!D37,"-")</f>
        <v>-0.5635403726708077</v>
      </c>
      <c r="E24" s="339">
        <f>IFERROR('tablas evol EM CAT'!E24-'tablas evol EM CAT'!E37,"-")</f>
        <v>-0.2606493506493508</v>
      </c>
      <c r="F24" s="339">
        <f>IFERROR('tablas evol EM CAT'!F24-'tablas evol EM CAT'!F37,"-")</f>
        <v>-0.54243789716926649</v>
      </c>
      <c r="G24" s="339">
        <f>IFERROR('tablas evol EM CAT'!G24-'tablas evol EM CAT'!G37,"-")</f>
        <v>-0.15999710222008101</v>
      </c>
      <c r="H24" s="339">
        <f>IFERROR('tablas evol EM CAT'!H24-'tablas evol EM CAT'!H37,"-")</f>
        <v>-0.32592156862745059</v>
      </c>
      <c r="I24" s="339"/>
      <c r="J24" s="339">
        <f>IFERROR('tablas evol EM CAT'!J24-'tablas evol EM CAT'!J37,"-")</f>
        <v>-0.32592156862745059</v>
      </c>
    </row>
    <row r="25" spans="3:10" hidden="1" outlineLevel="1">
      <c r="C25" s="51" t="s">
        <v>45</v>
      </c>
      <c r="D25" s="339">
        <f>IFERROR('tablas evol EM CAT'!D25-'tablas evol EM CAT'!D38,"-")</f>
        <v>-0.20000000000000018</v>
      </c>
      <c r="E25" s="339">
        <f>IFERROR('tablas evol EM CAT'!E25-'tablas evol EM CAT'!E38,"-")</f>
        <v>-0.2200000000000002</v>
      </c>
      <c r="F25" s="339">
        <f>IFERROR('tablas evol EM CAT'!F25-'tablas evol EM CAT'!F38,"-")</f>
        <v>-0.23999999999999977</v>
      </c>
      <c r="G25" s="339">
        <f>IFERROR('tablas evol EM CAT'!G25-'tablas evol EM CAT'!G38,"-")</f>
        <v>-0.93471521614721187</v>
      </c>
      <c r="H25" s="339">
        <f>IFERROR('tablas evol EM CAT'!H25-'tablas evol EM CAT'!H38,"-")</f>
        <v>-0.48</v>
      </c>
      <c r="I25" s="339"/>
      <c r="J25" s="339">
        <f>IFERROR('tablas evol EM CAT'!J25-'tablas evol EM CAT'!J38,"-")</f>
        <v>-0.48</v>
      </c>
    </row>
    <row r="26" spans="3:10" hidden="1" outlineLevel="1">
      <c r="C26" s="51" t="s">
        <v>46</v>
      </c>
      <c r="D26" s="339">
        <f>IFERROR('tablas evol EM CAT'!D26-'tablas evol EM CAT'!D39,"-")</f>
        <v>-0.62000000000000011</v>
      </c>
      <c r="E26" s="339">
        <f>IFERROR('tablas evol EM CAT'!E26-'tablas evol EM CAT'!E39,"-")</f>
        <v>-0.10000000000000009</v>
      </c>
      <c r="F26" s="339">
        <f>IFERROR('tablas evol EM CAT'!F26-'tablas evol EM CAT'!F39,"-")</f>
        <v>-6.0000000000000053E-2</v>
      </c>
      <c r="G26" s="339">
        <f>IFERROR('tablas evol EM CAT'!G26-'tablas evol EM CAT'!G39,"-")</f>
        <v>-5.3288994695907199E-2</v>
      </c>
      <c r="H26" s="339">
        <f>IFERROR('tablas evol EM CAT'!H26-'tablas evol EM CAT'!H39,"-")</f>
        <v>-0.12000000000000011</v>
      </c>
      <c r="I26" s="339"/>
      <c r="J26" s="339">
        <f>IFERROR('tablas evol EM CAT'!J26-'tablas evol EM CAT'!J39,"-")</f>
        <v>-0.12000000000000011</v>
      </c>
    </row>
    <row r="27" spans="3:10" hidden="1" outlineLevel="1">
      <c r="C27" s="51" t="s">
        <v>47</v>
      </c>
      <c r="D27" s="339">
        <f>IFERROR('tablas evol EM CAT'!D27-'tablas evol EM CAT'!D40,"-")</f>
        <v>-0.48</v>
      </c>
      <c r="E27" s="339">
        <f>IFERROR('tablas evol EM CAT'!E27-'tablas evol EM CAT'!E40,"-")</f>
        <v>0.2799999999999998</v>
      </c>
      <c r="F27" s="339">
        <f>IFERROR('tablas evol EM CAT'!F27-'tablas evol EM CAT'!F40,"-")</f>
        <v>-0.2799999999999998</v>
      </c>
      <c r="G27" s="339">
        <f>IFERROR('tablas evol EM CAT'!G27-'tablas evol EM CAT'!G40,"-")</f>
        <v>-1.7220568799836433</v>
      </c>
      <c r="H27" s="339">
        <f>IFERROR('tablas evol EM CAT'!H27-'tablas evol EM CAT'!H40,"-")</f>
        <v>-0.56000000000000005</v>
      </c>
      <c r="I27" s="339"/>
      <c r="J27" s="339">
        <f>IFERROR('tablas evol EM CAT'!J27-'tablas evol EM CAT'!J40,"-")</f>
        <v>-0.56000000000000005</v>
      </c>
    </row>
    <row r="28" spans="3:10" hidden="1" outlineLevel="1">
      <c r="C28" s="51" t="s">
        <v>48</v>
      </c>
      <c r="D28" s="339">
        <f>IFERROR('tablas evol EM CAT'!D28-'tablas evol EM CAT'!D41,"-")</f>
        <v>-0.93000000000000016</v>
      </c>
      <c r="E28" s="339">
        <f>IFERROR('tablas evol EM CAT'!E28-'tablas evol EM CAT'!E41,"-")</f>
        <v>-3.0000000000000249E-2</v>
      </c>
      <c r="F28" s="339">
        <f>IFERROR('tablas evol EM CAT'!F28-'tablas evol EM CAT'!F41,"-")</f>
        <v>-0.10000000000000009</v>
      </c>
      <c r="G28" s="339">
        <f>IFERROR('tablas evol EM CAT'!G28-'tablas evol EM CAT'!G41,"-")</f>
        <v>0.62140646736314409</v>
      </c>
      <c r="H28" s="339">
        <f>IFERROR('tablas evol EM CAT'!H28-'tablas evol EM CAT'!H41,"-")</f>
        <v>8.0000000000000071E-2</v>
      </c>
      <c r="I28" s="339"/>
      <c r="J28" s="339">
        <f>IFERROR('tablas evol EM CAT'!J28-'tablas evol EM CAT'!J41,"-")</f>
        <v>8.0000000000000071E-2</v>
      </c>
    </row>
    <row r="29" spans="3:10" hidden="1" outlineLevel="1">
      <c r="C29" s="51" t="s">
        <v>49</v>
      </c>
      <c r="D29" s="339">
        <f>IFERROR('tablas evol EM CAT'!D29-'tablas evol EM CAT'!D42,"-")</f>
        <v>-0.62451591062965495</v>
      </c>
      <c r="E29" s="339">
        <f>IFERROR('tablas evol EM CAT'!E29-'tablas evol EM CAT'!E42,"-")</f>
        <v>-4.8316704216285977E-2</v>
      </c>
      <c r="F29" s="339">
        <f>IFERROR('tablas evol EM CAT'!F29-'tablas evol EM CAT'!F42,"-")</f>
        <v>1.5010351966873614E-2</v>
      </c>
      <c r="G29" s="339">
        <f>IFERROR('tablas evol EM CAT'!G29-'tablas evol EM CAT'!G42,"-")</f>
        <v>4.5720574499600097E-2</v>
      </c>
      <c r="H29" s="339">
        <f>IFERROR('tablas evol EM CAT'!H29-'tablas evol EM CAT'!H42,"-")</f>
        <v>-0.10350606524555417</v>
      </c>
      <c r="I29" s="339"/>
      <c r="J29" s="339">
        <f>IFERROR('tablas evol EM CAT'!J29-'tablas evol EM CAT'!J42,"-")</f>
        <v>-0.10350606524555417</v>
      </c>
    </row>
    <row r="30" spans="3:10" collapsed="1">
      <c r="C30" s="56">
        <v>2009</v>
      </c>
      <c r="D30" s="342">
        <f>IFERROR('tablas evol EM CAT'!D30-'tablas evol EM CAT'!D43,"-")</f>
        <v>-6.3404490350130072E-2</v>
      </c>
      <c r="E30" s="342">
        <f>IFERROR('tablas evol EM CAT'!E30-'tablas evol EM CAT'!E43,"-")</f>
        <v>-0.19696318210556862</v>
      </c>
      <c r="F30" s="342">
        <f>IFERROR('tablas evol EM CAT'!F30-'tablas evol EM CAT'!F43,"-")</f>
        <v>-0.13980754392520822</v>
      </c>
      <c r="G30" s="342">
        <f>IFERROR('tablas evol EM CAT'!G30-'tablas evol EM CAT'!G43,"-")</f>
        <v>-2.4566554733659096E-2</v>
      </c>
      <c r="H30" s="342">
        <f>IFERROR('tablas evol EM CAT'!H30-'tablas evol EM CAT'!H43,"-")</f>
        <v>-0.14495288187197408</v>
      </c>
      <c r="I30" s="342"/>
      <c r="J30" s="342">
        <f>IFERROR('tablas evol EM CAT'!J30-'tablas evol EM CAT'!J43,"-")</f>
        <v>-0.14495288187197408</v>
      </c>
    </row>
    <row r="31" spans="3:10" hidden="1" outlineLevel="1">
      <c r="C31" s="51" t="s">
        <v>38</v>
      </c>
      <c r="D31" s="339">
        <f>IFERROR('tablas evol EM CAT'!D31-'tablas evol EM CAT'!D44,"-")</f>
        <v>-0.18999999999999995</v>
      </c>
      <c r="E31" s="339">
        <f>IFERROR('tablas evol EM CAT'!E31-'tablas evol EM CAT'!E44,"-")</f>
        <v>8.0000000000000071E-2</v>
      </c>
      <c r="F31" s="339">
        <f>IFERROR('tablas evol EM CAT'!F31-'tablas evol EM CAT'!F44,"-")</f>
        <v>-0.34000000000000008</v>
      </c>
      <c r="G31" s="339">
        <f>IFERROR('tablas evol EM CAT'!G31-'tablas evol EM CAT'!G44,"-")</f>
        <v>-0.11255198896490048</v>
      </c>
      <c r="H31" s="339">
        <f>IFERROR('tablas evol EM CAT'!H31-'tablas evol EM CAT'!H44,"-")</f>
        <v>-0.10000000000000009</v>
      </c>
      <c r="I31" s="339"/>
      <c r="J31" s="339">
        <f>IFERROR('tablas evol EM CAT'!J31-'tablas evol EM CAT'!J44,"-")</f>
        <v>-0.10000000000000009</v>
      </c>
    </row>
    <row r="32" spans="3:10" hidden="1" outlineLevel="1">
      <c r="C32" s="51" t="s">
        <v>39</v>
      </c>
      <c r="D32" s="339">
        <f>IFERROR('tablas evol EM CAT'!D32-'tablas evol EM CAT'!D45,"-")</f>
        <v>0.10999999999999988</v>
      </c>
      <c r="E32" s="339">
        <f>IFERROR('tablas evol EM CAT'!E32-'tablas evol EM CAT'!E45,"-")</f>
        <v>0.10999999999999988</v>
      </c>
      <c r="F32" s="339">
        <f>IFERROR('tablas evol EM CAT'!F32-'tablas evol EM CAT'!F45,"-")</f>
        <v>0.18000000000000016</v>
      </c>
      <c r="G32" s="339">
        <f>IFERROR('tablas evol EM CAT'!G32-'tablas evol EM CAT'!G45,"-")</f>
        <v>2.1944710579973936E-2</v>
      </c>
      <c r="H32" s="339">
        <f>IFERROR('tablas evol EM CAT'!H32-'tablas evol EM CAT'!H45,"-")</f>
        <v>8.9999999999999858E-2</v>
      </c>
      <c r="I32" s="339"/>
      <c r="J32" s="339">
        <f>IFERROR('tablas evol EM CAT'!J32-'tablas evol EM CAT'!J45,"-")</f>
        <v>8.9999999999999858E-2</v>
      </c>
    </row>
    <row r="33" spans="3:10" hidden="1" outlineLevel="1">
      <c r="C33" s="51" t="s">
        <v>40</v>
      </c>
      <c r="D33" s="339">
        <f>IFERROR('tablas evol EM CAT'!D33-'tablas evol EM CAT'!D46,"-")</f>
        <v>-0.33999999999999986</v>
      </c>
      <c r="E33" s="339">
        <f>IFERROR('tablas evol EM CAT'!E33-'tablas evol EM CAT'!E46,"-")</f>
        <v>-6.0000000000000053E-2</v>
      </c>
      <c r="F33" s="339">
        <f>IFERROR('tablas evol EM CAT'!F33-'tablas evol EM CAT'!F46,"-")</f>
        <v>9.9999999999999645E-2</v>
      </c>
      <c r="G33" s="339">
        <f>IFERROR('tablas evol EM CAT'!G33-'tablas evol EM CAT'!G46,"-")</f>
        <v>-0.68196386636531114</v>
      </c>
      <c r="H33" s="339">
        <f>IFERROR('tablas evol EM CAT'!H33-'tablas evol EM CAT'!H46,"-")</f>
        <v>-0.2200000000000002</v>
      </c>
      <c r="I33" s="339"/>
      <c r="J33" s="339">
        <f>IFERROR('tablas evol EM CAT'!J33-'tablas evol EM CAT'!J46,"-")</f>
        <v>-0.2200000000000002</v>
      </c>
    </row>
    <row r="34" spans="3:10" hidden="1" outlineLevel="1">
      <c r="C34" s="51" t="s">
        <v>41</v>
      </c>
      <c r="D34" s="339">
        <f>IFERROR('tablas evol EM CAT'!D34-'tablas evol EM CAT'!D47,"-")</f>
        <v>0.12000000000000011</v>
      </c>
      <c r="E34" s="339">
        <f>IFERROR('tablas evol EM CAT'!E34-'tablas evol EM CAT'!E47,"-")</f>
        <v>-0.4099999999999997</v>
      </c>
      <c r="F34" s="339">
        <f>IFERROR('tablas evol EM CAT'!F34-'tablas evol EM CAT'!F47,"-")</f>
        <v>-0.10999999999999988</v>
      </c>
      <c r="G34" s="339">
        <f>IFERROR('tablas evol EM CAT'!G34-'tablas evol EM CAT'!G47,"-")</f>
        <v>-0.75410442555748691</v>
      </c>
      <c r="H34" s="339">
        <f>IFERROR('tablas evol EM CAT'!H34-'tablas evol EM CAT'!H47,"-")</f>
        <v>-0.36000000000000032</v>
      </c>
      <c r="I34" s="339"/>
      <c r="J34" s="339">
        <f>IFERROR('tablas evol EM CAT'!J34-'tablas evol EM CAT'!J47,"-")</f>
        <v>-0.36000000000000032</v>
      </c>
    </row>
    <row r="35" spans="3:10" hidden="1" outlineLevel="1">
      <c r="C35" s="51" t="s">
        <v>42</v>
      </c>
      <c r="D35" s="339">
        <f>IFERROR('tablas evol EM CAT'!D35-'tablas evol EM CAT'!D48,"-")</f>
        <v>0.62000000000000011</v>
      </c>
      <c r="E35" s="339">
        <f>IFERROR('tablas evol EM CAT'!E35-'tablas evol EM CAT'!E48,"-")</f>
        <v>-0.12000000000000011</v>
      </c>
      <c r="F35" s="339">
        <f>IFERROR('tablas evol EM CAT'!F35-'tablas evol EM CAT'!F48,"-")</f>
        <v>-6.0000000000000053E-2</v>
      </c>
      <c r="G35" s="339">
        <f>IFERROR('tablas evol EM CAT'!G35-'tablas evol EM CAT'!G48,"-")</f>
        <v>-0.23859901062236544</v>
      </c>
      <c r="H35" s="339">
        <f>IFERROR('tablas evol EM CAT'!H35-'tablas evol EM CAT'!H48,"-")</f>
        <v>-0.13000000000000034</v>
      </c>
      <c r="I35" s="339"/>
      <c r="J35" s="339">
        <f>IFERROR('tablas evol EM CAT'!J35-'tablas evol EM CAT'!J48,"-")</f>
        <v>-0.13000000000000034</v>
      </c>
    </row>
    <row r="36" spans="3:10" hidden="1" outlineLevel="1">
      <c r="C36" s="51" t="s">
        <v>43</v>
      </c>
      <c r="D36" s="339">
        <f>IFERROR('tablas evol EM CAT'!D36-'tablas evol EM CAT'!D49,"-")</f>
        <v>1.0000000000000004</v>
      </c>
      <c r="E36" s="339">
        <f>IFERROR('tablas evol EM CAT'!E36-'tablas evol EM CAT'!E49,"-")</f>
        <v>0.17000000000000037</v>
      </c>
      <c r="F36" s="339">
        <f>IFERROR('tablas evol EM CAT'!F36-'tablas evol EM CAT'!F49,"-")</f>
        <v>0.16999999999999993</v>
      </c>
      <c r="G36" s="339">
        <f>IFERROR('tablas evol EM CAT'!G36-'tablas evol EM CAT'!G49,"-")</f>
        <v>-1.6235480776234845</v>
      </c>
      <c r="H36" s="339">
        <f>IFERROR('tablas evol EM CAT'!H36-'tablas evol EM CAT'!H49,"-")</f>
        <v>-0.33000000000000007</v>
      </c>
      <c r="I36" s="339"/>
      <c r="J36" s="339">
        <f>IFERROR('tablas evol EM CAT'!J36-'tablas evol EM CAT'!J49,"-")</f>
        <v>-0.33000000000000007</v>
      </c>
    </row>
    <row r="37" spans="3:10" hidden="1" outlineLevel="1">
      <c r="C37" s="51" t="s">
        <v>44</v>
      </c>
      <c r="D37" s="339">
        <f>IFERROR('tablas evol EM CAT'!D37-'tablas evol EM CAT'!D50,"-")</f>
        <v>0.65000000000000036</v>
      </c>
      <c r="E37" s="339">
        <f>IFERROR('tablas evol EM CAT'!E37-'tablas evol EM CAT'!E50,"-")</f>
        <v>-0.45999999999999996</v>
      </c>
      <c r="F37" s="339">
        <f>IFERROR('tablas evol EM CAT'!F37-'tablas evol EM CAT'!F50,"-")</f>
        <v>0.60000000000000009</v>
      </c>
      <c r="G37" s="339">
        <f>IFERROR('tablas evol EM CAT'!G37-'tablas evol EM CAT'!G50,"-")</f>
        <v>-2.0129536507096306</v>
      </c>
      <c r="H37" s="339">
        <f>IFERROR('tablas evol EM CAT'!H37-'tablas evol EM CAT'!H50,"-")</f>
        <v>-0.68000000000000016</v>
      </c>
      <c r="I37" s="339"/>
      <c r="J37" s="339">
        <f>IFERROR('tablas evol EM CAT'!J37-'tablas evol EM CAT'!J50,"-")</f>
        <v>-0.68000000000000016</v>
      </c>
    </row>
    <row r="38" spans="3:10" hidden="1" outlineLevel="1">
      <c r="C38" s="51" t="s">
        <v>45</v>
      </c>
      <c r="D38" s="339">
        <f>IFERROR('tablas evol EM CAT'!D38-'tablas evol EM CAT'!D51,"-")</f>
        <v>-2.0000000000000018E-2</v>
      </c>
      <c r="E38" s="339">
        <f>IFERROR('tablas evol EM CAT'!E38-'tablas evol EM CAT'!E51,"-")</f>
        <v>-0.12999999999999989</v>
      </c>
      <c r="F38" s="339">
        <f>IFERROR('tablas evol EM CAT'!F38-'tablas evol EM CAT'!F51,"-")</f>
        <v>0.12000000000000011</v>
      </c>
      <c r="G38" s="339">
        <f>IFERROR('tablas evol EM CAT'!G38-'tablas evol EM CAT'!G51,"-")</f>
        <v>-0.76169386957979279</v>
      </c>
      <c r="H38" s="339">
        <f>IFERROR('tablas evol EM CAT'!H38-'tablas evol EM CAT'!H51,"-")</f>
        <v>-0.25999999999999979</v>
      </c>
      <c r="I38" s="339"/>
      <c r="J38" s="339">
        <f>IFERROR('tablas evol EM CAT'!J38-'tablas evol EM CAT'!J51,"-")</f>
        <v>-0.25999999999999979</v>
      </c>
    </row>
    <row r="39" spans="3:10" hidden="1" outlineLevel="1">
      <c r="C39" s="51" t="s">
        <v>46</v>
      </c>
      <c r="D39" s="339">
        <f>IFERROR('tablas evol EM CAT'!D39-'tablas evol EM CAT'!D52,"-")</f>
        <v>6.0000000000000053E-2</v>
      </c>
      <c r="E39" s="339">
        <f>IFERROR('tablas evol EM CAT'!E39-'tablas evol EM CAT'!E52,"-")</f>
        <v>-0.38999999999999968</v>
      </c>
      <c r="F39" s="339">
        <f>IFERROR('tablas evol EM CAT'!F39-'tablas evol EM CAT'!F52,"-")</f>
        <v>-6.999999999999984E-2</v>
      </c>
      <c r="G39" s="339">
        <f>IFERROR('tablas evol EM CAT'!G39-'tablas evol EM CAT'!G52,"-")</f>
        <v>-1.0015984998744099</v>
      </c>
      <c r="H39" s="339">
        <f>IFERROR('tablas evol EM CAT'!H39-'tablas evol EM CAT'!H52,"-")</f>
        <v>-0.4700000000000002</v>
      </c>
      <c r="I39" s="339"/>
      <c r="J39" s="339">
        <f>IFERROR('tablas evol EM CAT'!J39-'tablas evol EM CAT'!J52,"-")</f>
        <v>-0.4700000000000002</v>
      </c>
    </row>
    <row r="40" spans="3:10" hidden="1" outlineLevel="1">
      <c r="C40" s="51" t="s">
        <v>47</v>
      </c>
      <c r="D40" s="339">
        <f>IFERROR('tablas evol EM CAT'!D40-'tablas evol EM CAT'!D53,"-")</f>
        <v>0.30000000000000027</v>
      </c>
      <c r="E40" s="339">
        <f>IFERROR('tablas evol EM CAT'!E40-'tablas evol EM CAT'!E53,"-")</f>
        <v>-4.0000000000000036E-2</v>
      </c>
      <c r="F40" s="339">
        <f>IFERROR('tablas evol EM CAT'!F40-'tablas evol EM CAT'!F53,"-")</f>
        <v>0.17999999999999972</v>
      </c>
      <c r="G40" s="339">
        <f>IFERROR('tablas evol EM CAT'!G40-'tablas evol EM CAT'!G53,"-")</f>
        <v>0.85238501705738745</v>
      </c>
      <c r="H40" s="339">
        <f>IFERROR('tablas evol EM CAT'!H40-'tablas evol EM CAT'!H53,"-")</f>
        <v>0.29000000000000004</v>
      </c>
      <c r="I40" s="339"/>
      <c r="J40" s="339">
        <f>IFERROR('tablas evol EM CAT'!J40-'tablas evol EM CAT'!J53,"-")</f>
        <v>0.29000000000000004</v>
      </c>
    </row>
    <row r="41" spans="3:10" hidden="1" outlineLevel="1">
      <c r="C41" s="51" t="s">
        <v>48</v>
      </c>
      <c r="D41" s="339">
        <f>IFERROR('tablas evol EM CAT'!D41-'tablas evol EM CAT'!D54,"-")</f>
        <v>0.24000000000000021</v>
      </c>
      <c r="E41" s="339">
        <f>IFERROR('tablas evol EM CAT'!E41-'tablas evol EM CAT'!E54,"-")</f>
        <v>-0.16999999999999993</v>
      </c>
      <c r="F41" s="339">
        <f>IFERROR('tablas evol EM CAT'!F41-'tablas evol EM CAT'!F54,"-")</f>
        <v>0.20999999999999996</v>
      </c>
      <c r="G41" s="339">
        <f>IFERROR('tablas evol EM CAT'!G41-'tablas evol EM CAT'!G54,"-")</f>
        <v>-0.43325114303211754</v>
      </c>
      <c r="H41" s="339">
        <f>IFERROR('tablas evol EM CAT'!H41-'tablas evol EM CAT'!H54,"-")</f>
        <v>-0.13000000000000034</v>
      </c>
      <c r="I41" s="339"/>
      <c r="J41" s="339">
        <f>IFERROR('tablas evol EM CAT'!J41-'tablas evol EM CAT'!J54,"-")</f>
        <v>-0.13000000000000034</v>
      </c>
    </row>
    <row r="42" spans="3:10" hidden="1" outlineLevel="1">
      <c r="C42" s="51" t="s">
        <v>49</v>
      </c>
      <c r="D42" s="339">
        <f>IFERROR('tablas evol EM CAT'!D42-'tablas evol EM CAT'!D55,"-")</f>
        <v>5.4515910629654663E-2</v>
      </c>
      <c r="E42" s="339">
        <f>IFERROR('tablas evol EM CAT'!E42-'tablas evol EM CAT'!E55,"-")</f>
        <v>0.32831670421628578</v>
      </c>
      <c r="F42" s="339">
        <f>IFERROR('tablas evol EM CAT'!F42-'tablas evol EM CAT'!F55,"-")</f>
        <v>-0.17501035196687376</v>
      </c>
      <c r="G42" s="339">
        <f>IFERROR('tablas evol EM CAT'!G42-'tablas evol EM CAT'!G55,"-")</f>
        <v>-0.65220537366394904</v>
      </c>
      <c r="H42" s="339">
        <f>IFERROR('tablas evol EM CAT'!H42-'tablas evol EM CAT'!H55,"-")</f>
        <v>-0.14649393475444583</v>
      </c>
      <c r="I42" s="339"/>
      <c r="J42" s="339">
        <f>IFERROR('tablas evol EM CAT'!J42-'tablas evol EM CAT'!J55,"-")</f>
        <v>-0.14649393475444583</v>
      </c>
    </row>
    <row r="43" spans="3:10" collapsed="1">
      <c r="C43" s="58">
        <v>2008</v>
      </c>
      <c r="D43" s="343">
        <f>IFERROR('tablas evol EM CAT'!D43-'tablas evol EM CAT'!D56,"-")</f>
        <v>0.16319590949372076</v>
      </c>
      <c r="E43" s="343">
        <f>IFERROR('tablas evol EM CAT'!E43-'tablas evol EM CAT'!E56,"-")</f>
        <v>-6.3238293784491528E-2</v>
      </c>
      <c r="F43" s="343">
        <f>IFERROR('tablas evol EM CAT'!F43-'tablas evol EM CAT'!F56,"-")</f>
        <v>7.6199325560636133E-2</v>
      </c>
      <c r="G43" s="343">
        <f>IFERROR('tablas evol EM CAT'!G43-'tablas evol EM CAT'!G56,"-")</f>
        <v>-0.65515560731998868</v>
      </c>
      <c r="H43" s="343">
        <f>IFERROR('tablas evol EM CAT'!H43-'tablas evol EM CAT'!H56,"-")</f>
        <v>-0.18374352602174149</v>
      </c>
      <c r="I43" s="343"/>
      <c r="J43" s="343">
        <f>IFERROR('tablas evol EM CAT'!J43-'tablas evol EM CAT'!J56,"-")</f>
        <v>-0.18374352602174149</v>
      </c>
    </row>
    <row r="44" spans="3:10" hidden="1" outlineLevel="1">
      <c r="C44" s="51" t="s">
        <v>38</v>
      </c>
      <c r="D44" s="339">
        <f>IFERROR('tablas evol EM CAT'!D44-'tablas evol EM CAT'!D57,"-")</f>
        <v>-0.58000000000000007</v>
      </c>
      <c r="E44" s="339">
        <f>IFERROR('tablas evol EM CAT'!E44-'tablas evol EM CAT'!E57,"-")</f>
        <v>-9.9999999999997868E-3</v>
      </c>
      <c r="F44" s="339">
        <f>IFERROR('tablas evol EM CAT'!F44-'tablas evol EM CAT'!F57,"-")</f>
        <v>0.18999999999999995</v>
      </c>
      <c r="G44" s="339">
        <f>IFERROR('tablas evol EM CAT'!G44-'tablas evol EM CAT'!G57,"-")</f>
        <v>-0.77060686302522541</v>
      </c>
      <c r="H44" s="339">
        <f>IFERROR('tablas evol EM CAT'!H44-'tablas evol EM CAT'!H57,"-")</f>
        <v>-0.25</v>
      </c>
      <c r="I44" s="339"/>
      <c r="J44" s="339">
        <f>IFERROR('tablas evol EM CAT'!J44-'tablas evol EM CAT'!J57,"-")</f>
        <v>-0.25</v>
      </c>
    </row>
    <row r="45" spans="3:10" hidden="1" outlineLevel="1">
      <c r="C45" s="51" t="s">
        <v>39</v>
      </c>
      <c r="D45" s="339">
        <f>IFERROR('tablas evol EM CAT'!D45-'tablas evol EM CAT'!D58,"-")</f>
        <v>-0.67999999999999972</v>
      </c>
      <c r="E45" s="339">
        <f>IFERROR('tablas evol EM CAT'!E45-'tablas evol EM CAT'!E58,"-")</f>
        <v>4.0000000000000036E-2</v>
      </c>
      <c r="F45" s="339">
        <f>IFERROR('tablas evol EM CAT'!F45-'tablas evol EM CAT'!F58,"-")</f>
        <v>-0.20999999999999996</v>
      </c>
      <c r="G45" s="339">
        <f>IFERROR('tablas evol EM CAT'!G45-'tablas evol EM CAT'!G58,"-")</f>
        <v>-0.4887525801977235</v>
      </c>
      <c r="H45" s="339">
        <f>IFERROR('tablas evol EM CAT'!H45-'tablas evol EM CAT'!H58,"-")</f>
        <v>-0.23999999999999977</v>
      </c>
      <c r="I45" s="339"/>
      <c r="J45" s="339">
        <f>IFERROR('tablas evol EM CAT'!J45-'tablas evol EM CAT'!J58,"-")</f>
        <v>-0.23999999999999977</v>
      </c>
    </row>
    <row r="46" spans="3:10" hidden="1" outlineLevel="1">
      <c r="C46" s="51" t="s">
        <v>40</v>
      </c>
      <c r="D46" s="339">
        <f>IFERROR('tablas evol EM CAT'!D46-'tablas evol EM CAT'!D59,"-")</f>
        <v>0.13999999999999968</v>
      </c>
      <c r="E46" s="339">
        <f>IFERROR('tablas evol EM CAT'!E46-'tablas evol EM CAT'!E59,"-")</f>
        <v>4.0000000000000036E-2</v>
      </c>
      <c r="F46" s="339">
        <f>IFERROR('tablas evol EM CAT'!F46-'tablas evol EM CAT'!F59,"-")</f>
        <v>2.0000000000000018E-2</v>
      </c>
      <c r="G46" s="339">
        <f>IFERROR('tablas evol EM CAT'!G46-'tablas evol EM CAT'!G59,"-")</f>
        <v>-0.12076157994135484</v>
      </c>
      <c r="H46" s="339">
        <f>IFERROR('tablas evol EM CAT'!H46-'tablas evol EM CAT'!H59,"-")</f>
        <v>-6.0000000000000053E-2</v>
      </c>
      <c r="I46" s="339"/>
      <c r="J46" s="339">
        <f>IFERROR('tablas evol EM CAT'!J46-'tablas evol EM CAT'!J59,"-")</f>
        <v>-6.0000000000000053E-2</v>
      </c>
    </row>
    <row r="47" spans="3:10" hidden="1" outlineLevel="1">
      <c r="C47" s="51" t="s">
        <v>41</v>
      </c>
      <c r="D47" s="339">
        <f>IFERROR('tablas evol EM CAT'!D47-'tablas evol EM CAT'!D60,"-")</f>
        <v>-1.17</v>
      </c>
      <c r="E47" s="339">
        <f>IFERROR('tablas evol EM CAT'!E47-'tablas evol EM CAT'!E60,"-")</f>
        <v>-0.14000000000000012</v>
      </c>
      <c r="F47" s="339">
        <f>IFERROR('tablas evol EM CAT'!F47-'tablas evol EM CAT'!F60,"-")</f>
        <v>0.20999999999999996</v>
      </c>
      <c r="G47" s="339">
        <f>IFERROR('tablas evol EM CAT'!G47-'tablas evol EM CAT'!G60,"-")</f>
        <v>0.41632833343214548</v>
      </c>
      <c r="H47" s="339">
        <f>IFERROR('tablas evol EM CAT'!H47-'tablas evol EM CAT'!H60,"-")</f>
        <v>-2.9999999999999805E-2</v>
      </c>
      <c r="I47" s="339"/>
      <c r="J47" s="339">
        <f>IFERROR('tablas evol EM CAT'!J47-'tablas evol EM CAT'!J60,"-")</f>
        <v>-2.9999999999999805E-2</v>
      </c>
    </row>
    <row r="48" spans="3:10" hidden="1" outlineLevel="1">
      <c r="C48" s="51" t="s">
        <v>42</v>
      </c>
      <c r="D48" s="339">
        <f>IFERROR('tablas evol EM CAT'!D48-'tablas evol EM CAT'!D61,"-")</f>
        <v>-1.0300000000000002</v>
      </c>
      <c r="E48" s="339">
        <f>IFERROR('tablas evol EM CAT'!E48-'tablas evol EM CAT'!E61,"-")</f>
        <v>0.14999999999999991</v>
      </c>
      <c r="F48" s="339">
        <f>IFERROR('tablas evol EM CAT'!F48-'tablas evol EM CAT'!F61,"-")</f>
        <v>0.10999999999999988</v>
      </c>
      <c r="G48" s="339">
        <f>IFERROR('tablas evol EM CAT'!G48-'tablas evol EM CAT'!G61,"-")</f>
        <v>-0.6427370328583053</v>
      </c>
      <c r="H48" s="339">
        <f>IFERROR('tablas evol EM CAT'!H48-'tablas evol EM CAT'!H61,"-")</f>
        <v>-0.20999999999999996</v>
      </c>
      <c r="I48" s="339"/>
      <c r="J48" s="339">
        <f>IFERROR('tablas evol EM CAT'!J48-'tablas evol EM CAT'!J61,"-")</f>
        <v>-0.20999999999999996</v>
      </c>
    </row>
    <row r="49" spans="3:10" hidden="1" outlineLevel="1">
      <c r="C49" s="51" t="s">
        <v>43</v>
      </c>
      <c r="D49" s="339">
        <f>IFERROR('tablas evol EM CAT'!D49-'tablas evol EM CAT'!D62,"-")</f>
        <v>0.96</v>
      </c>
      <c r="E49" s="339">
        <f>IFERROR('tablas evol EM CAT'!E49-'tablas evol EM CAT'!E62,"-")</f>
        <v>2.0000000000000018E-2</v>
      </c>
      <c r="F49" s="339">
        <f>IFERROR('tablas evol EM CAT'!F49-'tablas evol EM CAT'!F62,"-")</f>
        <v>-0.12000000000000011</v>
      </c>
      <c r="G49" s="339">
        <f>IFERROR('tablas evol EM CAT'!G49-'tablas evol EM CAT'!G62,"-")</f>
        <v>1.3303169988307229</v>
      </c>
      <c r="H49" s="339">
        <f>IFERROR('tablas evol EM CAT'!H49-'tablas evol EM CAT'!H62,"-")</f>
        <v>0.44999999999999973</v>
      </c>
      <c r="I49" s="339"/>
      <c r="J49" s="339">
        <f>IFERROR('tablas evol EM CAT'!J49-'tablas evol EM CAT'!J62,"-")</f>
        <v>0.44999999999999973</v>
      </c>
    </row>
    <row r="50" spans="3:10" hidden="1" outlineLevel="1">
      <c r="C50" s="51" t="s">
        <v>44</v>
      </c>
      <c r="D50" s="339">
        <f>IFERROR('tablas evol EM CAT'!D50-'tablas evol EM CAT'!D63,"-")</f>
        <v>0.84999999999999964</v>
      </c>
      <c r="E50" s="339">
        <f>IFERROR('tablas evol EM CAT'!E50-'tablas evol EM CAT'!E63,"-")</f>
        <v>0.13000000000000034</v>
      </c>
      <c r="F50" s="339">
        <f>IFERROR('tablas evol EM CAT'!F50-'tablas evol EM CAT'!F63,"-")</f>
        <v>-2.9999999999999805E-2</v>
      </c>
      <c r="G50" s="339">
        <f>IFERROR('tablas evol EM CAT'!G50-'tablas evol EM CAT'!G63,"-")</f>
        <v>2.4555936584979823</v>
      </c>
      <c r="H50" s="339">
        <f>IFERROR('tablas evol EM CAT'!H50-'tablas evol EM CAT'!H63,"-")</f>
        <v>0.98</v>
      </c>
      <c r="I50" s="339"/>
      <c r="J50" s="339">
        <f>IFERROR('tablas evol EM CAT'!J50-'tablas evol EM CAT'!J63,"-")</f>
        <v>0.98</v>
      </c>
    </row>
    <row r="51" spans="3:10" hidden="1" outlineLevel="1">
      <c r="C51" s="51" t="s">
        <v>45</v>
      </c>
      <c r="D51" s="339">
        <f>IFERROR('tablas evol EM CAT'!D51-'tablas evol EM CAT'!D64,"-")</f>
        <v>0.11000000000000032</v>
      </c>
      <c r="E51" s="339">
        <f>IFERROR('tablas evol EM CAT'!E51-'tablas evol EM CAT'!E64,"-")</f>
        <v>0.12999999999999989</v>
      </c>
      <c r="F51" s="339">
        <f>IFERROR('tablas evol EM CAT'!F51-'tablas evol EM CAT'!F64,"-")</f>
        <v>-6.0000000000000053E-2</v>
      </c>
      <c r="G51" s="339">
        <f>IFERROR('tablas evol EM CAT'!G51-'tablas evol EM CAT'!G64,"-")</f>
        <v>1.7560887614442477</v>
      </c>
      <c r="H51" s="339">
        <f>IFERROR('tablas evol EM CAT'!H51-'tablas evol EM CAT'!H64,"-")</f>
        <v>0.64000000000000012</v>
      </c>
      <c r="I51" s="339"/>
      <c r="J51" s="339">
        <f>IFERROR('tablas evol EM CAT'!J51-'tablas evol EM CAT'!J64,"-")</f>
        <v>0.64000000000000012</v>
      </c>
    </row>
    <row r="52" spans="3:10" hidden="1" outlineLevel="1">
      <c r="C52" s="51" t="s">
        <v>46</v>
      </c>
      <c r="D52" s="339">
        <f>IFERROR('tablas evol EM CAT'!D52-'tablas evol EM CAT'!D65,"-")</f>
        <v>-0.35999999999999988</v>
      </c>
      <c r="E52" s="339">
        <f>IFERROR('tablas evol EM CAT'!E52-'tablas evol EM CAT'!E65,"-")</f>
        <v>-3.0000000000000249E-2</v>
      </c>
      <c r="F52" s="339">
        <f>IFERROR('tablas evol EM CAT'!F52-'tablas evol EM CAT'!F65,"-")</f>
        <v>6.999999999999984E-2</v>
      </c>
      <c r="G52" s="339">
        <f>IFERROR('tablas evol EM CAT'!G52-'tablas evol EM CAT'!G65,"-")</f>
        <v>0.52531403937227772</v>
      </c>
      <c r="H52" s="339">
        <f>IFERROR('tablas evol EM CAT'!H52-'tablas evol EM CAT'!H65,"-")</f>
        <v>0.18000000000000016</v>
      </c>
      <c r="I52" s="339"/>
      <c r="J52" s="339">
        <f>IFERROR('tablas evol EM CAT'!J52-'tablas evol EM CAT'!J65,"-")</f>
        <v>0.18000000000000016</v>
      </c>
    </row>
    <row r="53" spans="3:10" hidden="1" outlineLevel="1">
      <c r="C53" s="51" t="s">
        <v>47</v>
      </c>
      <c r="D53" s="339">
        <f>IFERROR('tablas evol EM CAT'!D53-'tablas evol EM CAT'!D66,"-")</f>
        <v>-0.53000000000000025</v>
      </c>
      <c r="E53" s="339">
        <f>IFERROR('tablas evol EM CAT'!E53-'tablas evol EM CAT'!E66,"-")</f>
        <v>-0.25999999999999979</v>
      </c>
      <c r="F53" s="339">
        <f>IFERROR('tablas evol EM CAT'!F53-'tablas evol EM CAT'!F66,"-")</f>
        <v>0.12000000000000011</v>
      </c>
      <c r="G53" s="339">
        <f>IFERROR('tablas evol EM CAT'!G53-'tablas evol EM CAT'!G66,"-")</f>
        <v>0.46475379693474972</v>
      </c>
      <c r="H53" s="339">
        <f>IFERROR('tablas evol EM CAT'!H53-'tablas evol EM CAT'!H66,"-")</f>
        <v>8.9999999999999858E-2</v>
      </c>
      <c r="I53" s="339"/>
      <c r="J53" s="339">
        <f>IFERROR('tablas evol EM CAT'!J53-'tablas evol EM CAT'!J66,"-")</f>
        <v>8.9999999999999858E-2</v>
      </c>
    </row>
    <row r="54" spans="3:10" hidden="1" outlineLevel="1">
      <c r="C54" s="51" t="s">
        <v>48</v>
      </c>
      <c r="D54" s="339">
        <f>IFERROR('tablas evol EM CAT'!D54-'tablas evol EM CAT'!D67,"-")</f>
        <v>-3.0000000000000249E-2</v>
      </c>
      <c r="E54" s="339">
        <f>IFERROR('tablas evol EM CAT'!E54-'tablas evol EM CAT'!E67,"-")</f>
        <v>-0.18000000000000016</v>
      </c>
      <c r="F54" s="339">
        <f>IFERROR('tablas evol EM CAT'!F54-'tablas evol EM CAT'!F67,"-")</f>
        <v>-0.27</v>
      </c>
      <c r="G54" s="339">
        <f>IFERROR('tablas evol EM CAT'!G54-'tablas evol EM CAT'!G67,"-")</f>
        <v>-2.8423600610520516E-2</v>
      </c>
      <c r="H54" s="339">
        <f>IFERROR('tablas evol EM CAT'!H54-'tablas evol EM CAT'!H67,"-")</f>
        <v>-0.10999999999999988</v>
      </c>
      <c r="I54" s="339"/>
      <c r="J54" s="339">
        <f>IFERROR('tablas evol EM CAT'!J54-'tablas evol EM CAT'!J67,"-")</f>
        <v>-0.10999999999999988</v>
      </c>
    </row>
    <row r="55" spans="3:10" hidden="1" outlineLevel="1">
      <c r="C55" s="51" t="s">
        <v>49</v>
      </c>
      <c r="D55" s="339">
        <f>IFERROR('tablas evol EM CAT'!D55-'tablas evol EM CAT'!D68,"-")</f>
        <v>0.5900000000000003</v>
      </c>
      <c r="E55" s="339">
        <f>IFERROR('tablas evol EM CAT'!E55-'tablas evol EM CAT'!E68,"-")</f>
        <v>-0.29999999999999982</v>
      </c>
      <c r="F55" s="339">
        <f>IFERROR('tablas evol EM CAT'!F55-'tablas evol EM CAT'!F68,"-")</f>
        <v>-9.9999999999999645E-2</v>
      </c>
      <c r="G55" s="339">
        <f>IFERROR('tablas evol EM CAT'!G55-'tablas evol EM CAT'!G68,"-")</f>
        <v>1.0337690202305954</v>
      </c>
      <c r="H55" s="339">
        <f>IFERROR('tablas evol EM CAT'!H55-'tablas evol EM CAT'!H68,"-")</f>
        <v>0.31000000000000005</v>
      </c>
      <c r="I55" s="339"/>
      <c r="J55" s="339">
        <f>IFERROR('tablas evol EM CAT'!J55-'tablas evol EM CAT'!J68,"-")</f>
        <v>0.31000000000000005</v>
      </c>
    </row>
    <row r="56" spans="3:10" collapsed="1">
      <c r="C56" s="58">
        <v>2007</v>
      </c>
      <c r="D56" s="343">
        <f>IFERROR('tablas evol EM CAT'!D56-'tablas evol EM CAT'!D69,"-")</f>
        <v>-0.12941810202082227</v>
      </c>
      <c r="E56" s="343">
        <f>IFERROR('tablas evol EM CAT'!E56-'tablas evol EM CAT'!E69,"-")</f>
        <v>-5.4941810323197338E-2</v>
      </c>
      <c r="F56" s="343">
        <f>IFERROR('tablas evol EM CAT'!F56-'tablas evol EM CAT'!F69,"-")</f>
        <v>-7.4030163016596262E-3</v>
      </c>
      <c r="G56" s="343">
        <f>IFERROR('tablas evol EM CAT'!G56-'tablas evol EM CAT'!G69,"-")</f>
        <v>0.54327075600198382</v>
      </c>
      <c r="H56" s="343">
        <f>IFERROR('tablas evol EM CAT'!H56-'tablas evol EM CAT'!H69,"-")</f>
        <v>0.13125616540036855</v>
      </c>
      <c r="I56" s="343"/>
      <c r="J56" s="343">
        <f>IFERROR('tablas evol EM CAT'!J56-'tablas evol EM CAT'!J69,"-")</f>
        <v>0.13125616540036855</v>
      </c>
    </row>
    <row r="57" spans="3:10" ht="15" customHeight="1">
      <c r="C57" s="165" t="s">
        <v>33</v>
      </c>
      <c r="D57" s="165"/>
      <c r="E57" s="165"/>
      <c r="F57" s="165"/>
      <c r="G57" s="165"/>
      <c r="H57" s="165"/>
      <c r="I57" s="165"/>
      <c r="J57" s="165"/>
    </row>
    <row r="59" spans="3:10" ht="30" customHeight="1"/>
    <row r="61" spans="3:10" ht="30" customHeight="1"/>
  </sheetData>
  <mergeCells count="2">
    <mergeCell ref="C3:J3"/>
    <mergeCell ref="C57:J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0:L28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2" width="11.42578125" style="23"/>
    <col min="3" max="3" width="35.7109375" style="23" customWidth="1"/>
    <col min="4" max="5" width="12.85546875" style="23" customWidth="1"/>
    <col min="6" max="6" width="14.7109375" style="23" customWidth="1"/>
    <col min="7" max="7" width="10.7109375" style="23" customWidth="1"/>
    <col min="8" max="13" width="11.42578125" style="23"/>
    <col min="14" max="14" width="14.42578125" style="23" customWidth="1"/>
    <col min="15" max="258" width="11.42578125" style="23"/>
    <col min="259" max="259" width="35.7109375" style="23" customWidth="1"/>
    <col min="260" max="261" width="12.85546875" style="23" customWidth="1"/>
    <col min="262" max="262" width="14.7109375" style="23" customWidth="1"/>
    <col min="263" max="263" width="10.7109375" style="23" customWidth="1"/>
    <col min="264" max="269" width="11.42578125" style="23"/>
    <col min="270" max="270" width="14.42578125" style="23" customWidth="1"/>
    <col min="271" max="514" width="11.42578125" style="23"/>
    <col min="515" max="515" width="35.7109375" style="23" customWidth="1"/>
    <col min="516" max="517" width="12.85546875" style="23" customWidth="1"/>
    <col min="518" max="518" width="14.7109375" style="23" customWidth="1"/>
    <col min="519" max="519" width="10.7109375" style="23" customWidth="1"/>
    <col min="520" max="525" width="11.42578125" style="23"/>
    <col min="526" max="526" width="14.42578125" style="23" customWidth="1"/>
    <col min="527" max="770" width="11.42578125" style="23"/>
    <col min="771" max="771" width="35.7109375" style="23" customWidth="1"/>
    <col min="772" max="773" width="12.85546875" style="23" customWidth="1"/>
    <col min="774" max="774" width="14.7109375" style="23" customWidth="1"/>
    <col min="775" max="775" width="10.7109375" style="23" customWidth="1"/>
    <col min="776" max="781" width="11.42578125" style="23"/>
    <col min="782" max="782" width="14.42578125" style="23" customWidth="1"/>
    <col min="783" max="1026" width="11.42578125" style="23"/>
    <col min="1027" max="1027" width="35.7109375" style="23" customWidth="1"/>
    <col min="1028" max="1029" width="12.85546875" style="23" customWidth="1"/>
    <col min="1030" max="1030" width="14.7109375" style="23" customWidth="1"/>
    <col min="1031" max="1031" width="10.7109375" style="23" customWidth="1"/>
    <col min="1032" max="1037" width="11.42578125" style="23"/>
    <col min="1038" max="1038" width="14.42578125" style="23" customWidth="1"/>
    <col min="1039" max="1282" width="11.42578125" style="23"/>
    <col min="1283" max="1283" width="35.7109375" style="23" customWidth="1"/>
    <col min="1284" max="1285" width="12.85546875" style="23" customWidth="1"/>
    <col min="1286" max="1286" width="14.7109375" style="23" customWidth="1"/>
    <col min="1287" max="1287" width="10.7109375" style="23" customWidth="1"/>
    <col min="1288" max="1293" width="11.42578125" style="23"/>
    <col min="1294" max="1294" width="14.42578125" style="23" customWidth="1"/>
    <col min="1295" max="1538" width="11.42578125" style="23"/>
    <col min="1539" max="1539" width="35.7109375" style="23" customWidth="1"/>
    <col min="1540" max="1541" width="12.85546875" style="23" customWidth="1"/>
    <col min="1542" max="1542" width="14.7109375" style="23" customWidth="1"/>
    <col min="1543" max="1543" width="10.7109375" style="23" customWidth="1"/>
    <col min="1544" max="1549" width="11.42578125" style="23"/>
    <col min="1550" max="1550" width="14.42578125" style="23" customWidth="1"/>
    <col min="1551" max="1794" width="11.42578125" style="23"/>
    <col min="1795" max="1795" width="35.7109375" style="23" customWidth="1"/>
    <col min="1796" max="1797" width="12.85546875" style="23" customWidth="1"/>
    <col min="1798" max="1798" width="14.7109375" style="23" customWidth="1"/>
    <col min="1799" max="1799" width="10.7109375" style="23" customWidth="1"/>
    <col min="1800" max="1805" width="11.42578125" style="23"/>
    <col min="1806" max="1806" width="14.42578125" style="23" customWidth="1"/>
    <col min="1807" max="2050" width="11.42578125" style="23"/>
    <col min="2051" max="2051" width="35.7109375" style="23" customWidth="1"/>
    <col min="2052" max="2053" width="12.85546875" style="23" customWidth="1"/>
    <col min="2054" max="2054" width="14.7109375" style="23" customWidth="1"/>
    <col min="2055" max="2055" width="10.7109375" style="23" customWidth="1"/>
    <col min="2056" max="2061" width="11.42578125" style="23"/>
    <col min="2062" max="2062" width="14.42578125" style="23" customWidth="1"/>
    <col min="2063" max="2306" width="11.42578125" style="23"/>
    <col min="2307" max="2307" width="35.7109375" style="23" customWidth="1"/>
    <col min="2308" max="2309" width="12.85546875" style="23" customWidth="1"/>
    <col min="2310" max="2310" width="14.7109375" style="23" customWidth="1"/>
    <col min="2311" max="2311" width="10.7109375" style="23" customWidth="1"/>
    <col min="2312" max="2317" width="11.42578125" style="23"/>
    <col min="2318" max="2318" width="14.42578125" style="23" customWidth="1"/>
    <col min="2319" max="2562" width="11.42578125" style="23"/>
    <col min="2563" max="2563" width="35.7109375" style="23" customWidth="1"/>
    <col min="2564" max="2565" width="12.85546875" style="23" customWidth="1"/>
    <col min="2566" max="2566" width="14.7109375" style="23" customWidth="1"/>
    <col min="2567" max="2567" width="10.7109375" style="23" customWidth="1"/>
    <col min="2568" max="2573" width="11.42578125" style="23"/>
    <col min="2574" max="2574" width="14.42578125" style="23" customWidth="1"/>
    <col min="2575" max="2818" width="11.42578125" style="23"/>
    <col min="2819" max="2819" width="35.7109375" style="23" customWidth="1"/>
    <col min="2820" max="2821" width="12.85546875" style="23" customWidth="1"/>
    <col min="2822" max="2822" width="14.7109375" style="23" customWidth="1"/>
    <col min="2823" max="2823" width="10.7109375" style="23" customWidth="1"/>
    <col min="2824" max="2829" width="11.42578125" style="23"/>
    <col min="2830" max="2830" width="14.42578125" style="23" customWidth="1"/>
    <col min="2831" max="3074" width="11.42578125" style="23"/>
    <col min="3075" max="3075" width="35.7109375" style="23" customWidth="1"/>
    <col min="3076" max="3077" width="12.85546875" style="23" customWidth="1"/>
    <col min="3078" max="3078" width="14.7109375" style="23" customWidth="1"/>
    <col min="3079" max="3079" width="10.7109375" style="23" customWidth="1"/>
    <col min="3080" max="3085" width="11.42578125" style="23"/>
    <col min="3086" max="3086" width="14.42578125" style="23" customWidth="1"/>
    <col min="3087" max="3330" width="11.42578125" style="23"/>
    <col min="3331" max="3331" width="35.7109375" style="23" customWidth="1"/>
    <col min="3332" max="3333" width="12.85546875" style="23" customWidth="1"/>
    <col min="3334" max="3334" width="14.7109375" style="23" customWidth="1"/>
    <col min="3335" max="3335" width="10.7109375" style="23" customWidth="1"/>
    <col min="3336" max="3341" width="11.42578125" style="23"/>
    <col min="3342" max="3342" width="14.42578125" style="23" customWidth="1"/>
    <col min="3343" max="3586" width="11.42578125" style="23"/>
    <col min="3587" max="3587" width="35.7109375" style="23" customWidth="1"/>
    <col min="3588" max="3589" width="12.85546875" style="23" customWidth="1"/>
    <col min="3590" max="3590" width="14.7109375" style="23" customWidth="1"/>
    <col min="3591" max="3591" width="10.7109375" style="23" customWidth="1"/>
    <col min="3592" max="3597" width="11.42578125" style="23"/>
    <col min="3598" max="3598" width="14.42578125" style="23" customWidth="1"/>
    <col min="3599" max="3842" width="11.42578125" style="23"/>
    <col min="3843" max="3843" width="35.7109375" style="23" customWidth="1"/>
    <col min="3844" max="3845" width="12.85546875" style="23" customWidth="1"/>
    <col min="3846" max="3846" width="14.7109375" style="23" customWidth="1"/>
    <col min="3847" max="3847" width="10.7109375" style="23" customWidth="1"/>
    <col min="3848" max="3853" width="11.42578125" style="23"/>
    <col min="3854" max="3854" width="14.42578125" style="23" customWidth="1"/>
    <col min="3855" max="4098" width="11.42578125" style="23"/>
    <col min="4099" max="4099" width="35.7109375" style="23" customWidth="1"/>
    <col min="4100" max="4101" width="12.85546875" style="23" customWidth="1"/>
    <col min="4102" max="4102" width="14.7109375" style="23" customWidth="1"/>
    <col min="4103" max="4103" width="10.7109375" style="23" customWidth="1"/>
    <col min="4104" max="4109" width="11.42578125" style="23"/>
    <col min="4110" max="4110" width="14.42578125" style="23" customWidth="1"/>
    <col min="4111" max="4354" width="11.42578125" style="23"/>
    <col min="4355" max="4355" width="35.7109375" style="23" customWidth="1"/>
    <col min="4356" max="4357" width="12.85546875" style="23" customWidth="1"/>
    <col min="4358" max="4358" width="14.7109375" style="23" customWidth="1"/>
    <col min="4359" max="4359" width="10.7109375" style="23" customWidth="1"/>
    <col min="4360" max="4365" width="11.42578125" style="23"/>
    <col min="4366" max="4366" width="14.42578125" style="23" customWidth="1"/>
    <col min="4367" max="4610" width="11.42578125" style="23"/>
    <col min="4611" max="4611" width="35.7109375" style="23" customWidth="1"/>
    <col min="4612" max="4613" width="12.85546875" style="23" customWidth="1"/>
    <col min="4614" max="4614" width="14.7109375" style="23" customWidth="1"/>
    <col min="4615" max="4615" width="10.7109375" style="23" customWidth="1"/>
    <col min="4616" max="4621" width="11.42578125" style="23"/>
    <col min="4622" max="4622" width="14.42578125" style="23" customWidth="1"/>
    <col min="4623" max="4866" width="11.42578125" style="23"/>
    <col min="4867" max="4867" width="35.7109375" style="23" customWidth="1"/>
    <col min="4868" max="4869" width="12.85546875" style="23" customWidth="1"/>
    <col min="4870" max="4870" width="14.7109375" style="23" customWidth="1"/>
    <col min="4871" max="4871" width="10.7109375" style="23" customWidth="1"/>
    <col min="4872" max="4877" width="11.42578125" style="23"/>
    <col min="4878" max="4878" width="14.42578125" style="23" customWidth="1"/>
    <col min="4879" max="5122" width="11.42578125" style="23"/>
    <col min="5123" max="5123" width="35.7109375" style="23" customWidth="1"/>
    <col min="5124" max="5125" width="12.85546875" style="23" customWidth="1"/>
    <col min="5126" max="5126" width="14.7109375" style="23" customWidth="1"/>
    <col min="5127" max="5127" width="10.7109375" style="23" customWidth="1"/>
    <col min="5128" max="5133" width="11.42578125" style="23"/>
    <col min="5134" max="5134" width="14.42578125" style="23" customWidth="1"/>
    <col min="5135" max="5378" width="11.42578125" style="23"/>
    <col min="5379" max="5379" width="35.7109375" style="23" customWidth="1"/>
    <col min="5380" max="5381" width="12.85546875" style="23" customWidth="1"/>
    <col min="5382" max="5382" width="14.7109375" style="23" customWidth="1"/>
    <col min="5383" max="5383" width="10.7109375" style="23" customWidth="1"/>
    <col min="5384" max="5389" width="11.42578125" style="23"/>
    <col min="5390" max="5390" width="14.42578125" style="23" customWidth="1"/>
    <col min="5391" max="5634" width="11.42578125" style="23"/>
    <col min="5635" max="5635" width="35.7109375" style="23" customWidth="1"/>
    <col min="5636" max="5637" width="12.85546875" style="23" customWidth="1"/>
    <col min="5638" max="5638" width="14.7109375" style="23" customWidth="1"/>
    <col min="5639" max="5639" width="10.7109375" style="23" customWidth="1"/>
    <col min="5640" max="5645" width="11.42578125" style="23"/>
    <col min="5646" max="5646" width="14.42578125" style="23" customWidth="1"/>
    <col min="5647" max="5890" width="11.42578125" style="23"/>
    <col min="5891" max="5891" width="35.7109375" style="23" customWidth="1"/>
    <col min="5892" max="5893" width="12.85546875" style="23" customWidth="1"/>
    <col min="5894" max="5894" width="14.7109375" style="23" customWidth="1"/>
    <col min="5895" max="5895" width="10.7109375" style="23" customWidth="1"/>
    <col min="5896" max="5901" width="11.42578125" style="23"/>
    <col min="5902" max="5902" width="14.42578125" style="23" customWidth="1"/>
    <col min="5903" max="6146" width="11.42578125" style="23"/>
    <col min="6147" max="6147" width="35.7109375" style="23" customWidth="1"/>
    <col min="6148" max="6149" width="12.85546875" style="23" customWidth="1"/>
    <col min="6150" max="6150" width="14.7109375" style="23" customWidth="1"/>
    <col min="6151" max="6151" width="10.7109375" style="23" customWidth="1"/>
    <col min="6152" max="6157" width="11.42578125" style="23"/>
    <col min="6158" max="6158" width="14.42578125" style="23" customWidth="1"/>
    <col min="6159" max="6402" width="11.42578125" style="23"/>
    <col min="6403" max="6403" width="35.7109375" style="23" customWidth="1"/>
    <col min="6404" max="6405" width="12.85546875" style="23" customWidth="1"/>
    <col min="6406" max="6406" width="14.7109375" style="23" customWidth="1"/>
    <col min="6407" max="6407" width="10.7109375" style="23" customWidth="1"/>
    <col min="6408" max="6413" width="11.42578125" style="23"/>
    <col min="6414" max="6414" width="14.42578125" style="23" customWidth="1"/>
    <col min="6415" max="6658" width="11.42578125" style="23"/>
    <col min="6659" max="6659" width="35.7109375" style="23" customWidth="1"/>
    <col min="6660" max="6661" width="12.85546875" style="23" customWidth="1"/>
    <col min="6662" max="6662" width="14.7109375" style="23" customWidth="1"/>
    <col min="6663" max="6663" width="10.7109375" style="23" customWidth="1"/>
    <col min="6664" max="6669" width="11.42578125" style="23"/>
    <col min="6670" max="6670" width="14.42578125" style="23" customWidth="1"/>
    <col min="6671" max="6914" width="11.42578125" style="23"/>
    <col min="6915" max="6915" width="35.7109375" style="23" customWidth="1"/>
    <col min="6916" max="6917" width="12.85546875" style="23" customWidth="1"/>
    <col min="6918" max="6918" width="14.7109375" style="23" customWidth="1"/>
    <col min="6919" max="6919" width="10.7109375" style="23" customWidth="1"/>
    <col min="6920" max="6925" width="11.42578125" style="23"/>
    <col min="6926" max="6926" width="14.42578125" style="23" customWidth="1"/>
    <col min="6927" max="7170" width="11.42578125" style="23"/>
    <col min="7171" max="7171" width="35.7109375" style="23" customWidth="1"/>
    <col min="7172" max="7173" width="12.85546875" style="23" customWidth="1"/>
    <col min="7174" max="7174" width="14.7109375" style="23" customWidth="1"/>
    <col min="7175" max="7175" width="10.7109375" style="23" customWidth="1"/>
    <col min="7176" max="7181" width="11.42578125" style="23"/>
    <col min="7182" max="7182" width="14.42578125" style="23" customWidth="1"/>
    <col min="7183" max="7426" width="11.42578125" style="23"/>
    <col min="7427" max="7427" width="35.7109375" style="23" customWidth="1"/>
    <col min="7428" max="7429" width="12.85546875" style="23" customWidth="1"/>
    <col min="7430" max="7430" width="14.7109375" style="23" customWidth="1"/>
    <col min="7431" max="7431" width="10.7109375" style="23" customWidth="1"/>
    <col min="7432" max="7437" width="11.42578125" style="23"/>
    <col min="7438" max="7438" width="14.42578125" style="23" customWidth="1"/>
    <col min="7439" max="7682" width="11.42578125" style="23"/>
    <col min="7683" max="7683" width="35.7109375" style="23" customWidth="1"/>
    <col min="7684" max="7685" width="12.85546875" style="23" customWidth="1"/>
    <col min="7686" max="7686" width="14.7109375" style="23" customWidth="1"/>
    <col min="7687" max="7687" width="10.7109375" style="23" customWidth="1"/>
    <col min="7688" max="7693" width="11.42578125" style="23"/>
    <col min="7694" max="7694" width="14.42578125" style="23" customWidth="1"/>
    <col min="7695" max="7938" width="11.42578125" style="23"/>
    <col min="7939" max="7939" width="35.7109375" style="23" customWidth="1"/>
    <col min="7940" max="7941" width="12.85546875" style="23" customWidth="1"/>
    <col min="7942" max="7942" width="14.7109375" style="23" customWidth="1"/>
    <col min="7943" max="7943" width="10.7109375" style="23" customWidth="1"/>
    <col min="7944" max="7949" width="11.42578125" style="23"/>
    <col min="7950" max="7950" width="14.42578125" style="23" customWidth="1"/>
    <col min="7951" max="8194" width="11.42578125" style="23"/>
    <col min="8195" max="8195" width="35.7109375" style="23" customWidth="1"/>
    <col min="8196" max="8197" width="12.85546875" style="23" customWidth="1"/>
    <col min="8198" max="8198" width="14.7109375" style="23" customWidth="1"/>
    <col min="8199" max="8199" width="10.7109375" style="23" customWidth="1"/>
    <col min="8200" max="8205" width="11.42578125" style="23"/>
    <col min="8206" max="8206" width="14.42578125" style="23" customWidth="1"/>
    <col min="8207" max="8450" width="11.42578125" style="23"/>
    <col min="8451" max="8451" width="35.7109375" style="23" customWidth="1"/>
    <col min="8452" max="8453" width="12.85546875" style="23" customWidth="1"/>
    <col min="8454" max="8454" width="14.7109375" style="23" customWidth="1"/>
    <col min="8455" max="8455" width="10.7109375" style="23" customWidth="1"/>
    <col min="8456" max="8461" width="11.42578125" style="23"/>
    <col min="8462" max="8462" width="14.42578125" style="23" customWidth="1"/>
    <col min="8463" max="8706" width="11.42578125" style="23"/>
    <col min="8707" max="8707" width="35.7109375" style="23" customWidth="1"/>
    <col min="8708" max="8709" width="12.85546875" style="23" customWidth="1"/>
    <col min="8710" max="8710" width="14.7109375" style="23" customWidth="1"/>
    <col min="8711" max="8711" width="10.7109375" style="23" customWidth="1"/>
    <col min="8712" max="8717" width="11.42578125" style="23"/>
    <col min="8718" max="8718" width="14.42578125" style="23" customWidth="1"/>
    <col min="8719" max="8962" width="11.42578125" style="23"/>
    <col min="8963" max="8963" width="35.7109375" style="23" customWidth="1"/>
    <col min="8964" max="8965" width="12.85546875" style="23" customWidth="1"/>
    <col min="8966" max="8966" width="14.7109375" style="23" customWidth="1"/>
    <col min="8967" max="8967" width="10.7109375" style="23" customWidth="1"/>
    <col min="8968" max="8973" width="11.42578125" style="23"/>
    <col min="8974" max="8974" width="14.42578125" style="23" customWidth="1"/>
    <col min="8975" max="9218" width="11.42578125" style="23"/>
    <col min="9219" max="9219" width="35.7109375" style="23" customWidth="1"/>
    <col min="9220" max="9221" width="12.85546875" style="23" customWidth="1"/>
    <col min="9222" max="9222" width="14.7109375" style="23" customWidth="1"/>
    <col min="9223" max="9223" width="10.7109375" style="23" customWidth="1"/>
    <col min="9224" max="9229" width="11.42578125" style="23"/>
    <col min="9230" max="9230" width="14.42578125" style="23" customWidth="1"/>
    <col min="9231" max="9474" width="11.42578125" style="23"/>
    <col min="9475" max="9475" width="35.7109375" style="23" customWidth="1"/>
    <col min="9476" max="9477" width="12.85546875" style="23" customWidth="1"/>
    <col min="9478" max="9478" width="14.7109375" style="23" customWidth="1"/>
    <col min="9479" max="9479" width="10.7109375" style="23" customWidth="1"/>
    <col min="9480" max="9485" width="11.42578125" style="23"/>
    <col min="9486" max="9486" width="14.42578125" style="23" customWidth="1"/>
    <col min="9487" max="9730" width="11.42578125" style="23"/>
    <col min="9731" max="9731" width="35.7109375" style="23" customWidth="1"/>
    <col min="9732" max="9733" width="12.85546875" style="23" customWidth="1"/>
    <col min="9734" max="9734" width="14.7109375" style="23" customWidth="1"/>
    <col min="9735" max="9735" width="10.7109375" style="23" customWidth="1"/>
    <col min="9736" max="9741" width="11.42578125" style="23"/>
    <col min="9742" max="9742" width="14.42578125" style="23" customWidth="1"/>
    <col min="9743" max="9986" width="11.42578125" style="23"/>
    <col min="9987" max="9987" width="35.7109375" style="23" customWidth="1"/>
    <col min="9988" max="9989" width="12.85546875" style="23" customWidth="1"/>
    <col min="9990" max="9990" width="14.7109375" style="23" customWidth="1"/>
    <col min="9991" max="9991" width="10.7109375" style="23" customWidth="1"/>
    <col min="9992" max="9997" width="11.42578125" style="23"/>
    <col min="9998" max="9998" width="14.42578125" style="23" customWidth="1"/>
    <col min="9999" max="10242" width="11.42578125" style="23"/>
    <col min="10243" max="10243" width="35.7109375" style="23" customWidth="1"/>
    <col min="10244" max="10245" width="12.85546875" style="23" customWidth="1"/>
    <col min="10246" max="10246" width="14.7109375" style="23" customWidth="1"/>
    <col min="10247" max="10247" width="10.7109375" style="23" customWidth="1"/>
    <col min="10248" max="10253" width="11.42578125" style="23"/>
    <col min="10254" max="10254" width="14.42578125" style="23" customWidth="1"/>
    <col min="10255" max="10498" width="11.42578125" style="23"/>
    <col min="10499" max="10499" width="35.7109375" style="23" customWidth="1"/>
    <col min="10500" max="10501" width="12.85546875" style="23" customWidth="1"/>
    <col min="10502" max="10502" width="14.7109375" style="23" customWidth="1"/>
    <col min="10503" max="10503" width="10.7109375" style="23" customWidth="1"/>
    <col min="10504" max="10509" width="11.42578125" style="23"/>
    <col min="10510" max="10510" width="14.42578125" style="23" customWidth="1"/>
    <col min="10511" max="10754" width="11.42578125" style="23"/>
    <col min="10755" max="10755" width="35.7109375" style="23" customWidth="1"/>
    <col min="10756" max="10757" width="12.85546875" style="23" customWidth="1"/>
    <col min="10758" max="10758" width="14.7109375" style="23" customWidth="1"/>
    <col min="10759" max="10759" width="10.7109375" style="23" customWidth="1"/>
    <col min="10760" max="10765" width="11.42578125" style="23"/>
    <col min="10766" max="10766" width="14.42578125" style="23" customWidth="1"/>
    <col min="10767" max="11010" width="11.42578125" style="23"/>
    <col min="11011" max="11011" width="35.7109375" style="23" customWidth="1"/>
    <col min="11012" max="11013" width="12.85546875" style="23" customWidth="1"/>
    <col min="11014" max="11014" width="14.7109375" style="23" customWidth="1"/>
    <col min="11015" max="11015" width="10.7109375" style="23" customWidth="1"/>
    <col min="11016" max="11021" width="11.42578125" style="23"/>
    <col min="11022" max="11022" width="14.42578125" style="23" customWidth="1"/>
    <col min="11023" max="11266" width="11.42578125" style="23"/>
    <col min="11267" max="11267" width="35.7109375" style="23" customWidth="1"/>
    <col min="11268" max="11269" width="12.85546875" style="23" customWidth="1"/>
    <col min="11270" max="11270" width="14.7109375" style="23" customWidth="1"/>
    <col min="11271" max="11271" width="10.7109375" style="23" customWidth="1"/>
    <col min="11272" max="11277" width="11.42578125" style="23"/>
    <col min="11278" max="11278" width="14.42578125" style="23" customWidth="1"/>
    <col min="11279" max="11522" width="11.42578125" style="23"/>
    <col min="11523" max="11523" width="35.7109375" style="23" customWidth="1"/>
    <col min="11524" max="11525" width="12.85546875" style="23" customWidth="1"/>
    <col min="11526" max="11526" width="14.7109375" style="23" customWidth="1"/>
    <col min="11527" max="11527" width="10.7109375" style="23" customWidth="1"/>
    <col min="11528" max="11533" width="11.42578125" style="23"/>
    <col min="11534" max="11534" width="14.42578125" style="23" customWidth="1"/>
    <col min="11535" max="11778" width="11.42578125" style="23"/>
    <col min="11779" max="11779" width="35.7109375" style="23" customWidth="1"/>
    <col min="11780" max="11781" width="12.85546875" style="23" customWidth="1"/>
    <col min="11782" max="11782" width="14.7109375" style="23" customWidth="1"/>
    <col min="11783" max="11783" width="10.7109375" style="23" customWidth="1"/>
    <col min="11784" max="11789" width="11.42578125" style="23"/>
    <col min="11790" max="11790" width="14.42578125" style="23" customWidth="1"/>
    <col min="11791" max="12034" width="11.42578125" style="23"/>
    <col min="12035" max="12035" width="35.7109375" style="23" customWidth="1"/>
    <col min="12036" max="12037" width="12.85546875" style="23" customWidth="1"/>
    <col min="12038" max="12038" width="14.7109375" style="23" customWidth="1"/>
    <col min="12039" max="12039" width="10.7109375" style="23" customWidth="1"/>
    <col min="12040" max="12045" width="11.42578125" style="23"/>
    <col min="12046" max="12046" width="14.42578125" style="23" customWidth="1"/>
    <col min="12047" max="12290" width="11.42578125" style="23"/>
    <col min="12291" max="12291" width="35.7109375" style="23" customWidth="1"/>
    <col min="12292" max="12293" width="12.85546875" style="23" customWidth="1"/>
    <col min="12294" max="12294" width="14.7109375" style="23" customWidth="1"/>
    <col min="12295" max="12295" width="10.7109375" style="23" customWidth="1"/>
    <col min="12296" max="12301" width="11.42578125" style="23"/>
    <col min="12302" max="12302" width="14.42578125" style="23" customWidth="1"/>
    <col min="12303" max="12546" width="11.42578125" style="23"/>
    <col min="12547" max="12547" width="35.7109375" style="23" customWidth="1"/>
    <col min="12548" max="12549" width="12.85546875" style="23" customWidth="1"/>
    <col min="12550" max="12550" width="14.7109375" style="23" customWidth="1"/>
    <col min="12551" max="12551" width="10.7109375" style="23" customWidth="1"/>
    <col min="12552" max="12557" width="11.42578125" style="23"/>
    <col min="12558" max="12558" width="14.42578125" style="23" customWidth="1"/>
    <col min="12559" max="12802" width="11.42578125" style="23"/>
    <col min="12803" max="12803" width="35.7109375" style="23" customWidth="1"/>
    <col min="12804" max="12805" width="12.85546875" style="23" customWidth="1"/>
    <col min="12806" max="12806" width="14.7109375" style="23" customWidth="1"/>
    <col min="12807" max="12807" width="10.7109375" style="23" customWidth="1"/>
    <col min="12808" max="12813" width="11.42578125" style="23"/>
    <col min="12814" max="12814" width="14.42578125" style="23" customWidth="1"/>
    <col min="12815" max="13058" width="11.42578125" style="23"/>
    <col min="13059" max="13059" width="35.7109375" style="23" customWidth="1"/>
    <col min="13060" max="13061" width="12.85546875" style="23" customWidth="1"/>
    <col min="13062" max="13062" width="14.7109375" style="23" customWidth="1"/>
    <col min="13063" max="13063" width="10.7109375" style="23" customWidth="1"/>
    <col min="13064" max="13069" width="11.42578125" style="23"/>
    <col min="13070" max="13070" width="14.42578125" style="23" customWidth="1"/>
    <col min="13071" max="13314" width="11.42578125" style="23"/>
    <col min="13315" max="13315" width="35.7109375" style="23" customWidth="1"/>
    <col min="13316" max="13317" width="12.85546875" style="23" customWidth="1"/>
    <col min="13318" max="13318" width="14.7109375" style="23" customWidth="1"/>
    <col min="13319" max="13319" width="10.7109375" style="23" customWidth="1"/>
    <col min="13320" max="13325" width="11.42578125" style="23"/>
    <col min="13326" max="13326" width="14.42578125" style="23" customWidth="1"/>
    <col min="13327" max="13570" width="11.42578125" style="23"/>
    <col min="13571" max="13571" width="35.7109375" style="23" customWidth="1"/>
    <col min="13572" max="13573" width="12.85546875" style="23" customWidth="1"/>
    <col min="13574" max="13574" width="14.7109375" style="23" customWidth="1"/>
    <col min="13575" max="13575" width="10.7109375" style="23" customWidth="1"/>
    <col min="13576" max="13581" width="11.42578125" style="23"/>
    <col min="13582" max="13582" width="14.42578125" style="23" customWidth="1"/>
    <col min="13583" max="13826" width="11.42578125" style="23"/>
    <col min="13827" max="13827" width="35.7109375" style="23" customWidth="1"/>
    <col min="13828" max="13829" width="12.85546875" style="23" customWidth="1"/>
    <col min="13830" max="13830" width="14.7109375" style="23" customWidth="1"/>
    <col min="13831" max="13831" width="10.7109375" style="23" customWidth="1"/>
    <col min="13832" max="13837" width="11.42578125" style="23"/>
    <col min="13838" max="13838" width="14.42578125" style="23" customWidth="1"/>
    <col min="13839" max="14082" width="11.42578125" style="23"/>
    <col min="14083" max="14083" width="35.7109375" style="23" customWidth="1"/>
    <col min="14084" max="14085" width="12.85546875" style="23" customWidth="1"/>
    <col min="14086" max="14086" width="14.7109375" style="23" customWidth="1"/>
    <col min="14087" max="14087" width="10.7109375" style="23" customWidth="1"/>
    <col min="14088" max="14093" width="11.42578125" style="23"/>
    <col min="14094" max="14094" width="14.42578125" style="23" customWidth="1"/>
    <col min="14095" max="14338" width="11.42578125" style="23"/>
    <col min="14339" max="14339" width="35.7109375" style="23" customWidth="1"/>
    <col min="14340" max="14341" width="12.85546875" style="23" customWidth="1"/>
    <col min="14342" max="14342" width="14.7109375" style="23" customWidth="1"/>
    <col min="14343" max="14343" width="10.7109375" style="23" customWidth="1"/>
    <col min="14344" max="14349" width="11.42578125" style="23"/>
    <col min="14350" max="14350" width="14.42578125" style="23" customWidth="1"/>
    <col min="14351" max="14594" width="11.42578125" style="23"/>
    <col min="14595" max="14595" width="35.7109375" style="23" customWidth="1"/>
    <col min="14596" max="14597" width="12.85546875" style="23" customWidth="1"/>
    <col min="14598" max="14598" width="14.7109375" style="23" customWidth="1"/>
    <col min="14599" max="14599" width="10.7109375" style="23" customWidth="1"/>
    <col min="14600" max="14605" width="11.42578125" style="23"/>
    <col min="14606" max="14606" width="14.42578125" style="23" customWidth="1"/>
    <col min="14607" max="14850" width="11.42578125" style="23"/>
    <col min="14851" max="14851" width="35.7109375" style="23" customWidth="1"/>
    <col min="14852" max="14853" width="12.85546875" style="23" customWidth="1"/>
    <col min="14854" max="14854" width="14.7109375" style="23" customWidth="1"/>
    <col min="14855" max="14855" width="10.7109375" style="23" customWidth="1"/>
    <col min="14856" max="14861" width="11.42578125" style="23"/>
    <col min="14862" max="14862" width="14.42578125" style="23" customWidth="1"/>
    <col min="14863" max="15106" width="11.42578125" style="23"/>
    <col min="15107" max="15107" width="35.7109375" style="23" customWidth="1"/>
    <col min="15108" max="15109" width="12.85546875" style="23" customWidth="1"/>
    <col min="15110" max="15110" width="14.7109375" style="23" customWidth="1"/>
    <col min="15111" max="15111" width="10.7109375" style="23" customWidth="1"/>
    <col min="15112" max="15117" width="11.42578125" style="23"/>
    <col min="15118" max="15118" width="14.42578125" style="23" customWidth="1"/>
    <col min="15119" max="15362" width="11.42578125" style="23"/>
    <col min="15363" max="15363" width="35.7109375" style="23" customWidth="1"/>
    <col min="15364" max="15365" width="12.85546875" style="23" customWidth="1"/>
    <col min="15366" max="15366" width="14.7109375" style="23" customWidth="1"/>
    <col min="15367" max="15367" width="10.7109375" style="23" customWidth="1"/>
    <col min="15368" max="15373" width="11.42578125" style="23"/>
    <col min="15374" max="15374" width="14.42578125" style="23" customWidth="1"/>
    <col min="15375" max="15618" width="11.42578125" style="23"/>
    <col min="15619" max="15619" width="35.7109375" style="23" customWidth="1"/>
    <col min="15620" max="15621" width="12.85546875" style="23" customWidth="1"/>
    <col min="15622" max="15622" width="14.7109375" style="23" customWidth="1"/>
    <col min="15623" max="15623" width="10.7109375" style="23" customWidth="1"/>
    <col min="15624" max="15629" width="11.42578125" style="23"/>
    <col min="15630" max="15630" width="14.42578125" style="23" customWidth="1"/>
    <col min="15631" max="15874" width="11.42578125" style="23"/>
    <col min="15875" max="15875" width="35.7109375" style="23" customWidth="1"/>
    <col min="15876" max="15877" width="12.85546875" style="23" customWidth="1"/>
    <col min="15878" max="15878" width="14.7109375" style="23" customWidth="1"/>
    <col min="15879" max="15879" width="10.7109375" style="23" customWidth="1"/>
    <col min="15880" max="15885" width="11.42578125" style="23"/>
    <col min="15886" max="15886" width="14.42578125" style="23" customWidth="1"/>
    <col min="15887" max="16130" width="11.42578125" style="23"/>
    <col min="16131" max="16131" width="35.7109375" style="23" customWidth="1"/>
    <col min="16132" max="16133" width="12.85546875" style="23" customWidth="1"/>
    <col min="16134" max="16134" width="14.7109375" style="23" customWidth="1"/>
    <col min="16135" max="16135" width="10.7109375" style="23" customWidth="1"/>
    <col min="16136" max="16141" width="11.42578125" style="23"/>
    <col min="16142" max="16142" width="14.42578125" style="23" customWidth="1"/>
    <col min="16143" max="16384" width="11.42578125" style="23"/>
  </cols>
  <sheetData>
    <row r="10" spans="3:6" ht="25.5" customHeight="1">
      <c r="C10" s="245" t="s">
        <v>273</v>
      </c>
      <c r="D10" s="246"/>
      <c r="E10" s="246"/>
      <c r="F10" s="247"/>
    </row>
    <row r="11" spans="3:6" ht="35.25" customHeight="1">
      <c r="C11" s="30" t="s">
        <v>26</v>
      </c>
      <c r="D11" s="31" t="str">
        <f>actualizaciones!A3</f>
        <v>acumulado julio 2009</v>
      </c>
      <c r="E11" s="31" t="str">
        <f>actualizaciones!A2</f>
        <v xml:space="preserve">acumulado julio 2010 </v>
      </c>
      <c r="F11" s="395" t="s">
        <v>274</v>
      </c>
    </row>
    <row r="12" spans="3:6">
      <c r="C12" s="33" t="s">
        <v>275</v>
      </c>
      <c r="D12" s="396">
        <f>'[1]tabla dinámica municipios'!$K$379</f>
        <v>2.3460685441687241</v>
      </c>
      <c r="E12" s="396">
        <f>'[1]tabla dinámica municipios'!$U$379</f>
        <v>2.0865799000172385</v>
      </c>
      <c r="F12" s="397">
        <f>E12-D12</f>
        <v>-0.25948864415148565</v>
      </c>
    </row>
    <row r="13" spans="3:6">
      <c r="C13" s="37" t="s">
        <v>276</v>
      </c>
      <c r="D13" s="398">
        <f>'[1]tabla dinámica municipios'!$J$379</f>
        <v>2.3460685441687241</v>
      </c>
      <c r="E13" s="398">
        <f>'[1]tabla dinámica municipios'!$T$379</f>
        <v>2.0865799000172385</v>
      </c>
      <c r="F13" s="399">
        <f>E13-D13</f>
        <v>-0.25948864415148565</v>
      </c>
    </row>
    <row r="14" spans="3:6">
      <c r="C14" s="334" t="s">
        <v>277</v>
      </c>
      <c r="D14" s="400" t="s">
        <v>32</v>
      </c>
      <c r="E14" s="400" t="s">
        <v>32</v>
      </c>
      <c r="F14" s="401" t="str">
        <f>IFERROR(E14-D14,"-")</f>
        <v>-</v>
      </c>
    </row>
    <row r="15" spans="3:6">
      <c r="C15" s="42" t="s">
        <v>33</v>
      </c>
      <c r="D15" s="43"/>
      <c r="E15" s="43"/>
      <c r="F15" s="44"/>
    </row>
    <row r="28" spans="2:12"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</row>
  </sheetData>
  <mergeCells count="1">
    <mergeCell ref="C10:F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6:L18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3.5703125" style="23" customWidth="1"/>
    <col min="2" max="2" width="35.7109375" style="23" customWidth="1"/>
    <col min="3" max="4" width="12.85546875" style="23" customWidth="1"/>
    <col min="5" max="5" width="13.7109375" style="23" customWidth="1"/>
    <col min="6" max="6" width="10.7109375" style="23" customWidth="1"/>
    <col min="7" max="12" width="11.42578125" style="23"/>
    <col min="13" max="13" width="14.42578125" style="23" customWidth="1"/>
    <col min="14" max="256" width="11.42578125" style="23"/>
    <col min="257" max="257" width="13.5703125" style="23" customWidth="1"/>
    <col min="258" max="258" width="35.7109375" style="23" customWidth="1"/>
    <col min="259" max="260" width="12.85546875" style="23" customWidth="1"/>
    <col min="261" max="261" width="13.7109375" style="23" customWidth="1"/>
    <col min="262" max="262" width="10.7109375" style="23" customWidth="1"/>
    <col min="263" max="268" width="11.42578125" style="23"/>
    <col min="269" max="269" width="14.42578125" style="23" customWidth="1"/>
    <col min="270" max="512" width="11.42578125" style="23"/>
    <col min="513" max="513" width="13.5703125" style="23" customWidth="1"/>
    <col min="514" max="514" width="35.7109375" style="23" customWidth="1"/>
    <col min="515" max="516" width="12.85546875" style="23" customWidth="1"/>
    <col min="517" max="517" width="13.7109375" style="23" customWidth="1"/>
    <col min="518" max="518" width="10.7109375" style="23" customWidth="1"/>
    <col min="519" max="524" width="11.42578125" style="23"/>
    <col min="525" max="525" width="14.42578125" style="23" customWidth="1"/>
    <col min="526" max="768" width="11.42578125" style="23"/>
    <col min="769" max="769" width="13.5703125" style="23" customWidth="1"/>
    <col min="770" max="770" width="35.7109375" style="23" customWidth="1"/>
    <col min="771" max="772" width="12.85546875" style="23" customWidth="1"/>
    <col min="773" max="773" width="13.7109375" style="23" customWidth="1"/>
    <col min="774" max="774" width="10.7109375" style="23" customWidth="1"/>
    <col min="775" max="780" width="11.42578125" style="23"/>
    <col min="781" max="781" width="14.42578125" style="23" customWidth="1"/>
    <col min="782" max="1024" width="11.42578125" style="23"/>
    <col min="1025" max="1025" width="13.5703125" style="23" customWidth="1"/>
    <col min="1026" max="1026" width="35.7109375" style="23" customWidth="1"/>
    <col min="1027" max="1028" width="12.85546875" style="23" customWidth="1"/>
    <col min="1029" max="1029" width="13.7109375" style="23" customWidth="1"/>
    <col min="1030" max="1030" width="10.7109375" style="23" customWidth="1"/>
    <col min="1031" max="1036" width="11.42578125" style="23"/>
    <col min="1037" max="1037" width="14.42578125" style="23" customWidth="1"/>
    <col min="1038" max="1280" width="11.42578125" style="23"/>
    <col min="1281" max="1281" width="13.5703125" style="23" customWidth="1"/>
    <col min="1282" max="1282" width="35.7109375" style="23" customWidth="1"/>
    <col min="1283" max="1284" width="12.85546875" style="23" customWidth="1"/>
    <col min="1285" max="1285" width="13.7109375" style="23" customWidth="1"/>
    <col min="1286" max="1286" width="10.7109375" style="23" customWidth="1"/>
    <col min="1287" max="1292" width="11.42578125" style="23"/>
    <col min="1293" max="1293" width="14.42578125" style="23" customWidth="1"/>
    <col min="1294" max="1536" width="11.42578125" style="23"/>
    <col min="1537" max="1537" width="13.5703125" style="23" customWidth="1"/>
    <col min="1538" max="1538" width="35.7109375" style="23" customWidth="1"/>
    <col min="1539" max="1540" width="12.85546875" style="23" customWidth="1"/>
    <col min="1541" max="1541" width="13.7109375" style="23" customWidth="1"/>
    <col min="1542" max="1542" width="10.7109375" style="23" customWidth="1"/>
    <col min="1543" max="1548" width="11.42578125" style="23"/>
    <col min="1549" max="1549" width="14.42578125" style="23" customWidth="1"/>
    <col min="1550" max="1792" width="11.42578125" style="23"/>
    <col min="1793" max="1793" width="13.5703125" style="23" customWidth="1"/>
    <col min="1794" max="1794" width="35.7109375" style="23" customWidth="1"/>
    <col min="1795" max="1796" width="12.85546875" style="23" customWidth="1"/>
    <col min="1797" max="1797" width="13.7109375" style="23" customWidth="1"/>
    <col min="1798" max="1798" width="10.7109375" style="23" customWidth="1"/>
    <col min="1799" max="1804" width="11.42578125" style="23"/>
    <col min="1805" max="1805" width="14.42578125" style="23" customWidth="1"/>
    <col min="1806" max="2048" width="11.42578125" style="23"/>
    <col min="2049" max="2049" width="13.5703125" style="23" customWidth="1"/>
    <col min="2050" max="2050" width="35.7109375" style="23" customWidth="1"/>
    <col min="2051" max="2052" width="12.85546875" style="23" customWidth="1"/>
    <col min="2053" max="2053" width="13.7109375" style="23" customWidth="1"/>
    <col min="2054" max="2054" width="10.7109375" style="23" customWidth="1"/>
    <col min="2055" max="2060" width="11.42578125" style="23"/>
    <col min="2061" max="2061" width="14.42578125" style="23" customWidth="1"/>
    <col min="2062" max="2304" width="11.42578125" style="23"/>
    <col min="2305" max="2305" width="13.5703125" style="23" customWidth="1"/>
    <col min="2306" max="2306" width="35.7109375" style="23" customWidth="1"/>
    <col min="2307" max="2308" width="12.85546875" style="23" customWidth="1"/>
    <col min="2309" max="2309" width="13.7109375" style="23" customWidth="1"/>
    <col min="2310" max="2310" width="10.7109375" style="23" customWidth="1"/>
    <col min="2311" max="2316" width="11.42578125" style="23"/>
    <col min="2317" max="2317" width="14.42578125" style="23" customWidth="1"/>
    <col min="2318" max="2560" width="11.42578125" style="23"/>
    <col min="2561" max="2561" width="13.5703125" style="23" customWidth="1"/>
    <col min="2562" max="2562" width="35.7109375" style="23" customWidth="1"/>
    <col min="2563" max="2564" width="12.85546875" style="23" customWidth="1"/>
    <col min="2565" max="2565" width="13.7109375" style="23" customWidth="1"/>
    <col min="2566" max="2566" width="10.7109375" style="23" customWidth="1"/>
    <col min="2567" max="2572" width="11.42578125" style="23"/>
    <col min="2573" max="2573" width="14.42578125" style="23" customWidth="1"/>
    <col min="2574" max="2816" width="11.42578125" style="23"/>
    <col min="2817" max="2817" width="13.5703125" style="23" customWidth="1"/>
    <col min="2818" max="2818" width="35.7109375" style="23" customWidth="1"/>
    <col min="2819" max="2820" width="12.85546875" style="23" customWidth="1"/>
    <col min="2821" max="2821" width="13.7109375" style="23" customWidth="1"/>
    <col min="2822" max="2822" width="10.7109375" style="23" customWidth="1"/>
    <col min="2823" max="2828" width="11.42578125" style="23"/>
    <col min="2829" max="2829" width="14.42578125" style="23" customWidth="1"/>
    <col min="2830" max="3072" width="11.42578125" style="23"/>
    <col min="3073" max="3073" width="13.5703125" style="23" customWidth="1"/>
    <col min="3074" max="3074" width="35.7109375" style="23" customWidth="1"/>
    <col min="3075" max="3076" width="12.85546875" style="23" customWidth="1"/>
    <col min="3077" max="3077" width="13.7109375" style="23" customWidth="1"/>
    <col min="3078" max="3078" width="10.7109375" style="23" customWidth="1"/>
    <col min="3079" max="3084" width="11.42578125" style="23"/>
    <col min="3085" max="3085" width="14.42578125" style="23" customWidth="1"/>
    <col min="3086" max="3328" width="11.42578125" style="23"/>
    <col min="3329" max="3329" width="13.5703125" style="23" customWidth="1"/>
    <col min="3330" max="3330" width="35.7109375" style="23" customWidth="1"/>
    <col min="3331" max="3332" width="12.85546875" style="23" customWidth="1"/>
    <col min="3333" max="3333" width="13.7109375" style="23" customWidth="1"/>
    <col min="3334" max="3334" width="10.7109375" style="23" customWidth="1"/>
    <col min="3335" max="3340" width="11.42578125" style="23"/>
    <col min="3341" max="3341" width="14.42578125" style="23" customWidth="1"/>
    <col min="3342" max="3584" width="11.42578125" style="23"/>
    <col min="3585" max="3585" width="13.5703125" style="23" customWidth="1"/>
    <col min="3586" max="3586" width="35.7109375" style="23" customWidth="1"/>
    <col min="3587" max="3588" width="12.85546875" style="23" customWidth="1"/>
    <col min="3589" max="3589" width="13.7109375" style="23" customWidth="1"/>
    <col min="3590" max="3590" width="10.7109375" style="23" customWidth="1"/>
    <col min="3591" max="3596" width="11.42578125" style="23"/>
    <col min="3597" max="3597" width="14.42578125" style="23" customWidth="1"/>
    <col min="3598" max="3840" width="11.42578125" style="23"/>
    <col min="3841" max="3841" width="13.5703125" style="23" customWidth="1"/>
    <col min="3842" max="3842" width="35.7109375" style="23" customWidth="1"/>
    <col min="3843" max="3844" width="12.85546875" style="23" customWidth="1"/>
    <col min="3845" max="3845" width="13.7109375" style="23" customWidth="1"/>
    <col min="3846" max="3846" width="10.7109375" style="23" customWidth="1"/>
    <col min="3847" max="3852" width="11.42578125" style="23"/>
    <col min="3853" max="3853" width="14.42578125" style="23" customWidth="1"/>
    <col min="3854" max="4096" width="11.42578125" style="23"/>
    <col min="4097" max="4097" width="13.5703125" style="23" customWidth="1"/>
    <col min="4098" max="4098" width="35.7109375" style="23" customWidth="1"/>
    <col min="4099" max="4100" width="12.85546875" style="23" customWidth="1"/>
    <col min="4101" max="4101" width="13.7109375" style="23" customWidth="1"/>
    <col min="4102" max="4102" width="10.7109375" style="23" customWidth="1"/>
    <col min="4103" max="4108" width="11.42578125" style="23"/>
    <col min="4109" max="4109" width="14.42578125" style="23" customWidth="1"/>
    <col min="4110" max="4352" width="11.42578125" style="23"/>
    <col min="4353" max="4353" width="13.5703125" style="23" customWidth="1"/>
    <col min="4354" max="4354" width="35.7109375" style="23" customWidth="1"/>
    <col min="4355" max="4356" width="12.85546875" style="23" customWidth="1"/>
    <col min="4357" max="4357" width="13.7109375" style="23" customWidth="1"/>
    <col min="4358" max="4358" width="10.7109375" style="23" customWidth="1"/>
    <col min="4359" max="4364" width="11.42578125" style="23"/>
    <col min="4365" max="4365" width="14.42578125" style="23" customWidth="1"/>
    <col min="4366" max="4608" width="11.42578125" style="23"/>
    <col min="4609" max="4609" width="13.5703125" style="23" customWidth="1"/>
    <col min="4610" max="4610" width="35.7109375" style="23" customWidth="1"/>
    <col min="4611" max="4612" width="12.85546875" style="23" customWidth="1"/>
    <col min="4613" max="4613" width="13.7109375" style="23" customWidth="1"/>
    <col min="4614" max="4614" width="10.7109375" style="23" customWidth="1"/>
    <col min="4615" max="4620" width="11.42578125" style="23"/>
    <col min="4621" max="4621" width="14.42578125" style="23" customWidth="1"/>
    <col min="4622" max="4864" width="11.42578125" style="23"/>
    <col min="4865" max="4865" width="13.5703125" style="23" customWidth="1"/>
    <col min="4866" max="4866" width="35.7109375" style="23" customWidth="1"/>
    <col min="4867" max="4868" width="12.85546875" style="23" customWidth="1"/>
    <col min="4869" max="4869" width="13.7109375" style="23" customWidth="1"/>
    <col min="4870" max="4870" width="10.7109375" style="23" customWidth="1"/>
    <col min="4871" max="4876" width="11.42578125" style="23"/>
    <col min="4877" max="4877" width="14.42578125" style="23" customWidth="1"/>
    <col min="4878" max="5120" width="11.42578125" style="23"/>
    <col min="5121" max="5121" width="13.5703125" style="23" customWidth="1"/>
    <col min="5122" max="5122" width="35.7109375" style="23" customWidth="1"/>
    <col min="5123" max="5124" width="12.85546875" style="23" customWidth="1"/>
    <col min="5125" max="5125" width="13.7109375" style="23" customWidth="1"/>
    <col min="5126" max="5126" width="10.7109375" style="23" customWidth="1"/>
    <col min="5127" max="5132" width="11.42578125" style="23"/>
    <col min="5133" max="5133" width="14.42578125" style="23" customWidth="1"/>
    <col min="5134" max="5376" width="11.42578125" style="23"/>
    <col min="5377" max="5377" width="13.5703125" style="23" customWidth="1"/>
    <col min="5378" max="5378" width="35.7109375" style="23" customWidth="1"/>
    <col min="5379" max="5380" width="12.85546875" style="23" customWidth="1"/>
    <col min="5381" max="5381" width="13.7109375" style="23" customWidth="1"/>
    <col min="5382" max="5382" width="10.7109375" style="23" customWidth="1"/>
    <col min="5383" max="5388" width="11.42578125" style="23"/>
    <col min="5389" max="5389" width="14.42578125" style="23" customWidth="1"/>
    <col min="5390" max="5632" width="11.42578125" style="23"/>
    <col min="5633" max="5633" width="13.5703125" style="23" customWidth="1"/>
    <col min="5634" max="5634" width="35.7109375" style="23" customWidth="1"/>
    <col min="5635" max="5636" width="12.85546875" style="23" customWidth="1"/>
    <col min="5637" max="5637" width="13.7109375" style="23" customWidth="1"/>
    <col min="5638" max="5638" width="10.7109375" style="23" customWidth="1"/>
    <col min="5639" max="5644" width="11.42578125" style="23"/>
    <col min="5645" max="5645" width="14.42578125" style="23" customWidth="1"/>
    <col min="5646" max="5888" width="11.42578125" style="23"/>
    <col min="5889" max="5889" width="13.5703125" style="23" customWidth="1"/>
    <col min="5890" max="5890" width="35.7109375" style="23" customWidth="1"/>
    <col min="5891" max="5892" width="12.85546875" style="23" customWidth="1"/>
    <col min="5893" max="5893" width="13.7109375" style="23" customWidth="1"/>
    <col min="5894" max="5894" width="10.7109375" style="23" customWidth="1"/>
    <col min="5895" max="5900" width="11.42578125" style="23"/>
    <col min="5901" max="5901" width="14.42578125" style="23" customWidth="1"/>
    <col min="5902" max="6144" width="11.42578125" style="23"/>
    <col min="6145" max="6145" width="13.5703125" style="23" customWidth="1"/>
    <col min="6146" max="6146" width="35.7109375" style="23" customWidth="1"/>
    <col min="6147" max="6148" width="12.85546875" style="23" customWidth="1"/>
    <col min="6149" max="6149" width="13.7109375" style="23" customWidth="1"/>
    <col min="6150" max="6150" width="10.7109375" style="23" customWidth="1"/>
    <col min="6151" max="6156" width="11.42578125" style="23"/>
    <col min="6157" max="6157" width="14.42578125" style="23" customWidth="1"/>
    <col min="6158" max="6400" width="11.42578125" style="23"/>
    <col min="6401" max="6401" width="13.5703125" style="23" customWidth="1"/>
    <col min="6402" max="6402" width="35.7109375" style="23" customWidth="1"/>
    <col min="6403" max="6404" width="12.85546875" style="23" customWidth="1"/>
    <col min="6405" max="6405" width="13.7109375" style="23" customWidth="1"/>
    <col min="6406" max="6406" width="10.7109375" style="23" customWidth="1"/>
    <col min="6407" max="6412" width="11.42578125" style="23"/>
    <col min="6413" max="6413" width="14.42578125" style="23" customWidth="1"/>
    <col min="6414" max="6656" width="11.42578125" style="23"/>
    <col min="6657" max="6657" width="13.5703125" style="23" customWidth="1"/>
    <col min="6658" max="6658" width="35.7109375" style="23" customWidth="1"/>
    <col min="6659" max="6660" width="12.85546875" style="23" customWidth="1"/>
    <col min="6661" max="6661" width="13.7109375" style="23" customWidth="1"/>
    <col min="6662" max="6662" width="10.7109375" style="23" customWidth="1"/>
    <col min="6663" max="6668" width="11.42578125" style="23"/>
    <col min="6669" max="6669" width="14.42578125" style="23" customWidth="1"/>
    <col min="6670" max="6912" width="11.42578125" style="23"/>
    <col min="6913" max="6913" width="13.5703125" style="23" customWidth="1"/>
    <col min="6914" max="6914" width="35.7109375" style="23" customWidth="1"/>
    <col min="6915" max="6916" width="12.85546875" style="23" customWidth="1"/>
    <col min="6917" max="6917" width="13.7109375" style="23" customWidth="1"/>
    <col min="6918" max="6918" width="10.7109375" style="23" customWidth="1"/>
    <col min="6919" max="6924" width="11.42578125" style="23"/>
    <col min="6925" max="6925" width="14.42578125" style="23" customWidth="1"/>
    <col min="6926" max="7168" width="11.42578125" style="23"/>
    <col min="7169" max="7169" width="13.5703125" style="23" customWidth="1"/>
    <col min="7170" max="7170" width="35.7109375" style="23" customWidth="1"/>
    <col min="7171" max="7172" width="12.85546875" style="23" customWidth="1"/>
    <col min="7173" max="7173" width="13.7109375" style="23" customWidth="1"/>
    <col min="7174" max="7174" width="10.7109375" style="23" customWidth="1"/>
    <col min="7175" max="7180" width="11.42578125" style="23"/>
    <col min="7181" max="7181" width="14.42578125" style="23" customWidth="1"/>
    <col min="7182" max="7424" width="11.42578125" style="23"/>
    <col min="7425" max="7425" width="13.5703125" style="23" customWidth="1"/>
    <col min="7426" max="7426" width="35.7109375" style="23" customWidth="1"/>
    <col min="7427" max="7428" width="12.85546875" style="23" customWidth="1"/>
    <col min="7429" max="7429" width="13.7109375" style="23" customWidth="1"/>
    <col min="7430" max="7430" width="10.7109375" style="23" customWidth="1"/>
    <col min="7431" max="7436" width="11.42578125" style="23"/>
    <col min="7437" max="7437" width="14.42578125" style="23" customWidth="1"/>
    <col min="7438" max="7680" width="11.42578125" style="23"/>
    <col min="7681" max="7681" width="13.5703125" style="23" customWidth="1"/>
    <col min="7682" max="7682" width="35.7109375" style="23" customWidth="1"/>
    <col min="7683" max="7684" width="12.85546875" style="23" customWidth="1"/>
    <col min="7685" max="7685" width="13.7109375" style="23" customWidth="1"/>
    <col min="7686" max="7686" width="10.7109375" style="23" customWidth="1"/>
    <col min="7687" max="7692" width="11.42578125" style="23"/>
    <col min="7693" max="7693" width="14.42578125" style="23" customWidth="1"/>
    <col min="7694" max="7936" width="11.42578125" style="23"/>
    <col min="7937" max="7937" width="13.5703125" style="23" customWidth="1"/>
    <col min="7938" max="7938" width="35.7109375" style="23" customWidth="1"/>
    <col min="7939" max="7940" width="12.85546875" style="23" customWidth="1"/>
    <col min="7941" max="7941" width="13.7109375" style="23" customWidth="1"/>
    <col min="7942" max="7942" width="10.7109375" style="23" customWidth="1"/>
    <col min="7943" max="7948" width="11.42578125" style="23"/>
    <col min="7949" max="7949" width="14.42578125" style="23" customWidth="1"/>
    <col min="7950" max="8192" width="11.42578125" style="23"/>
    <col min="8193" max="8193" width="13.5703125" style="23" customWidth="1"/>
    <col min="8194" max="8194" width="35.7109375" style="23" customWidth="1"/>
    <col min="8195" max="8196" width="12.85546875" style="23" customWidth="1"/>
    <col min="8197" max="8197" width="13.7109375" style="23" customWidth="1"/>
    <col min="8198" max="8198" width="10.7109375" style="23" customWidth="1"/>
    <col min="8199" max="8204" width="11.42578125" style="23"/>
    <col min="8205" max="8205" width="14.42578125" style="23" customWidth="1"/>
    <col min="8206" max="8448" width="11.42578125" style="23"/>
    <col min="8449" max="8449" width="13.5703125" style="23" customWidth="1"/>
    <col min="8450" max="8450" width="35.7109375" style="23" customWidth="1"/>
    <col min="8451" max="8452" width="12.85546875" style="23" customWidth="1"/>
    <col min="8453" max="8453" width="13.7109375" style="23" customWidth="1"/>
    <col min="8454" max="8454" width="10.7109375" style="23" customWidth="1"/>
    <col min="8455" max="8460" width="11.42578125" style="23"/>
    <col min="8461" max="8461" width="14.42578125" style="23" customWidth="1"/>
    <col min="8462" max="8704" width="11.42578125" style="23"/>
    <col min="8705" max="8705" width="13.5703125" style="23" customWidth="1"/>
    <col min="8706" max="8706" width="35.7109375" style="23" customWidth="1"/>
    <col min="8707" max="8708" width="12.85546875" style="23" customWidth="1"/>
    <col min="8709" max="8709" width="13.7109375" style="23" customWidth="1"/>
    <col min="8710" max="8710" width="10.7109375" style="23" customWidth="1"/>
    <col min="8711" max="8716" width="11.42578125" style="23"/>
    <col min="8717" max="8717" width="14.42578125" style="23" customWidth="1"/>
    <col min="8718" max="8960" width="11.42578125" style="23"/>
    <col min="8961" max="8961" width="13.5703125" style="23" customWidth="1"/>
    <col min="8962" max="8962" width="35.7109375" style="23" customWidth="1"/>
    <col min="8963" max="8964" width="12.85546875" style="23" customWidth="1"/>
    <col min="8965" max="8965" width="13.7109375" style="23" customWidth="1"/>
    <col min="8966" max="8966" width="10.7109375" style="23" customWidth="1"/>
    <col min="8967" max="8972" width="11.42578125" style="23"/>
    <col min="8973" max="8973" width="14.42578125" style="23" customWidth="1"/>
    <col min="8974" max="9216" width="11.42578125" style="23"/>
    <col min="9217" max="9217" width="13.5703125" style="23" customWidth="1"/>
    <col min="9218" max="9218" width="35.7109375" style="23" customWidth="1"/>
    <col min="9219" max="9220" width="12.85546875" style="23" customWidth="1"/>
    <col min="9221" max="9221" width="13.7109375" style="23" customWidth="1"/>
    <col min="9222" max="9222" width="10.7109375" style="23" customWidth="1"/>
    <col min="9223" max="9228" width="11.42578125" style="23"/>
    <col min="9229" max="9229" width="14.42578125" style="23" customWidth="1"/>
    <col min="9230" max="9472" width="11.42578125" style="23"/>
    <col min="9473" max="9473" width="13.5703125" style="23" customWidth="1"/>
    <col min="9474" max="9474" width="35.7109375" style="23" customWidth="1"/>
    <col min="9475" max="9476" width="12.85546875" style="23" customWidth="1"/>
    <col min="9477" max="9477" width="13.7109375" style="23" customWidth="1"/>
    <col min="9478" max="9478" width="10.7109375" style="23" customWidth="1"/>
    <col min="9479" max="9484" width="11.42578125" style="23"/>
    <col min="9485" max="9485" width="14.42578125" style="23" customWidth="1"/>
    <col min="9486" max="9728" width="11.42578125" style="23"/>
    <col min="9729" max="9729" width="13.5703125" style="23" customWidth="1"/>
    <col min="9730" max="9730" width="35.7109375" style="23" customWidth="1"/>
    <col min="9731" max="9732" width="12.85546875" style="23" customWidth="1"/>
    <col min="9733" max="9733" width="13.7109375" style="23" customWidth="1"/>
    <col min="9734" max="9734" width="10.7109375" style="23" customWidth="1"/>
    <col min="9735" max="9740" width="11.42578125" style="23"/>
    <col min="9741" max="9741" width="14.42578125" style="23" customWidth="1"/>
    <col min="9742" max="9984" width="11.42578125" style="23"/>
    <col min="9985" max="9985" width="13.5703125" style="23" customWidth="1"/>
    <col min="9986" max="9986" width="35.7109375" style="23" customWidth="1"/>
    <col min="9987" max="9988" width="12.85546875" style="23" customWidth="1"/>
    <col min="9989" max="9989" width="13.7109375" style="23" customWidth="1"/>
    <col min="9990" max="9990" width="10.7109375" style="23" customWidth="1"/>
    <col min="9991" max="9996" width="11.42578125" style="23"/>
    <col min="9997" max="9997" width="14.42578125" style="23" customWidth="1"/>
    <col min="9998" max="10240" width="11.42578125" style="23"/>
    <col min="10241" max="10241" width="13.5703125" style="23" customWidth="1"/>
    <col min="10242" max="10242" width="35.7109375" style="23" customWidth="1"/>
    <col min="10243" max="10244" width="12.85546875" style="23" customWidth="1"/>
    <col min="10245" max="10245" width="13.7109375" style="23" customWidth="1"/>
    <col min="10246" max="10246" width="10.7109375" style="23" customWidth="1"/>
    <col min="10247" max="10252" width="11.42578125" style="23"/>
    <col min="10253" max="10253" width="14.42578125" style="23" customWidth="1"/>
    <col min="10254" max="10496" width="11.42578125" style="23"/>
    <col min="10497" max="10497" width="13.5703125" style="23" customWidth="1"/>
    <col min="10498" max="10498" width="35.7109375" style="23" customWidth="1"/>
    <col min="10499" max="10500" width="12.85546875" style="23" customWidth="1"/>
    <col min="10501" max="10501" width="13.7109375" style="23" customWidth="1"/>
    <col min="10502" max="10502" width="10.7109375" style="23" customWidth="1"/>
    <col min="10503" max="10508" width="11.42578125" style="23"/>
    <col min="10509" max="10509" width="14.42578125" style="23" customWidth="1"/>
    <col min="10510" max="10752" width="11.42578125" style="23"/>
    <col min="10753" max="10753" width="13.5703125" style="23" customWidth="1"/>
    <col min="10754" max="10754" width="35.7109375" style="23" customWidth="1"/>
    <col min="10755" max="10756" width="12.85546875" style="23" customWidth="1"/>
    <col min="10757" max="10757" width="13.7109375" style="23" customWidth="1"/>
    <col min="10758" max="10758" width="10.7109375" style="23" customWidth="1"/>
    <col min="10759" max="10764" width="11.42578125" style="23"/>
    <col min="10765" max="10765" width="14.42578125" style="23" customWidth="1"/>
    <col min="10766" max="11008" width="11.42578125" style="23"/>
    <col min="11009" max="11009" width="13.5703125" style="23" customWidth="1"/>
    <col min="11010" max="11010" width="35.7109375" style="23" customWidth="1"/>
    <col min="11011" max="11012" width="12.85546875" style="23" customWidth="1"/>
    <col min="11013" max="11013" width="13.7109375" style="23" customWidth="1"/>
    <col min="11014" max="11014" width="10.7109375" style="23" customWidth="1"/>
    <col min="11015" max="11020" width="11.42578125" style="23"/>
    <col min="11021" max="11021" width="14.42578125" style="23" customWidth="1"/>
    <col min="11022" max="11264" width="11.42578125" style="23"/>
    <col min="11265" max="11265" width="13.5703125" style="23" customWidth="1"/>
    <col min="11266" max="11266" width="35.7109375" style="23" customWidth="1"/>
    <col min="11267" max="11268" width="12.85546875" style="23" customWidth="1"/>
    <col min="11269" max="11269" width="13.7109375" style="23" customWidth="1"/>
    <col min="11270" max="11270" width="10.7109375" style="23" customWidth="1"/>
    <col min="11271" max="11276" width="11.42578125" style="23"/>
    <col min="11277" max="11277" width="14.42578125" style="23" customWidth="1"/>
    <col min="11278" max="11520" width="11.42578125" style="23"/>
    <col min="11521" max="11521" width="13.5703125" style="23" customWidth="1"/>
    <col min="11522" max="11522" width="35.7109375" style="23" customWidth="1"/>
    <col min="11523" max="11524" width="12.85546875" style="23" customWidth="1"/>
    <col min="11525" max="11525" width="13.7109375" style="23" customWidth="1"/>
    <col min="11526" max="11526" width="10.7109375" style="23" customWidth="1"/>
    <col min="11527" max="11532" width="11.42578125" style="23"/>
    <col min="11533" max="11533" width="14.42578125" style="23" customWidth="1"/>
    <col min="11534" max="11776" width="11.42578125" style="23"/>
    <col min="11777" max="11777" width="13.5703125" style="23" customWidth="1"/>
    <col min="11778" max="11778" width="35.7109375" style="23" customWidth="1"/>
    <col min="11779" max="11780" width="12.85546875" style="23" customWidth="1"/>
    <col min="11781" max="11781" width="13.7109375" style="23" customWidth="1"/>
    <col min="11782" max="11782" width="10.7109375" style="23" customWidth="1"/>
    <col min="11783" max="11788" width="11.42578125" style="23"/>
    <col min="11789" max="11789" width="14.42578125" style="23" customWidth="1"/>
    <col min="11790" max="12032" width="11.42578125" style="23"/>
    <col min="12033" max="12033" width="13.5703125" style="23" customWidth="1"/>
    <col min="12034" max="12034" width="35.7109375" style="23" customWidth="1"/>
    <col min="12035" max="12036" width="12.85546875" style="23" customWidth="1"/>
    <col min="12037" max="12037" width="13.7109375" style="23" customWidth="1"/>
    <col min="12038" max="12038" width="10.7109375" style="23" customWidth="1"/>
    <col min="12039" max="12044" width="11.42578125" style="23"/>
    <col min="12045" max="12045" width="14.42578125" style="23" customWidth="1"/>
    <col min="12046" max="12288" width="11.42578125" style="23"/>
    <col min="12289" max="12289" width="13.5703125" style="23" customWidth="1"/>
    <col min="12290" max="12290" width="35.7109375" style="23" customWidth="1"/>
    <col min="12291" max="12292" width="12.85546875" style="23" customWidth="1"/>
    <col min="12293" max="12293" width="13.7109375" style="23" customWidth="1"/>
    <col min="12294" max="12294" width="10.7109375" style="23" customWidth="1"/>
    <col min="12295" max="12300" width="11.42578125" style="23"/>
    <col min="12301" max="12301" width="14.42578125" style="23" customWidth="1"/>
    <col min="12302" max="12544" width="11.42578125" style="23"/>
    <col min="12545" max="12545" width="13.5703125" style="23" customWidth="1"/>
    <col min="12546" max="12546" width="35.7109375" style="23" customWidth="1"/>
    <col min="12547" max="12548" width="12.85546875" style="23" customWidth="1"/>
    <col min="12549" max="12549" width="13.7109375" style="23" customWidth="1"/>
    <col min="12550" max="12550" width="10.7109375" style="23" customWidth="1"/>
    <col min="12551" max="12556" width="11.42578125" style="23"/>
    <col min="12557" max="12557" width="14.42578125" style="23" customWidth="1"/>
    <col min="12558" max="12800" width="11.42578125" style="23"/>
    <col min="12801" max="12801" width="13.5703125" style="23" customWidth="1"/>
    <col min="12802" max="12802" width="35.7109375" style="23" customWidth="1"/>
    <col min="12803" max="12804" width="12.85546875" style="23" customWidth="1"/>
    <col min="12805" max="12805" width="13.7109375" style="23" customWidth="1"/>
    <col min="12806" max="12806" width="10.7109375" style="23" customWidth="1"/>
    <col min="12807" max="12812" width="11.42578125" style="23"/>
    <col min="12813" max="12813" width="14.42578125" style="23" customWidth="1"/>
    <col min="12814" max="13056" width="11.42578125" style="23"/>
    <col min="13057" max="13057" width="13.5703125" style="23" customWidth="1"/>
    <col min="13058" max="13058" width="35.7109375" style="23" customWidth="1"/>
    <col min="13059" max="13060" width="12.85546875" style="23" customWidth="1"/>
    <col min="13061" max="13061" width="13.7109375" style="23" customWidth="1"/>
    <col min="13062" max="13062" width="10.7109375" style="23" customWidth="1"/>
    <col min="13063" max="13068" width="11.42578125" style="23"/>
    <col min="13069" max="13069" width="14.42578125" style="23" customWidth="1"/>
    <col min="13070" max="13312" width="11.42578125" style="23"/>
    <col min="13313" max="13313" width="13.5703125" style="23" customWidth="1"/>
    <col min="13314" max="13314" width="35.7109375" style="23" customWidth="1"/>
    <col min="13315" max="13316" width="12.85546875" style="23" customWidth="1"/>
    <col min="13317" max="13317" width="13.7109375" style="23" customWidth="1"/>
    <col min="13318" max="13318" width="10.7109375" style="23" customWidth="1"/>
    <col min="13319" max="13324" width="11.42578125" style="23"/>
    <col min="13325" max="13325" width="14.42578125" style="23" customWidth="1"/>
    <col min="13326" max="13568" width="11.42578125" style="23"/>
    <col min="13569" max="13569" width="13.5703125" style="23" customWidth="1"/>
    <col min="13570" max="13570" width="35.7109375" style="23" customWidth="1"/>
    <col min="13571" max="13572" width="12.85546875" style="23" customWidth="1"/>
    <col min="13573" max="13573" width="13.7109375" style="23" customWidth="1"/>
    <col min="13574" max="13574" width="10.7109375" style="23" customWidth="1"/>
    <col min="13575" max="13580" width="11.42578125" style="23"/>
    <col min="13581" max="13581" width="14.42578125" style="23" customWidth="1"/>
    <col min="13582" max="13824" width="11.42578125" style="23"/>
    <col min="13825" max="13825" width="13.5703125" style="23" customWidth="1"/>
    <col min="13826" max="13826" width="35.7109375" style="23" customWidth="1"/>
    <col min="13827" max="13828" width="12.85546875" style="23" customWidth="1"/>
    <col min="13829" max="13829" width="13.7109375" style="23" customWidth="1"/>
    <col min="13830" max="13830" width="10.7109375" style="23" customWidth="1"/>
    <col min="13831" max="13836" width="11.42578125" style="23"/>
    <col min="13837" max="13837" width="14.42578125" style="23" customWidth="1"/>
    <col min="13838" max="14080" width="11.42578125" style="23"/>
    <col min="14081" max="14081" width="13.5703125" style="23" customWidth="1"/>
    <col min="14082" max="14082" width="35.7109375" style="23" customWidth="1"/>
    <col min="14083" max="14084" width="12.85546875" style="23" customWidth="1"/>
    <col min="14085" max="14085" width="13.7109375" style="23" customWidth="1"/>
    <col min="14086" max="14086" width="10.7109375" style="23" customWidth="1"/>
    <col min="14087" max="14092" width="11.42578125" style="23"/>
    <col min="14093" max="14093" width="14.42578125" style="23" customWidth="1"/>
    <col min="14094" max="14336" width="11.42578125" style="23"/>
    <col min="14337" max="14337" width="13.5703125" style="23" customWidth="1"/>
    <col min="14338" max="14338" width="35.7109375" style="23" customWidth="1"/>
    <col min="14339" max="14340" width="12.85546875" style="23" customWidth="1"/>
    <col min="14341" max="14341" width="13.7109375" style="23" customWidth="1"/>
    <col min="14342" max="14342" width="10.7109375" style="23" customWidth="1"/>
    <col min="14343" max="14348" width="11.42578125" style="23"/>
    <col min="14349" max="14349" width="14.42578125" style="23" customWidth="1"/>
    <col min="14350" max="14592" width="11.42578125" style="23"/>
    <col min="14593" max="14593" width="13.5703125" style="23" customWidth="1"/>
    <col min="14594" max="14594" width="35.7109375" style="23" customWidth="1"/>
    <col min="14595" max="14596" width="12.85546875" style="23" customWidth="1"/>
    <col min="14597" max="14597" width="13.7109375" style="23" customWidth="1"/>
    <col min="14598" max="14598" width="10.7109375" style="23" customWidth="1"/>
    <col min="14599" max="14604" width="11.42578125" style="23"/>
    <col min="14605" max="14605" width="14.42578125" style="23" customWidth="1"/>
    <col min="14606" max="14848" width="11.42578125" style="23"/>
    <col min="14849" max="14849" width="13.5703125" style="23" customWidth="1"/>
    <col min="14850" max="14850" width="35.7109375" style="23" customWidth="1"/>
    <col min="14851" max="14852" width="12.85546875" style="23" customWidth="1"/>
    <col min="14853" max="14853" width="13.7109375" style="23" customWidth="1"/>
    <col min="14854" max="14854" width="10.7109375" style="23" customWidth="1"/>
    <col min="14855" max="14860" width="11.42578125" style="23"/>
    <col min="14861" max="14861" width="14.42578125" style="23" customWidth="1"/>
    <col min="14862" max="15104" width="11.42578125" style="23"/>
    <col min="15105" max="15105" width="13.5703125" style="23" customWidth="1"/>
    <col min="15106" max="15106" width="35.7109375" style="23" customWidth="1"/>
    <col min="15107" max="15108" width="12.85546875" style="23" customWidth="1"/>
    <col min="15109" max="15109" width="13.7109375" style="23" customWidth="1"/>
    <col min="15110" max="15110" width="10.7109375" style="23" customWidth="1"/>
    <col min="15111" max="15116" width="11.42578125" style="23"/>
    <col min="15117" max="15117" width="14.42578125" style="23" customWidth="1"/>
    <col min="15118" max="15360" width="11.42578125" style="23"/>
    <col min="15361" max="15361" width="13.5703125" style="23" customWidth="1"/>
    <col min="15362" max="15362" width="35.7109375" style="23" customWidth="1"/>
    <col min="15363" max="15364" width="12.85546875" style="23" customWidth="1"/>
    <col min="15365" max="15365" width="13.7109375" style="23" customWidth="1"/>
    <col min="15366" max="15366" width="10.7109375" style="23" customWidth="1"/>
    <col min="15367" max="15372" width="11.42578125" style="23"/>
    <col min="15373" max="15373" width="14.42578125" style="23" customWidth="1"/>
    <col min="15374" max="15616" width="11.42578125" style="23"/>
    <col min="15617" max="15617" width="13.5703125" style="23" customWidth="1"/>
    <col min="15618" max="15618" width="35.7109375" style="23" customWidth="1"/>
    <col min="15619" max="15620" width="12.85546875" style="23" customWidth="1"/>
    <col min="15621" max="15621" width="13.7109375" style="23" customWidth="1"/>
    <col min="15622" max="15622" width="10.7109375" style="23" customWidth="1"/>
    <col min="15623" max="15628" width="11.42578125" style="23"/>
    <col min="15629" max="15629" width="14.42578125" style="23" customWidth="1"/>
    <col min="15630" max="15872" width="11.42578125" style="23"/>
    <col min="15873" max="15873" width="13.5703125" style="23" customWidth="1"/>
    <col min="15874" max="15874" width="35.7109375" style="23" customWidth="1"/>
    <col min="15875" max="15876" width="12.85546875" style="23" customWidth="1"/>
    <col min="15877" max="15877" width="13.7109375" style="23" customWidth="1"/>
    <col min="15878" max="15878" width="10.7109375" style="23" customWidth="1"/>
    <col min="15879" max="15884" width="11.42578125" style="23"/>
    <col min="15885" max="15885" width="14.42578125" style="23" customWidth="1"/>
    <col min="15886" max="16128" width="11.42578125" style="23"/>
    <col min="16129" max="16129" width="13.5703125" style="23" customWidth="1"/>
    <col min="16130" max="16130" width="35.7109375" style="23" customWidth="1"/>
    <col min="16131" max="16132" width="12.85546875" style="23" customWidth="1"/>
    <col min="16133" max="16133" width="13.7109375" style="23" customWidth="1"/>
    <col min="16134" max="16134" width="10.7109375" style="23" customWidth="1"/>
    <col min="16135" max="16140" width="11.42578125" style="23"/>
    <col min="16141" max="16141" width="14.42578125" style="23" customWidth="1"/>
    <col min="16142" max="16384" width="11.42578125" style="23"/>
  </cols>
  <sheetData>
    <row r="6" spans="2:5" ht="37.5" customHeight="1">
      <c r="B6" s="245" t="s">
        <v>278</v>
      </c>
      <c r="C6" s="246"/>
      <c r="D6" s="246"/>
      <c r="E6" s="247"/>
    </row>
    <row r="7" spans="2:5" ht="37.5" customHeight="1">
      <c r="B7" s="30" t="s">
        <v>262</v>
      </c>
      <c r="C7" s="222" t="str">
        <f>actualizaciones!A3</f>
        <v>acumulado julio 2009</v>
      </c>
      <c r="D7" s="222" t="str">
        <f>actualizaciones!A2</f>
        <v xml:space="preserve">acumulado julio 2010 </v>
      </c>
      <c r="E7" s="351" t="s">
        <v>274</v>
      </c>
    </row>
    <row r="8" spans="2:5" ht="15" customHeight="1">
      <c r="B8" s="98" t="s">
        <v>263</v>
      </c>
      <c r="C8" s="99"/>
      <c r="D8" s="107"/>
      <c r="E8" s="326"/>
    </row>
    <row r="9" spans="2:5">
      <c r="B9" s="33" t="s">
        <v>275</v>
      </c>
      <c r="C9" s="356">
        <f>GETPIVOTDATA("Suma de TOTAL GENERAL",'[1]tabla dinámica EM'!$A$4,"PAIS/INDICADOR","ESTANCIA MEDIA ACUMULADO","AÑO",2009)</f>
        <v>7.6750772191999106</v>
      </c>
      <c r="D9" s="356">
        <f>GETPIVOTDATA("Suma de TOTAL GENERAL",'[1]tabla dinámica EM'!$A$4,"PAIS/INDICADOR","ESTANCIA MEDIA ACUMULADO","AÑO",2010)</f>
        <v>7.4230055531193955</v>
      </c>
      <c r="E9" s="397">
        <f>D9-C9</f>
        <v>-0.25207166608051512</v>
      </c>
    </row>
    <row r="10" spans="2:5">
      <c r="B10" s="37" t="s">
        <v>276</v>
      </c>
      <c r="C10" s="359">
        <f>GETPIVOTDATA("Suma de TOTAL HOTELERO",'[1]tabla dinámica EM'!$A$4,"PAIS/INDICADOR","ESTANCIA MEDIA ACUMULADO","AÑO",2009)</f>
        <v>7.201966596505212</v>
      </c>
      <c r="D10" s="359">
        <f>GETPIVOTDATA("Suma de TOTAL HOTELERO",'[1]tabla dinámica EM'!$A$4,"PAIS/INDICADOR","ESTANCIA MEDIA ACUMULADO","AÑO",2010)</f>
        <v>6.9716091279916652</v>
      </c>
      <c r="E10" s="399">
        <f>D10-C10</f>
        <v>-0.23035746851354677</v>
      </c>
    </row>
    <row r="11" spans="2:5">
      <c r="B11" s="334" t="s">
        <v>277</v>
      </c>
      <c r="C11" s="363">
        <f>GETPIVOTDATA("Suma de Extrahoteleros",'[1]tabla dinámica EM'!$A$4,"PAIS/INDICADOR","ESTANCIA MEDIA ACUMULADO","AÑO",2009)</f>
        <v>8.3517308884407928</v>
      </c>
      <c r="D11" s="363">
        <f>GETPIVOTDATA("Suma de Extrahoteleros",'[1]tabla dinámica EM'!$A$4,"PAIS/INDICADOR","ESTANCIA MEDIA ACUMULADO","AÑO",2010)</f>
        <v>8.1188801550950274</v>
      </c>
      <c r="E11" s="401">
        <f>D11-C11</f>
        <v>-0.23285073334576545</v>
      </c>
    </row>
    <row r="12" spans="2:5" ht="15" customHeight="1">
      <c r="B12" s="98" t="s">
        <v>89</v>
      </c>
      <c r="C12" s="365"/>
      <c r="D12" s="365"/>
      <c r="E12" s="402"/>
    </row>
    <row r="13" spans="2:5">
      <c r="B13" s="33" t="s">
        <v>275</v>
      </c>
      <c r="C13" s="396">
        <f>'[1]tabla dinámica municipios'!$K$379</f>
        <v>2.3460685441687241</v>
      </c>
      <c r="D13" s="396">
        <f>'[1]tabla dinámica municipios'!$U$379</f>
        <v>2.0865799000172385</v>
      </c>
      <c r="E13" s="397">
        <f>D13-C13</f>
        <v>-0.25948864415148565</v>
      </c>
    </row>
    <row r="14" spans="2:5">
      <c r="B14" s="37" t="s">
        <v>276</v>
      </c>
      <c r="C14" s="398">
        <f>'[1]tabla dinámica municipios'!$J$379</f>
        <v>2.3460685441687241</v>
      </c>
      <c r="D14" s="398">
        <f>'[1]tabla dinámica municipios'!$T$379</f>
        <v>2.0865799000172385</v>
      </c>
      <c r="E14" s="399">
        <f>D14-C14</f>
        <v>-0.25948864415148565</v>
      </c>
    </row>
    <row r="15" spans="2:5">
      <c r="B15" s="334" t="s">
        <v>277</v>
      </c>
      <c r="C15" s="400" t="s">
        <v>32</v>
      </c>
      <c r="D15" s="400" t="s">
        <v>32</v>
      </c>
      <c r="E15" s="399" t="str">
        <f>IFERROR(D15-C15,"-")</f>
        <v>-</v>
      </c>
    </row>
    <row r="16" spans="2:5" ht="16.5" customHeight="1">
      <c r="B16" s="368" t="s">
        <v>279</v>
      </c>
      <c r="C16" s="368"/>
      <c r="D16" s="368"/>
      <c r="E16" s="368"/>
    </row>
    <row r="17" spans="2:12" ht="15" customHeight="1" thickBot="1"/>
    <row r="18" spans="2:12" ht="30" customHeight="1" thickBot="1">
      <c r="B18" s="46"/>
      <c r="C18" s="46"/>
      <c r="D18" s="46"/>
      <c r="E18" s="60" t="s">
        <v>50</v>
      </c>
      <c r="F18" s="46"/>
      <c r="G18" s="46"/>
      <c r="H18" s="46"/>
      <c r="I18" s="46"/>
      <c r="J18" s="46"/>
      <c r="K18" s="46"/>
      <c r="L18" s="46"/>
    </row>
  </sheetData>
  <mergeCells count="2">
    <mergeCell ref="B6:E6"/>
    <mergeCell ref="B16:E16"/>
  </mergeCells>
  <hyperlinks>
    <hyperlink ref="E18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5.7109375" style="23" customWidth="1"/>
    <col min="2" max="2" width="12.7109375" style="23" customWidth="1"/>
    <col min="3" max="18" width="11.42578125" style="23"/>
    <col min="19" max="19" width="10.7109375" style="23" customWidth="1"/>
    <col min="20" max="25" width="11.42578125" style="23"/>
    <col min="26" max="26" width="14.42578125" style="23" customWidth="1"/>
    <col min="27" max="256" width="11.42578125" style="23"/>
    <col min="257" max="257" width="15.7109375" style="23" customWidth="1"/>
    <col min="258" max="258" width="12.7109375" style="23" customWidth="1"/>
    <col min="259" max="274" width="11.42578125" style="23"/>
    <col min="275" max="275" width="10.7109375" style="23" customWidth="1"/>
    <col min="276" max="281" width="11.42578125" style="23"/>
    <col min="282" max="282" width="14.42578125" style="23" customWidth="1"/>
    <col min="283" max="512" width="11.42578125" style="23"/>
    <col min="513" max="513" width="15.7109375" style="23" customWidth="1"/>
    <col min="514" max="514" width="12.7109375" style="23" customWidth="1"/>
    <col min="515" max="530" width="11.42578125" style="23"/>
    <col min="531" max="531" width="10.7109375" style="23" customWidth="1"/>
    <col min="532" max="537" width="11.42578125" style="23"/>
    <col min="538" max="538" width="14.42578125" style="23" customWidth="1"/>
    <col min="539" max="768" width="11.42578125" style="23"/>
    <col min="769" max="769" width="15.7109375" style="23" customWidth="1"/>
    <col min="770" max="770" width="12.7109375" style="23" customWidth="1"/>
    <col min="771" max="786" width="11.42578125" style="23"/>
    <col min="787" max="787" width="10.7109375" style="23" customWidth="1"/>
    <col min="788" max="793" width="11.42578125" style="23"/>
    <col min="794" max="794" width="14.42578125" style="23" customWidth="1"/>
    <col min="795" max="1024" width="11.42578125" style="23"/>
    <col min="1025" max="1025" width="15.7109375" style="23" customWidth="1"/>
    <col min="1026" max="1026" width="12.7109375" style="23" customWidth="1"/>
    <col min="1027" max="1042" width="11.42578125" style="23"/>
    <col min="1043" max="1043" width="10.7109375" style="23" customWidth="1"/>
    <col min="1044" max="1049" width="11.42578125" style="23"/>
    <col min="1050" max="1050" width="14.42578125" style="23" customWidth="1"/>
    <col min="1051" max="1280" width="11.42578125" style="23"/>
    <col min="1281" max="1281" width="15.7109375" style="23" customWidth="1"/>
    <col min="1282" max="1282" width="12.7109375" style="23" customWidth="1"/>
    <col min="1283" max="1298" width="11.42578125" style="23"/>
    <col min="1299" max="1299" width="10.7109375" style="23" customWidth="1"/>
    <col min="1300" max="1305" width="11.42578125" style="23"/>
    <col min="1306" max="1306" width="14.42578125" style="23" customWidth="1"/>
    <col min="1307" max="1536" width="11.42578125" style="23"/>
    <col min="1537" max="1537" width="15.7109375" style="23" customWidth="1"/>
    <col min="1538" max="1538" width="12.7109375" style="23" customWidth="1"/>
    <col min="1539" max="1554" width="11.42578125" style="23"/>
    <col min="1555" max="1555" width="10.7109375" style="23" customWidth="1"/>
    <col min="1556" max="1561" width="11.42578125" style="23"/>
    <col min="1562" max="1562" width="14.42578125" style="23" customWidth="1"/>
    <col min="1563" max="1792" width="11.42578125" style="23"/>
    <col min="1793" max="1793" width="15.7109375" style="23" customWidth="1"/>
    <col min="1794" max="1794" width="12.7109375" style="23" customWidth="1"/>
    <col min="1795" max="1810" width="11.42578125" style="23"/>
    <col min="1811" max="1811" width="10.7109375" style="23" customWidth="1"/>
    <col min="1812" max="1817" width="11.42578125" style="23"/>
    <col min="1818" max="1818" width="14.42578125" style="23" customWidth="1"/>
    <col min="1819" max="2048" width="11.42578125" style="23"/>
    <col min="2049" max="2049" width="15.7109375" style="23" customWidth="1"/>
    <col min="2050" max="2050" width="12.7109375" style="23" customWidth="1"/>
    <col min="2051" max="2066" width="11.42578125" style="23"/>
    <col min="2067" max="2067" width="10.7109375" style="23" customWidth="1"/>
    <col min="2068" max="2073" width="11.42578125" style="23"/>
    <col min="2074" max="2074" width="14.42578125" style="23" customWidth="1"/>
    <col min="2075" max="2304" width="11.42578125" style="23"/>
    <col min="2305" max="2305" width="15.7109375" style="23" customWidth="1"/>
    <col min="2306" max="2306" width="12.7109375" style="23" customWidth="1"/>
    <col min="2307" max="2322" width="11.42578125" style="23"/>
    <col min="2323" max="2323" width="10.7109375" style="23" customWidth="1"/>
    <col min="2324" max="2329" width="11.42578125" style="23"/>
    <col min="2330" max="2330" width="14.42578125" style="23" customWidth="1"/>
    <col min="2331" max="2560" width="11.42578125" style="23"/>
    <col min="2561" max="2561" width="15.7109375" style="23" customWidth="1"/>
    <col min="2562" max="2562" width="12.7109375" style="23" customWidth="1"/>
    <col min="2563" max="2578" width="11.42578125" style="23"/>
    <col min="2579" max="2579" width="10.7109375" style="23" customWidth="1"/>
    <col min="2580" max="2585" width="11.42578125" style="23"/>
    <col min="2586" max="2586" width="14.42578125" style="23" customWidth="1"/>
    <col min="2587" max="2816" width="11.42578125" style="23"/>
    <col min="2817" max="2817" width="15.7109375" style="23" customWidth="1"/>
    <col min="2818" max="2818" width="12.7109375" style="23" customWidth="1"/>
    <col min="2819" max="2834" width="11.42578125" style="23"/>
    <col min="2835" max="2835" width="10.7109375" style="23" customWidth="1"/>
    <col min="2836" max="2841" width="11.42578125" style="23"/>
    <col min="2842" max="2842" width="14.42578125" style="23" customWidth="1"/>
    <col min="2843" max="3072" width="11.42578125" style="23"/>
    <col min="3073" max="3073" width="15.7109375" style="23" customWidth="1"/>
    <col min="3074" max="3074" width="12.7109375" style="23" customWidth="1"/>
    <col min="3075" max="3090" width="11.42578125" style="23"/>
    <col min="3091" max="3091" width="10.7109375" style="23" customWidth="1"/>
    <col min="3092" max="3097" width="11.42578125" style="23"/>
    <col min="3098" max="3098" width="14.42578125" style="23" customWidth="1"/>
    <col min="3099" max="3328" width="11.42578125" style="23"/>
    <col min="3329" max="3329" width="15.7109375" style="23" customWidth="1"/>
    <col min="3330" max="3330" width="12.7109375" style="23" customWidth="1"/>
    <col min="3331" max="3346" width="11.42578125" style="23"/>
    <col min="3347" max="3347" width="10.7109375" style="23" customWidth="1"/>
    <col min="3348" max="3353" width="11.42578125" style="23"/>
    <col min="3354" max="3354" width="14.42578125" style="23" customWidth="1"/>
    <col min="3355" max="3584" width="11.42578125" style="23"/>
    <col min="3585" max="3585" width="15.7109375" style="23" customWidth="1"/>
    <col min="3586" max="3586" width="12.7109375" style="23" customWidth="1"/>
    <col min="3587" max="3602" width="11.42578125" style="23"/>
    <col min="3603" max="3603" width="10.7109375" style="23" customWidth="1"/>
    <col min="3604" max="3609" width="11.42578125" style="23"/>
    <col min="3610" max="3610" width="14.42578125" style="23" customWidth="1"/>
    <col min="3611" max="3840" width="11.42578125" style="23"/>
    <col min="3841" max="3841" width="15.7109375" style="23" customWidth="1"/>
    <col min="3842" max="3842" width="12.7109375" style="23" customWidth="1"/>
    <col min="3843" max="3858" width="11.42578125" style="23"/>
    <col min="3859" max="3859" width="10.7109375" style="23" customWidth="1"/>
    <col min="3860" max="3865" width="11.42578125" style="23"/>
    <col min="3866" max="3866" width="14.42578125" style="23" customWidth="1"/>
    <col min="3867" max="4096" width="11.42578125" style="23"/>
    <col min="4097" max="4097" width="15.7109375" style="23" customWidth="1"/>
    <col min="4098" max="4098" width="12.7109375" style="23" customWidth="1"/>
    <col min="4099" max="4114" width="11.42578125" style="23"/>
    <col min="4115" max="4115" width="10.7109375" style="23" customWidth="1"/>
    <col min="4116" max="4121" width="11.42578125" style="23"/>
    <col min="4122" max="4122" width="14.42578125" style="23" customWidth="1"/>
    <col min="4123" max="4352" width="11.42578125" style="23"/>
    <col min="4353" max="4353" width="15.7109375" style="23" customWidth="1"/>
    <col min="4354" max="4354" width="12.7109375" style="23" customWidth="1"/>
    <col min="4355" max="4370" width="11.42578125" style="23"/>
    <col min="4371" max="4371" width="10.7109375" style="23" customWidth="1"/>
    <col min="4372" max="4377" width="11.42578125" style="23"/>
    <col min="4378" max="4378" width="14.42578125" style="23" customWidth="1"/>
    <col min="4379" max="4608" width="11.42578125" style="23"/>
    <col min="4609" max="4609" width="15.7109375" style="23" customWidth="1"/>
    <col min="4610" max="4610" width="12.7109375" style="23" customWidth="1"/>
    <col min="4611" max="4626" width="11.42578125" style="23"/>
    <col min="4627" max="4627" width="10.7109375" style="23" customWidth="1"/>
    <col min="4628" max="4633" width="11.42578125" style="23"/>
    <col min="4634" max="4634" width="14.42578125" style="23" customWidth="1"/>
    <col min="4635" max="4864" width="11.42578125" style="23"/>
    <col min="4865" max="4865" width="15.7109375" style="23" customWidth="1"/>
    <col min="4866" max="4866" width="12.7109375" style="23" customWidth="1"/>
    <col min="4867" max="4882" width="11.42578125" style="23"/>
    <col min="4883" max="4883" width="10.7109375" style="23" customWidth="1"/>
    <col min="4884" max="4889" width="11.42578125" style="23"/>
    <col min="4890" max="4890" width="14.42578125" style="23" customWidth="1"/>
    <col min="4891" max="5120" width="11.42578125" style="23"/>
    <col min="5121" max="5121" width="15.7109375" style="23" customWidth="1"/>
    <col min="5122" max="5122" width="12.7109375" style="23" customWidth="1"/>
    <col min="5123" max="5138" width="11.42578125" style="23"/>
    <col min="5139" max="5139" width="10.7109375" style="23" customWidth="1"/>
    <col min="5140" max="5145" width="11.42578125" style="23"/>
    <col min="5146" max="5146" width="14.42578125" style="23" customWidth="1"/>
    <col min="5147" max="5376" width="11.42578125" style="23"/>
    <col min="5377" max="5377" width="15.7109375" style="23" customWidth="1"/>
    <col min="5378" max="5378" width="12.7109375" style="23" customWidth="1"/>
    <col min="5379" max="5394" width="11.42578125" style="23"/>
    <col min="5395" max="5395" width="10.7109375" style="23" customWidth="1"/>
    <col min="5396" max="5401" width="11.42578125" style="23"/>
    <col min="5402" max="5402" width="14.42578125" style="23" customWidth="1"/>
    <col min="5403" max="5632" width="11.42578125" style="23"/>
    <col min="5633" max="5633" width="15.7109375" style="23" customWidth="1"/>
    <col min="5634" max="5634" width="12.7109375" style="23" customWidth="1"/>
    <col min="5635" max="5650" width="11.42578125" style="23"/>
    <col min="5651" max="5651" width="10.7109375" style="23" customWidth="1"/>
    <col min="5652" max="5657" width="11.42578125" style="23"/>
    <col min="5658" max="5658" width="14.42578125" style="23" customWidth="1"/>
    <col min="5659" max="5888" width="11.42578125" style="23"/>
    <col min="5889" max="5889" width="15.7109375" style="23" customWidth="1"/>
    <col min="5890" max="5890" width="12.7109375" style="23" customWidth="1"/>
    <col min="5891" max="5906" width="11.42578125" style="23"/>
    <col min="5907" max="5907" width="10.7109375" style="23" customWidth="1"/>
    <col min="5908" max="5913" width="11.42578125" style="23"/>
    <col min="5914" max="5914" width="14.42578125" style="23" customWidth="1"/>
    <col min="5915" max="6144" width="11.42578125" style="23"/>
    <col min="6145" max="6145" width="15.7109375" style="23" customWidth="1"/>
    <col min="6146" max="6146" width="12.7109375" style="23" customWidth="1"/>
    <col min="6147" max="6162" width="11.42578125" style="23"/>
    <col min="6163" max="6163" width="10.7109375" style="23" customWidth="1"/>
    <col min="6164" max="6169" width="11.42578125" style="23"/>
    <col min="6170" max="6170" width="14.42578125" style="23" customWidth="1"/>
    <col min="6171" max="6400" width="11.42578125" style="23"/>
    <col min="6401" max="6401" width="15.7109375" style="23" customWidth="1"/>
    <col min="6402" max="6402" width="12.7109375" style="23" customWidth="1"/>
    <col min="6403" max="6418" width="11.42578125" style="23"/>
    <col min="6419" max="6419" width="10.7109375" style="23" customWidth="1"/>
    <col min="6420" max="6425" width="11.42578125" style="23"/>
    <col min="6426" max="6426" width="14.42578125" style="23" customWidth="1"/>
    <col min="6427" max="6656" width="11.42578125" style="23"/>
    <col min="6657" max="6657" width="15.7109375" style="23" customWidth="1"/>
    <col min="6658" max="6658" width="12.7109375" style="23" customWidth="1"/>
    <col min="6659" max="6674" width="11.42578125" style="23"/>
    <col min="6675" max="6675" width="10.7109375" style="23" customWidth="1"/>
    <col min="6676" max="6681" width="11.42578125" style="23"/>
    <col min="6682" max="6682" width="14.42578125" style="23" customWidth="1"/>
    <col min="6683" max="6912" width="11.42578125" style="23"/>
    <col min="6913" max="6913" width="15.7109375" style="23" customWidth="1"/>
    <col min="6914" max="6914" width="12.7109375" style="23" customWidth="1"/>
    <col min="6915" max="6930" width="11.42578125" style="23"/>
    <col min="6931" max="6931" width="10.7109375" style="23" customWidth="1"/>
    <col min="6932" max="6937" width="11.42578125" style="23"/>
    <col min="6938" max="6938" width="14.42578125" style="23" customWidth="1"/>
    <col min="6939" max="7168" width="11.42578125" style="23"/>
    <col min="7169" max="7169" width="15.7109375" style="23" customWidth="1"/>
    <col min="7170" max="7170" width="12.7109375" style="23" customWidth="1"/>
    <col min="7171" max="7186" width="11.42578125" style="23"/>
    <col min="7187" max="7187" width="10.7109375" style="23" customWidth="1"/>
    <col min="7188" max="7193" width="11.42578125" style="23"/>
    <col min="7194" max="7194" width="14.42578125" style="23" customWidth="1"/>
    <col min="7195" max="7424" width="11.42578125" style="23"/>
    <col min="7425" max="7425" width="15.7109375" style="23" customWidth="1"/>
    <col min="7426" max="7426" width="12.7109375" style="23" customWidth="1"/>
    <col min="7427" max="7442" width="11.42578125" style="23"/>
    <col min="7443" max="7443" width="10.7109375" style="23" customWidth="1"/>
    <col min="7444" max="7449" width="11.42578125" style="23"/>
    <col min="7450" max="7450" width="14.42578125" style="23" customWidth="1"/>
    <col min="7451" max="7680" width="11.42578125" style="23"/>
    <col min="7681" max="7681" width="15.7109375" style="23" customWidth="1"/>
    <col min="7682" max="7682" width="12.7109375" style="23" customWidth="1"/>
    <col min="7683" max="7698" width="11.42578125" style="23"/>
    <col min="7699" max="7699" width="10.7109375" style="23" customWidth="1"/>
    <col min="7700" max="7705" width="11.42578125" style="23"/>
    <col min="7706" max="7706" width="14.42578125" style="23" customWidth="1"/>
    <col min="7707" max="7936" width="11.42578125" style="23"/>
    <col min="7937" max="7937" width="15.7109375" style="23" customWidth="1"/>
    <col min="7938" max="7938" width="12.7109375" style="23" customWidth="1"/>
    <col min="7939" max="7954" width="11.42578125" style="23"/>
    <col min="7955" max="7955" width="10.7109375" style="23" customWidth="1"/>
    <col min="7956" max="7961" width="11.42578125" style="23"/>
    <col min="7962" max="7962" width="14.42578125" style="23" customWidth="1"/>
    <col min="7963" max="8192" width="11.42578125" style="23"/>
    <col min="8193" max="8193" width="15.7109375" style="23" customWidth="1"/>
    <col min="8194" max="8194" width="12.7109375" style="23" customWidth="1"/>
    <col min="8195" max="8210" width="11.42578125" style="23"/>
    <col min="8211" max="8211" width="10.7109375" style="23" customWidth="1"/>
    <col min="8212" max="8217" width="11.42578125" style="23"/>
    <col min="8218" max="8218" width="14.42578125" style="23" customWidth="1"/>
    <col min="8219" max="8448" width="11.42578125" style="23"/>
    <col min="8449" max="8449" width="15.7109375" style="23" customWidth="1"/>
    <col min="8450" max="8450" width="12.7109375" style="23" customWidth="1"/>
    <col min="8451" max="8466" width="11.42578125" style="23"/>
    <col min="8467" max="8467" width="10.7109375" style="23" customWidth="1"/>
    <col min="8468" max="8473" width="11.42578125" style="23"/>
    <col min="8474" max="8474" width="14.42578125" style="23" customWidth="1"/>
    <col min="8475" max="8704" width="11.42578125" style="23"/>
    <col min="8705" max="8705" width="15.7109375" style="23" customWidth="1"/>
    <col min="8706" max="8706" width="12.7109375" style="23" customWidth="1"/>
    <col min="8707" max="8722" width="11.42578125" style="23"/>
    <col min="8723" max="8723" width="10.7109375" style="23" customWidth="1"/>
    <col min="8724" max="8729" width="11.42578125" style="23"/>
    <col min="8730" max="8730" width="14.42578125" style="23" customWidth="1"/>
    <col min="8731" max="8960" width="11.42578125" style="23"/>
    <col min="8961" max="8961" width="15.7109375" style="23" customWidth="1"/>
    <col min="8962" max="8962" width="12.7109375" style="23" customWidth="1"/>
    <col min="8963" max="8978" width="11.42578125" style="23"/>
    <col min="8979" max="8979" width="10.7109375" style="23" customWidth="1"/>
    <col min="8980" max="8985" width="11.42578125" style="23"/>
    <col min="8986" max="8986" width="14.42578125" style="23" customWidth="1"/>
    <col min="8987" max="9216" width="11.42578125" style="23"/>
    <col min="9217" max="9217" width="15.7109375" style="23" customWidth="1"/>
    <col min="9218" max="9218" width="12.7109375" style="23" customWidth="1"/>
    <col min="9219" max="9234" width="11.42578125" style="23"/>
    <col min="9235" max="9235" width="10.7109375" style="23" customWidth="1"/>
    <col min="9236" max="9241" width="11.42578125" style="23"/>
    <col min="9242" max="9242" width="14.42578125" style="23" customWidth="1"/>
    <col min="9243" max="9472" width="11.42578125" style="23"/>
    <col min="9473" max="9473" width="15.7109375" style="23" customWidth="1"/>
    <col min="9474" max="9474" width="12.7109375" style="23" customWidth="1"/>
    <col min="9475" max="9490" width="11.42578125" style="23"/>
    <col min="9491" max="9491" width="10.7109375" style="23" customWidth="1"/>
    <col min="9492" max="9497" width="11.42578125" style="23"/>
    <col min="9498" max="9498" width="14.42578125" style="23" customWidth="1"/>
    <col min="9499" max="9728" width="11.42578125" style="23"/>
    <col min="9729" max="9729" width="15.7109375" style="23" customWidth="1"/>
    <col min="9730" max="9730" width="12.7109375" style="23" customWidth="1"/>
    <col min="9731" max="9746" width="11.42578125" style="23"/>
    <col min="9747" max="9747" width="10.7109375" style="23" customWidth="1"/>
    <col min="9748" max="9753" width="11.42578125" style="23"/>
    <col min="9754" max="9754" width="14.42578125" style="23" customWidth="1"/>
    <col min="9755" max="9984" width="11.42578125" style="23"/>
    <col min="9985" max="9985" width="15.7109375" style="23" customWidth="1"/>
    <col min="9986" max="9986" width="12.7109375" style="23" customWidth="1"/>
    <col min="9987" max="10002" width="11.42578125" style="23"/>
    <col min="10003" max="10003" width="10.7109375" style="23" customWidth="1"/>
    <col min="10004" max="10009" width="11.42578125" style="23"/>
    <col min="10010" max="10010" width="14.42578125" style="23" customWidth="1"/>
    <col min="10011" max="10240" width="11.42578125" style="23"/>
    <col min="10241" max="10241" width="15.7109375" style="23" customWidth="1"/>
    <col min="10242" max="10242" width="12.7109375" style="23" customWidth="1"/>
    <col min="10243" max="10258" width="11.42578125" style="23"/>
    <col min="10259" max="10259" width="10.7109375" style="23" customWidth="1"/>
    <col min="10260" max="10265" width="11.42578125" style="23"/>
    <col min="10266" max="10266" width="14.42578125" style="23" customWidth="1"/>
    <col min="10267" max="10496" width="11.42578125" style="23"/>
    <col min="10497" max="10497" width="15.7109375" style="23" customWidth="1"/>
    <col min="10498" max="10498" width="12.7109375" style="23" customWidth="1"/>
    <col min="10499" max="10514" width="11.42578125" style="23"/>
    <col min="10515" max="10515" width="10.7109375" style="23" customWidth="1"/>
    <col min="10516" max="10521" width="11.42578125" style="23"/>
    <col min="10522" max="10522" width="14.42578125" style="23" customWidth="1"/>
    <col min="10523" max="10752" width="11.42578125" style="23"/>
    <col min="10753" max="10753" width="15.7109375" style="23" customWidth="1"/>
    <col min="10754" max="10754" width="12.7109375" style="23" customWidth="1"/>
    <col min="10755" max="10770" width="11.42578125" style="23"/>
    <col min="10771" max="10771" width="10.7109375" style="23" customWidth="1"/>
    <col min="10772" max="10777" width="11.42578125" style="23"/>
    <col min="10778" max="10778" width="14.42578125" style="23" customWidth="1"/>
    <col min="10779" max="11008" width="11.42578125" style="23"/>
    <col min="11009" max="11009" width="15.7109375" style="23" customWidth="1"/>
    <col min="11010" max="11010" width="12.7109375" style="23" customWidth="1"/>
    <col min="11011" max="11026" width="11.42578125" style="23"/>
    <col min="11027" max="11027" width="10.7109375" style="23" customWidth="1"/>
    <col min="11028" max="11033" width="11.42578125" style="23"/>
    <col min="11034" max="11034" width="14.42578125" style="23" customWidth="1"/>
    <col min="11035" max="11264" width="11.42578125" style="23"/>
    <col min="11265" max="11265" width="15.7109375" style="23" customWidth="1"/>
    <col min="11266" max="11266" width="12.7109375" style="23" customWidth="1"/>
    <col min="11267" max="11282" width="11.42578125" style="23"/>
    <col min="11283" max="11283" width="10.7109375" style="23" customWidth="1"/>
    <col min="11284" max="11289" width="11.42578125" style="23"/>
    <col min="11290" max="11290" width="14.42578125" style="23" customWidth="1"/>
    <col min="11291" max="11520" width="11.42578125" style="23"/>
    <col min="11521" max="11521" width="15.7109375" style="23" customWidth="1"/>
    <col min="11522" max="11522" width="12.7109375" style="23" customWidth="1"/>
    <col min="11523" max="11538" width="11.42578125" style="23"/>
    <col min="11539" max="11539" width="10.7109375" style="23" customWidth="1"/>
    <col min="11540" max="11545" width="11.42578125" style="23"/>
    <col min="11546" max="11546" width="14.42578125" style="23" customWidth="1"/>
    <col min="11547" max="11776" width="11.42578125" style="23"/>
    <col min="11777" max="11777" width="15.7109375" style="23" customWidth="1"/>
    <col min="11778" max="11778" width="12.7109375" style="23" customWidth="1"/>
    <col min="11779" max="11794" width="11.42578125" style="23"/>
    <col min="11795" max="11795" width="10.7109375" style="23" customWidth="1"/>
    <col min="11796" max="11801" width="11.42578125" style="23"/>
    <col min="11802" max="11802" width="14.42578125" style="23" customWidth="1"/>
    <col min="11803" max="12032" width="11.42578125" style="23"/>
    <col min="12033" max="12033" width="15.7109375" style="23" customWidth="1"/>
    <col min="12034" max="12034" width="12.7109375" style="23" customWidth="1"/>
    <col min="12035" max="12050" width="11.42578125" style="23"/>
    <col min="12051" max="12051" width="10.7109375" style="23" customWidth="1"/>
    <col min="12052" max="12057" width="11.42578125" style="23"/>
    <col min="12058" max="12058" width="14.42578125" style="23" customWidth="1"/>
    <col min="12059" max="12288" width="11.42578125" style="23"/>
    <col min="12289" max="12289" width="15.7109375" style="23" customWidth="1"/>
    <col min="12290" max="12290" width="12.7109375" style="23" customWidth="1"/>
    <col min="12291" max="12306" width="11.42578125" style="23"/>
    <col min="12307" max="12307" width="10.7109375" style="23" customWidth="1"/>
    <col min="12308" max="12313" width="11.42578125" style="23"/>
    <col min="12314" max="12314" width="14.42578125" style="23" customWidth="1"/>
    <col min="12315" max="12544" width="11.42578125" style="23"/>
    <col min="12545" max="12545" width="15.7109375" style="23" customWidth="1"/>
    <col min="12546" max="12546" width="12.7109375" style="23" customWidth="1"/>
    <col min="12547" max="12562" width="11.42578125" style="23"/>
    <col min="12563" max="12563" width="10.7109375" style="23" customWidth="1"/>
    <col min="12564" max="12569" width="11.42578125" style="23"/>
    <col min="12570" max="12570" width="14.42578125" style="23" customWidth="1"/>
    <col min="12571" max="12800" width="11.42578125" style="23"/>
    <col min="12801" max="12801" width="15.7109375" style="23" customWidth="1"/>
    <col min="12802" max="12802" width="12.7109375" style="23" customWidth="1"/>
    <col min="12803" max="12818" width="11.42578125" style="23"/>
    <col min="12819" max="12819" width="10.7109375" style="23" customWidth="1"/>
    <col min="12820" max="12825" width="11.42578125" style="23"/>
    <col min="12826" max="12826" width="14.42578125" style="23" customWidth="1"/>
    <col min="12827" max="13056" width="11.42578125" style="23"/>
    <col min="13057" max="13057" width="15.7109375" style="23" customWidth="1"/>
    <col min="13058" max="13058" width="12.7109375" style="23" customWidth="1"/>
    <col min="13059" max="13074" width="11.42578125" style="23"/>
    <col min="13075" max="13075" width="10.7109375" style="23" customWidth="1"/>
    <col min="13076" max="13081" width="11.42578125" style="23"/>
    <col min="13082" max="13082" width="14.42578125" style="23" customWidth="1"/>
    <col min="13083" max="13312" width="11.42578125" style="23"/>
    <col min="13313" max="13313" width="15.7109375" style="23" customWidth="1"/>
    <col min="13314" max="13314" width="12.7109375" style="23" customWidth="1"/>
    <col min="13315" max="13330" width="11.42578125" style="23"/>
    <col min="13331" max="13331" width="10.7109375" style="23" customWidth="1"/>
    <col min="13332" max="13337" width="11.42578125" style="23"/>
    <col min="13338" max="13338" width="14.42578125" style="23" customWidth="1"/>
    <col min="13339" max="13568" width="11.42578125" style="23"/>
    <col min="13569" max="13569" width="15.7109375" style="23" customWidth="1"/>
    <col min="13570" max="13570" width="12.7109375" style="23" customWidth="1"/>
    <col min="13571" max="13586" width="11.42578125" style="23"/>
    <col min="13587" max="13587" width="10.7109375" style="23" customWidth="1"/>
    <col min="13588" max="13593" width="11.42578125" style="23"/>
    <col min="13594" max="13594" width="14.42578125" style="23" customWidth="1"/>
    <col min="13595" max="13824" width="11.42578125" style="23"/>
    <col min="13825" max="13825" width="15.7109375" style="23" customWidth="1"/>
    <col min="13826" max="13826" width="12.7109375" style="23" customWidth="1"/>
    <col min="13827" max="13842" width="11.42578125" style="23"/>
    <col min="13843" max="13843" width="10.7109375" style="23" customWidth="1"/>
    <col min="13844" max="13849" width="11.42578125" style="23"/>
    <col min="13850" max="13850" width="14.42578125" style="23" customWidth="1"/>
    <col min="13851" max="14080" width="11.42578125" style="23"/>
    <col min="14081" max="14081" width="15.7109375" style="23" customWidth="1"/>
    <col min="14082" max="14082" width="12.7109375" style="23" customWidth="1"/>
    <col min="14083" max="14098" width="11.42578125" style="23"/>
    <col min="14099" max="14099" width="10.7109375" style="23" customWidth="1"/>
    <col min="14100" max="14105" width="11.42578125" style="23"/>
    <col min="14106" max="14106" width="14.42578125" style="23" customWidth="1"/>
    <col min="14107" max="14336" width="11.42578125" style="23"/>
    <col min="14337" max="14337" width="15.7109375" style="23" customWidth="1"/>
    <col min="14338" max="14338" width="12.7109375" style="23" customWidth="1"/>
    <col min="14339" max="14354" width="11.42578125" style="23"/>
    <col min="14355" max="14355" width="10.7109375" style="23" customWidth="1"/>
    <col min="14356" max="14361" width="11.42578125" style="23"/>
    <col min="14362" max="14362" width="14.42578125" style="23" customWidth="1"/>
    <col min="14363" max="14592" width="11.42578125" style="23"/>
    <col min="14593" max="14593" width="15.7109375" style="23" customWidth="1"/>
    <col min="14594" max="14594" width="12.7109375" style="23" customWidth="1"/>
    <col min="14595" max="14610" width="11.42578125" style="23"/>
    <col min="14611" max="14611" width="10.7109375" style="23" customWidth="1"/>
    <col min="14612" max="14617" width="11.42578125" style="23"/>
    <col min="14618" max="14618" width="14.42578125" style="23" customWidth="1"/>
    <col min="14619" max="14848" width="11.42578125" style="23"/>
    <col min="14849" max="14849" width="15.7109375" style="23" customWidth="1"/>
    <col min="14850" max="14850" width="12.7109375" style="23" customWidth="1"/>
    <col min="14851" max="14866" width="11.42578125" style="23"/>
    <col min="14867" max="14867" width="10.7109375" style="23" customWidth="1"/>
    <col min="14868" max="14873" width="11.42578125" style="23"/>
    <col min="14874" max="14874" width="14.42578125" style="23" customWidth="1"/>
    <col min="14875" max="15104" width="11.42578125" style="23"/>
    <col min="15105" max="15105" width="15.7109375" style="23" customWidth="1"/>
    <col min="15106" max="15106" width="12.7109375" style="23" customWidth="1"/>
    <col min="15107" max="15122" width="11.42578125" style="23"/>
    <col min="15123" max="15123" width="10.7109375" style="23" customWidth="1"/>
    <col min="15124" max="15129" width="11.42578125" style="23"/>
    <col min="15130" max="15130" width="14.42578125" style="23" customWidth="1"/>
    <col min="15131" max="15360" width="11.42578125" style="23"/>
    <col min="15361" max="15361" width="15.7109375" style="23" customWidth="1"/>
    <col min="15362" max="15362" width="12.7109375" style="23" customWidth="1"/>
    <col min="15363" max="15378" width="11.42578125" style="23"/>
    <col min="15379" max="15379" width="10.7109375" style="23" customWidth="1"/>
    <col min="15380" max="15385" width="11.42578125" style="23"/>
    <col min="15386" max="15386" width="14.42578125" style="23" customWidth="1"/>
    <col min="15387" max="15616" width="11.42578125" style="23"/>
    <col min="15617" max="15617" width="15.7109375" style="23" customWidth="1"/>
    <col min="15618" max="15618" width="12.7109375" style="23" customWidth="1"/>
    <col min="15619" max="15634" width="11.42578125" style="23"/>
    <col min="15635" max="15635" width="10.7109375" style="23" customWidth="1"/>
    <col min="15636" max="15641" width="11.42578125" style="23"/>
    <col min="15642" max="15642" width="14.42578125" style="23" customWidth="1"/>
    <col min="15643" max="15872" width="11.42578125" style="23"/>
    <col min="15873" max="15873" width="15.7109375" style="23" customWidth="1"/>
    <col min="15874" max="15874" width="12.7109375" style="23" customWidth="1"/>
    <col min="15875" max="15890" width="11.42578125" style="23"/>
    <col min="15891" max="15891" width="10.7109375" style="23" customWidth="1"/>
    <col min="15892" max="15897" width="11.42578125" style="23"/>
    <col min="15898" max="15898" width="14.42578125" style="23" customWidth="1"/>
    <col min="15899" max="16128" width="11.42578125" style="23"/>
    <col min="16129" max="16129" width="15.7109375" style="23" customWidth="1"/>
    <col min="16130" max="16130" width="12.7109375" style="23" customWidth="1"/>
    <col min="16131" max="16146" width="11.42578125" style="23"/>
    <col min="16147" max="16147" width="10.7109375" style="23" customWidth="1"/>
    <col min="16148" max="16153" width="11.42578125" style="23"/>
    <col min="16154" max="16154" width="14.42578125" style="23" customWidth="1"/>
    <col min="16155" max="16384" width="11.42578125" style="23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46"/>
      <c r="C28" s="46"/>
      <c r="D28" s="46"/>
      <c r="E28" s="46"/>
      <c r="F28" s="46"/>
      <c r="G28" s="46"/>
      <c r="H28" s="46"/>
      <c r="I28" s="60" t="s">
        <v>52</v>
      </c>
      <c r="J28" s="46"/>
      <c r="K28" s="46"/>
      <c r="L28" s="46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5:L27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5.7109375" style="23" customWidth="1"/>
    <col min="2" max="2" width="35.7109375" style="23" customWidth="1"/>
    <col min="3" max="3" width="12.85546875" style="23" customWidth="1"/>
    <col min="4" max="4" width="13.28515625" style="23" customWidth="1"/>
    <col min="5" max="5" width="13.7109375" style="23" customWidth="1"/>
    <col min="6" max="6" width="10.7109375" style="23" customWidth="1"/>
    <col min="7" max="12" width="11.42578125" style="23"/>
    <col min="13" max="13" width="14.42578125" style="23" customWidth="1"/>
    <col min="14" max="256" width="11.42578125" style="23"/>
    <col min="257" max="257" width="15.7109375" style="23" customWidth="1"/>
    <col min="258" max="258" width="35.7109375" style="23" customWidth="1"/>
    <col min="259" max="259" width="12.85546875" style="23" customWidth="1"/>
    <col min="260" max="260" width="13.28515625" style="23" customWidth="1"/>
    <col min="261" max="261" width="13.7109375" style="23" customWidth="1"/>
    <col min="262" max="262" width="10.7109375" style="23" customWidth="1"/>
    <col min="263" max="268" width="11.42578125" style="23"/>
    <col min="269" max="269" width="14.42578125" style="23" customWidth="1"/>
    <col min="270" max="512" width="11.42578125" style="23"/>
    <col min="513" max="513" width="15.7109375" style="23" customWidth="1"/>
    <col min="514" max="514" width="35.7109375" style="23" customWidth="1"/>
    <col min="515" max="515" width="12.85546875" style="23" customWidth="1"/>
    <col min="516" max="516" width="13.28515625" style="23" customWidth="1"/>
    <col min="517" max="517" width="13.7109375" style="23" customWidth="1"/>
    <col min="518" max="518" width="10.7109375" style="23" customWidth="1"/>
    <col min="519" max="524" width="11.42578125" style="23"/>
    <col min="525" max="525" width="14.42578125" style="23" customWidth="1"/>
    <col min="526" max="768" width="11.42578125" style="23"/>
    <col min="769" max="769" width="15.7109375" style="23" customWidth="1"/>
    <col min="770" max="770" width="35.7109375" style="23" customWidth="1"/>
    <col min="771" max="771" width="12.85546875" style="23" customWidth="1"/>
    <col min="772" max="772" width="13.28515625" style="23" customWidth="1"/>
    <col min="773" max="773" width="13.7109375" style="23" customWidth="1"/>
    <col min="774" max="774" width="10.7109375" style="23" customWidth="1"/>
    <col min="775" max="780" width="11.42578125" style="23"/>
    <col min="781" max="781" width="14.42578125" style="23" customWidth="1"/>
    <col min="782" max="1024" width="11.42578125" style="23"/>
    <col min="1025" max="1025" width="15.7109375" style="23" customWidth="1"/>
    <col min="1026" max="1026" width="35.7109375" style="23" customWidth="1"/>
    <col min="1027" max="1027" width="12.85546875" style="23" customWidth="1"/>
    <col min="1028" max="1028" width="13.28515625" style="23" customWidth="1"/>
    <col min="1029" max="1029" width="13.7109375" style="23" customWidth="1"/>
    <col min="1030" max="1030" width="10.7109375" style="23" customWidth="1"/>
    <col min="1031" max="1036" width="11.42578125" style="23"/>
    <col min="1037" max="1037" width="14.42578125" style="23" customWidth="1"/>
    <col min="1038" max="1280" width="11.42578125" style="23"/>
    <col min="1281" max="1281" width="15.7109375" style="23" customWidth="1"/>
    <col min="1282" max="1282" width="35.7109375" style="23" customWidth="1"/>
    <col min="1283" max="1283" width="12.85546875" style="23" customWidth="1"/>
    <col min="1284" max="1284" width="13.28515625" style="23" customWidth="1"/>
    <col min="1285" max="1285" width="13.7109375" style="23" customWidth="1"/>
    <col min="1286" max="1286" width="10.7109375" style="23" customWidth="1"/>
    <col min="1287" max="1292" width="11.42578125" style="23"/>
    <col min="1293" max="1293" width="14.42578125" style="23" customWidth="1"/>
    <col min="1294" max="1536" width="11.42578125" style="23"/>
    <col min="1537" max="1537" width="15.7109375" style="23" customWidth="1"/>
    <col min="1538" max="1538" width="35.7109375" style="23" customWidth="1"/>
    <col min="1539" max="1539" width="12.85546875" style="23" customWidth="1"/>
    <col min="1540" max="1540" width="13.28515625" style="23" customWidth="1"/>
    <col min="1541" max="1541" width="13.7109375" style="23" customWidth="1"/>
    <col min="1542" max="1542" width="10.7109375" style="23" customWidth="1"/>
    <col min="1543" max="1548" width="11.42578125" style="23"/>
    <col min="1549" max="1549" width="14.42578125" style="23" customWidth="1"/>
    <col min="1550" max="1792" width="11.42578125" style="23"/>
    <col min="1793" max="1793" width="15.7109375" style="23" customWidth="1"/>
    <col min="1794" max="1794" width="35.7109375" style="23" customWidth="1"/>
    <col min="1795" max="1795" width="12.85546875" style="23" customWidth="1"/>
    <col min="1796" max="1796" width="13.28515625" style="23" customWidth="1"/>
    <col min="1797" max="1797" width="13.7109375" style="23" customWidth="1"/>
    <col min="1798" max="1798" width="10.7109375" style="23" customWidth="1"/>
    <col min="1799" max="1804" width="11.42578125" style="23"/>
    <col min="1805" max="1805" width="14.42578125" style="23" customWidth="1"/>
    <col min="1806" max="2048" width="11.42578125" style="23"/>
    <col min="2049" max="2049" width="15.7109375" style="23" customWidth="1"/>
    <col min="2050" max="2050" width="35.7109375" style="23" customWidth="1"/>
    <col min="2051" max="2051" width="12.85546875" style="23" customWidth="1"/>
    <col min="2052" max="2052" width="13.28515625" style="23" customWidth="1"/>
    <col min="2053" max="2053" width="13.7109375" style="23" customWidth="1"/>
    <col min="2054" max="2054" width="10.7109375" style="23" customWidth="1"/>
    <col min="2055" max="2060" width="11.42578125" style="23"/>
    <col min="2061" max="2061" width="14.42578125" style="23" customWidth="1"/>
    <col min="2062" max="2304" width="11.42578125" style="23"/>
    <col min="2305" max="2305" width="15.7109375" style="23" customWidth="1"/>
    <col min="2306" max="2306" width="35.7109375" style="23" customWidth="1"/>
    <col min="2307" max="2307" width="12.85546875" style="23" customWidth="1"/>
    <col min="2308" max="2308" width="13.28515625" style="23" customWidth="1"/>
    <col min="2309" max="2309" width="13.7109375" style="23" customWidth="1"/>
    <col min="2310" max="2310" width="10.7109375" style="23" customWidth="1"/>
    <col min="2311" max="2316" width="11.42578125" style="23"/>
    <col min="2317" max="2317" width="14.42578125" style="23" customWidth="1"/>
    <col min="2318" max="2560" width="11.42578125" style="23"/>
    <col min="2561" max="2561" width="15.7109375" style="23" customWidth="1"/>
    <col min="2562" max="2562" width="35.7109375" style="23" customWidth="1"/>
    <col min="2563" max="2563" width="12.85546875" style="23" customWidth="1"/>
    <col min="2564" max="2564" width="13.28515625" style="23" customWidth="1"/>
    <col min="2565" max="2565" width="13.7109375" style="23" customWidth="1"/>
    <col min="2566" max="2566" width="10.7109375" style="23" customWidth="1"/>
    <col min="2567" max="2572" width="11.42578125" style="23"/>
    <col min="2573" max="2573" width="14.42578125" style="23" customWidth="1"/>
    <col min="2574" max="2816" width="11.42578125" style="23"/>
    <col min="2817" max="2817" width="15.7109375" style="23" customWidth="1"/>
    <col min="2818" max="2818" width="35.7109375" style="23" customWidth="1"/>
    <col min="2819" max="2819" width="12.85546875" style="23" customWidth="1"/>
    <col min="2820" max="2820" width="13.28515625" style="23" customWidth="1"/>
    <col min="2821" max="2821" width="13.7109375" style="23" customWidth="1"/>
    <col min="2822" max="2822" width="10.7109375" style="23" customWidth="1"/>
    <col min="2823" max="2828" width="11.42578125" style="23"/>
    <col min="2829" max="2829" width="14.42578125" style="23" customWidth="1"/>
    <col min="2830" max="3072" width="11.42578125" style="23"/>
    <col min="3073" max="3073" width="15.7109375" style="23" customWidth="1"/>
    <col min="3074" max="3074" width="35.7109375" style="23" customWidth="1"/>
    <col min="3075" max="3075" width="12.85546875" style="23" customWidth="1"/>
    <col min="3076" max="3076" width="13.28515625" style="23" customWidth="1"/>
    <col min="3077" max="3077" width="13.7109375" style="23" customWidth="1"/>
    <col min="3078" max="3078" width="10.7109375" style="23" customWidth="1"/>
    <col min="3079" max="3084" width="11.42578125" style="23"/>
    <col min="3085" max="3085" width="14.42578125" style="23" customWidth="1"/>
    <col min="3086" max="3328" width="11.42578125" style="23"/>
    <col min="3329" max="3329" width="15.7109375" style="23" customWidth="1"/>
    <col min="3330" max="3330" width="35.7109375" style="23" customWidth="1"/>
    <col min="3331" max="3331" width="12.85546875" style="23" customWidth="1"/>
    <col min="3332" max="3332" width="13.28515625" style="23" customWidth="1"/>
    <col min="3333" max="3333" width="13.7109375" style="23" customWidth="1"/>
    <col min="3334" max="3334" width="10.7109375" style="23" customWidth="1"/>
    <col min="3335" max="3340" width="11.42578125" style="23"/>
    <col min="3341" max="3341" width="14.42578125" style="23" customWidth="1"/>
    <col min="3342" max="3584" width="11.42578125" style="23"/>
    <col min="3585" max="3585" width="15.7109375" style="23" customWidth="1"/>
    <col min="3586" max="3586" width="35.7109375" style="23" customWidth="1"/>
    <col min="3587" max="3587" width="12.85546875" style="23" customWidth="1"/>
    <col min="3588" max="3588" width="13.28515625" style="23" customWidth="1"/>
    <col min="3589" max="3589" width="13.7109375" style="23" customWidth="1"/>
    <col min="3590" max="3590" width="10.7109375" style="23" customWidth="1"/>
    <col min="3591" max="3596" width="11.42578125" style="23"/>
    <col min="3597" max="3597" width="14.42578125" style="23" customWidth="1"/>
    <col min="3598" max="3840" width="11.42578125" style="23"/>
    <col min="3841" max="3841" width="15.7109375" style="23" customWidth="1"/>
    <col min="3842" max="3842" width="35.7109375" style="23" customWidth="1"/>
    <col min="3843" max="3843" width="12.85546875" style="23" customWidth="1"/>
    <col min="3844" max="3844" width="13.28515625" style="23" customWidth="1"/>
    <col min="3845" max="3845" width="13.7109375" style="23" customWidth="1"/>
    <col min="3846" max="3846" width="10.7109375" style="23" customWidth="1"/>
    <col min="3847" max="3852" width="11.42578125" style="23"/>
    <col min="3853" max="3853" width="14.42578125" style="23" customWidth="1"/>
    <col min="3854" max="4096" width="11.42578125" style="23"/>
    <col min="4097" max="4097" width="15.7109375" style="23" customWidth="1"/>
    <col min="4098" max="4098" width="35.7109375" style="23" customWidth="1"/>
    <col min="4099" max="4099" width="12.85546875" style="23" customWidth="1"/>
    <col min="4100" max="4100" width="13.28515625" style="23" customWidth="1"/>
    <col min="4101" max="4101" width="13.7109375" style="23" customWidth="1"/>
    <col min="4102" max="4102" width="10.7109375" style="23" customWidth="1"/>
    <col min="4103" max="4108" width="11.42578125" style="23"/>
    <col min="4109" max="4109" width="14.42578125" style="23" customWidth="1"/>
    <col min="4110" max="4352" width="11.42578125" style="23"/>
    <col min="4353" max="4353" width="15.7109375" style="23" customWidth="1"/>
    <col min="4354" max="4354" width="35.7109375" style="23" customWidth="1"/>
    <col min="4355" max="4355" width="12.85546875" style="23" customWidth="1"/>
    <col min="4356" max="4356" width="13.28515625" style="23" customWidth="1"/>
    <col min="4357" max="4357" width="13.7109375" style="23" customWidth="1"/>
    <col min="4358" max="4358" width="10.7109375" style="23" customWidth="1"/>
    <col min="4359" max="4364" width="11.42578125" style="23"/>
    <col min="4365" max="4365" width="14.42578125" style="23" customWidth="1"/>
    <col min="4366" max="4608" width="11.42578125" style="23"/>
    <col min="4609" max="4609" width="15.7109375" style="23" customWidth="1"/>
    <col min="4610" max="4610" width="35.7109375" style="23" customWidth="1"/>
    <col min="4611" max="4611" width="12.85546875" style="23" customWidth="1"/>
    <col min="4612" max="4612" width="13.28515625" style="23" customWidth="1"/>
    <col min="4613" max="4613" width="13.7109375" style="23" customWidth="1"/>
    <col min="4614" max="4614" width="10.7109375" style="23" customWidth="1"/>
    <col min="4615" max="4620" width="11.42578125" style="23"/>
    <col min="4621" max="4621" width="14.42578125" style="23" customWidth="1"/>
    <col min="4622" max="4864" width="11.42578125" style="23"/>
    <col min="4865" max="4865" width="15.7109375" style="23" customWidth="1"/>
    <col min="4866" max="4866" width="35.7109375" style="23" customWidth="1"/>
    <col min="4867" max="4867" width="12.85546875" style="23" customWidth="1"/>
    <col min="4868" max="4868" width="13.28515625" style="23" customWidth="1"/>
    <col min="4869" max="4869" width="13.7109375" style="23" customWidth="1"/>
    <col min="4870" max="4870" width="10.7109375" style="23" customWidth="1"/>
    <col min="4871" max="4876" width="11.42578125" style="23"/>
    <col min="4877" max="4877" width="14.42578125" style="23" customWidth="1"/>
    <col min="4878" max="5120" width="11.42578125" style="23"/>
    <col min="5121" max="5121" width="15.7109375" style="23" customWidth="1"/>
    <col min="5122" max="5122" width="35.7109375" style="23" customWidth="1"/>
    <col min="5123" max="5123" width="12.85546875" style="23" customWidth="1"/>
    <col min="5124" max="5124" width="13.28515625" style="23" customWidth="1"/>
    <col min="5125" max="5125" width="13.7109375" style="23" customWidth="1"/>
    <col min="5126" max="5126" width="10.7109375" style="23" customWidth="1"/>
    <col min="5127" max="5132" width="11.42578125" style="23"/>
    <col min="5133" max="5133" width="14.42578125" style="23" customWidth="1"/>
    <col min="5134" max="5376" width="11.42578125" style="23"/>
    <col min="5377" max="5377" width="15.7109375" style="23" customWidth="1"/>
    <col min="5378" max="5378" width="35.7109375" style="23" customWidth="1"/>
    <col min="5379" max="5379" width="12.85546875" style="23" customWidth="1"/>
    <col min="5380" max="5380" width="13.28515625" style="23" customWidth="1"/>
    <col min="5381" max="5381" width="13.7109375" style="23" customWidth="1"/>
    <col min="5382" max="5382" width="10.7109375" style="23" customWidth="1"/>
    <col min="5383" max="5388" width="11.42578125" style="23"/>
    <col min="5389" max="5389" width="14.42578125" style="23" customWidth="1"/>
    <col min="5390" max="5632" width="11.42578125" style="23"/>
    <col min="5633" max="5633" width="15.7109375" style="23" customWidth="1"/>
    <col min="5634" max="5634" width="35.7109375" style="23" customWidth="1"/>
    <col min="5635" max="5635" width="12.85546875" style="23" customWidth="1"/>
    <col min="5636" max="5636" width="13.28515625" style="23" customWidth="1"/>
    <col min="5637" max="5637" width="13.7109375" style="23" customWidth="1"/>
    <col min="5638" max="5638" width="10.7109375" style="23" customWidth="1"/>
    <col min="5639" max="5644" width="11.42578125" style="23"/>
    <col min="5645" max="5645" width="14.42578125" style="23" customWidth="1"/>
    <col min="5646" max="5888" width="11.42578125" style="23"/>
    <col min="5889" max="5889" width="15.7109375" style="23" customWidth="1"/>
    <col min="5890" max="5890" width="35.7109375" style="23" customWidth="1"/>
    <col min="5891" max="5891" width="12.85546875" style="23" customWidth="1"/>
    <col min="5892" max="5892" width="13.28515625" style="23" customWidth="1"/>
    <col min="5893" max="5893" width="13.7109375" style="23" customWidth="1"/>
    <col min="5894" max="5894" width="10.7109375" style="23" customWidth="1"/>
    <col min="5895" max="5900" width="11.42578125" style="23"/>
    <col min="5901" max="5901" width="14.42578125" style="23" customWidth="1"/>
    <col min="5902" max="6144" width="11.42578125" style="23"/>
    <col min="6145" max="6145" width="15.7109375" style="23" customWidth="1"/>
    <col min="6146" max="6146" width="35.7109375" style="23" customWidth="1"/>
    <col min="6147" max="6147" width="12.85546875" style="23" customWidth="1"/>
    <col min="6148" max="6148" width="13.28515625" style="23" customWidth="1"/>
    <col min="6149" max="6149" width="13.7109375" style="23" customWidth="1"/>
    <col min="6150" max="6150" width="10.7109375" style="23" customWidth="1"/>
    <col min="6151" max="6156" width="11.42578125" style="23"/>
    <col min="6157" max="6157" width="14.42578125" style="23" customWidth="1"/>
    <col min="6158" max="6400" width="11.42578125" style="23"/>
    <col min="6401" max="6401" width="15.7109375" style="23" customWidth="1"/>
    <col min="6402" max="6402" width="35.7109375" style="23" customWidth="1"/>
    <col min="6403" max="6403" width="12.85546875" style="23" customWidth="1"/>
    <col min="6404" max="6404" width="13.28515625" style="23" customWidth="1"/>
    <col min="6405" max="6405" width="13.7109375" style="23" customWidth="1"/>
    <col min="6406" max="6406" width="10.7109375" style="23" customWidth="1"/>
    <col min="6407" max="6412" width="11.42578125" style="23"/>
    <col min="6413" max="6413" width="14.42578125" style="23" customWidth="1"/>
    <col min="6414" max="6656" width="11.42578125" style="23"/>
    <col min="6657" max="6657" width="15.7109375" style="23" customWidth="1"/>
    <col min="6658" max="6658" width="35.7109375" style="23" customWidth="1"/>
    <col min="6659" max="6659" width="12.85546875" style="23" customWidth="1"/>
    <col min="6660" max="6660" width="13.28515625" style="23" customWidth="1"/>
    <col min="6661" max="6661" width="13.7109375" style="23" customWidth="1"/>
    <col min="6662" max="6662" width="10.7109375" style="23" customWidth="1"/>
    <col min="6663" max="6668" width="11.42578125" style="23"/>
    <col min="6669" max="6669" width="14.42578125" style="23" customWidth="1"/>
    <col min="6670" max="6912" width="11.42578125" style="23"/>
    <col min="6913" max="6913" width="15.7109375" style="23" customWidth="1"/>
    <col min="6914" max="6914" width="35.7109375" style="23" customWidth="1"/>
    <col min="6915" max="6915" width="12.85546875" style="23" customWidth="1"/>
    <col min="6916" max="6916" width="13.28515625" style="23" customWidth="1"/>
    <col min="6917" max="6917" width="13.7109375" style="23" customWidth="1"/>
    <col min="6918" max="6918" width="10.7109375" style="23" customWidth="1"/>
    <col min="6919" max="6924" width="11.42578125" style="23"/>
    <col min="6925" max="6925" width="14.42578125" style="23" customWidth="1"/>
    <col min="6926" max="7168" width="11.42578125" style="23"/>
    <col min="7169" max="7169" width="15.7109375" style="23" customWidth="1"/>
    <col min="7170" max="7170" width="35.7109375" style="23" customWidth="1"/>
    <col min="7171" max="7171" width="12.85546875" style="23" customWidth="1"/>
    <col min="7172" max="7172" width="13.28515625" style="23" customWidth="1"/>
    <col min="7173" max="7173" width="13.7109375" style="23" customWidth="1"/>
    <col min="7174" max="7174" width="10.7109375" style="23" customWidth="1"/>
    <col min="7175" max="7180" width="11.42578125" style="23"/>
    <col min="7181" max="7181" width="14.42578125" style="23" customWidth="1"/>
    <col min="7182" max="7424" width="11.42578125" style="23"/>
    <col min="7425" max="7425" width="15.7109375" style="23" customWidth="1"/>
    <col min="7426" max="7426" width="35.7109375" style="23" customWidth="1"/>
    <col min="7427" max="7427" width="12.85546875" style="23" customWidth="1"/>
    <col min="7428" max="7428" width="13.28515625" style="23" customWidth="1"/>
    <col min="7429" max="7429" width="13.7109375" style="23" customWidth="1"/>
    <col min="7430" max="7430" width="10.7109375" style="23" customWidth="1"/>
    <col min="7431" max="7436" width="11.42578125" style="23"/>
    <col min="7437" max="7437" width="14.42578125" style="23" customWidth="1"/>
    <col min="7438" max="7680" width="11.42578125" style="23"/>
    <col min="7681" max="7681" width="15.7109375" style="23" customWidth="1"/>
    <col min="7682" max="7682" width="35.7109375" style="23" customWidth="1"/>
    <col min="7683" max="7683" width="12.85546875" style="23" customWidth="1"/>
    <col min="7684" max="7684" width="13.28515625" style="23" customWidth="1"/>
    <col min="7685" max="7685" width="13.7109375" style="23" customWidth="1"/>
    <col min="7686" max="7686" width="10.7109375" style="23" customWidth="1"/>
    <col min="7687" max="7692" width="11.42578125" style="23"/>
    <col min="7693" max="7693" width="14.42578125" style="23" customWidth="1"/>
    <col min="7694" max="7936" width="11.42578125" style="23"/>
    <col min="7937" max="7937" width="15.7109375" style="23" customWidth="1"/>
    <col min="7938" max="7938" width="35.7109375" style="23" customWidth="1"/>
    <col min="7939" max="7939" width="12.85546875" style="23" customWidth="1"/>
    <col min="7940" max="7940" width="13.28515625" style="23" customWidth="1"/>
    <col min="7941" max="7941" width="13.7109375" style="23" customWidth="1"/>
    <col min="7942" max="7942" width="10.7109375" style="23" customWidth="1"/>
    <col min="7943" max="7948" width="11.42578125" style="23"/>
    <col min="7949" max="7949" width="14.42578125" style="23" customWidth="1"/>
    <col min="7950" max="8192" width="11.42578125" style="23"/>
    <col min="8193" max="8193" width="15.7109375" style="23" customWidth="1"/>
    <col min="8194" max="8194" width="35.7109375" style="23" customWidth="1"/>
    <col min="8195" max="8195" width="12.85546875" style="23" customWidth="1"/>
    <col min="8196" max="8196" width="13.28515625" style="23" customWidth="1"/>
    <col min="8197" max="8197" width="13.7109375" style="23" customWidth="1"/>
    <col min="8198" max="8198" width="10.7109375" style="23" customWidth="1"/>
    <col min="8199" max="8204" width="11.42578125" style="23"/>
    <col min="8205" max="8205" width="14.42578125" style="23" customWidth="1"/>
    <col min="8206" max="8448" width="11.42578125" style="23"/>
    <col min="8449" max="8449" width="15.7109375" style="23" customWidth="1"/>
    <col min="8450" max="8450" width="35.7109375" style="23" customWidth="1"/>
    <col min="8451" max="8451" width="12.85546875" style="23" customWidth="1"/>
    <col min="8452" max="8452" width="13.28515625" style="23" customWidth="1"/>
    <col min="8453" max="8453" width="13.7109375" style="23" customWidth="1"/>
    <col min="8454" max="8454" width="10.7109375" style="23" customWidth="1"/>
    <col min="8455" max="8460" width="11.42578125" style="23"/>
    <col min="8461" max="8461" width="14.42578125" style="23" customWidth="1"/>
    <col min="8462" max="8704" width="11.42578125" style="23"/>
    <col min="8705" max="8705" width="15.7109375" style="23" customWidth="1"/>
    <col min="8706" max="8706" width="35.7109375" style="23" customWidth="1"/>
    <col min="8707" max="8707" width="12.85546875" style="23" customWidth="1"/>
    <col min="8708" max="8708" width="13.28515625" style="23" customWidth="1"/>
    <col min="8709" max="8709" width="13.7109375" style="23" customWidth="1"/>
    <col min="8710" max="8710" width="10.7109375" style="23" customWidth="1"/>
    <col min="8711" max="8716" width="11.42578125" style="23"/>
    <col min="8717" max="8717" width="14.42578125" style="23" customWidth="1"/>
    <col min="8718" max="8960" width="11.42578125" style="23"/>
    <col min="8961" max="8961" width="15.7109375" style="23" customWidth="1"/>
    <col min="8962" max="8962" width="35.7109375" style="23" customWidth="1"/>
    <col min="8963" max="8963" width="12.85546875" style="23" customWidth="1"/>
    <col min="8964" max="8964" width="13.28515625" style="23" customWidth="1"/>
    <col min="8965" max="8965" width="13.7109375" style="23" customWidth="1"/>
    <col min="8966" max="8966" width="10.7109375" style="23" customWidth="1"/>
    <col min="8967" max="8972" width="11.42578125" style="23"/>
    <col min="8973" max="8973" width="14.42578125" style="23" customWidth="1"/>
    <col min="8974" max="9216" width="11.42578125" style="23"/>
    <col min="9217" max="9217" width="15.7109375" style="23" customWidth="1"/>
    <col min="9218" max="9218" width="35.7109375" style="23" customWidth="1"/>
    <col min="9219" max="9219" width="12.85546875" style="23" customWidth="1"/>
    <col min="9220" max="9220" width="13.28515625" style="23" customWidth="1"/>
    <col min="9221" max="9221" width="13.7109375" style="23" customWidth="1"/>
    <col min="9222" max="9222" width="10.7109375" style="23" customWidth="1"/>
    <col min="9223" max="9228" width="11.42578125" style="23"/>
    <col min="9229" max="9229" width="14.42578125" style="23" customWidth="1"/>
    <col min="9230" max="9472" width="11.42578125" style="23"/>
    <col min="9473" max="9473" width="15.7109375" style="23" customWidth="1"/>
    <col min="9474" max="9474" width="35.7109375" style="23" customWidth="1"/>
    <col min="9475" max="9475" width="12.85546875" style="23" customWidth="1"/>
    <col min="9476" max="9476" width="13.28515625" style="23" customWidth="1"/>
    <col min="9477" max="9477" width="13.7109375" style="23" customWidth="1"/>
    <col min="9478" max="9478" width="10.7109375" style="23" customWidth="1"/>
    <col min="9479" max="9484" width="11.42578125" style="23"/>
    <col min="9485" max="9485" width="14.42578125" style="23" customWidth="1"/>
    <col min="9486" max="9728" width="11.42578125" style="23"/>
    <col min="9729" max="9729" width="15.7109375" style="23" customWidth="1"/>
    <col min="9730" max="9730" width="35.7109375" style="23" customWidth="1"/>
    <col min="9731" max="9731" width="12.85546875" style="23" customWidth="1"/>
    <col min="9732" max="9732" width="13.28515625" style="23" customWidth="1"/>
    <col min="9733" max="9733" width="13.7109375" style="23" customWidth="1"/>
    <col min="9734" max="9734" width="10.7109375" style="23" customWidth="1"/>
    <col min="9735" max="9740" width="11.42578125" style="23"/>
    <col min="9741" max="9741" width="14.42578125" style="23" customWidth="1"/>
    <col min="9742" max="9984" width="11.42578125" style="23"/>
    <col min="9985" max="9985" width="15.7109375" style="23" customWidth="1"/>
    <col min="9986" max="9986" width="35.7109375" style="23" customWidth="1"/>
    <col min="9987" max="9987" width="12.85546875" style="23" customWidth="1"/>
    <col min="9988" max="9988" width="13.28515625" style="23" customWidth="1"/>
    <col min="9989" max="9989" width="13.7109375" style="23" customWidth="1"/>
    <col min="9990" max="9990" width="10.7109375" style="23" customWidth="1"/>
    <col min="9991" max="9996" width="11.42578125" style="23"/>
    <col min="9997" max="9997" width="14.42578125" style="23" customWidth="1"/>
    <col min="9998" max="10240" width="11.42578125" style="23"/>
    <col min="10241" max="10241" width="15.7109375" style="23" customWidth="1"/>
    <col min="10242" max="10242" width="35.7109375" style="23" customWidth="1"/>
    <col min="10243" max="10243" width="12.85546875" style="23" customWidth="1"/>
    <col min="10244" max="10244" width="13.28515625" style="23" customWidth="1"/>
    <col min="10245" max="10245" width="13.7109375" style="23" customWidth="1"/>
    <col min="10246" max="10246" width="10.7109375" style="23" customWidth="1"/>
    <col min="10247" max="10252" width="11.42578125" style="23"/>
    <col min="10253" max="10253" width="14.42578125" style="23" customWidth="1"/>
    <col min="10254" max="10496" width="11.42578125" style="23"/>
    <col min="10497" max="10497" width="15.7109375" style="23" customWidth="1"/>
    <col min="10498" max="10498" width="35.7109375" style="23" customWidth="1"/>
    <col min="10499" max="10499" width="12.85546875" style="23" customWidth="1"/>
    <col min="10500" max="10500" width="13.28515625" style="23" customWidth="1"/>
    <col min="10501" max="10501" width="13.7109375" style="23" customWidth="1"/>
    <col min="10502" max="10502" width="10.7109375" style="23" customWidth="1"/>
    <col min="10503" max="10508" width="11.42578125" style="23"/>
    <col min="10509" max="10509" width="14.42578125" style="23" customWidth="1"/>
    <col min="10510" max="10752" width="11.42578125" style="23"/>
    <col min="10753" max="10753" width="15.7109375" style="23" customWidth="1"/>
    <col min="10754" max="10754" width="35.7109375" style="23" customWidth="1"/>
    <col min="10755" max="10755" width="12.85546875" style="23" customWidth="1"/>
    <col min="10756" max="10756" width="13.28515625" style="23" customWidth="1"/>
    <col min="10757" max="10757" width="13.7109375" style="23" customWidth="1"/>
    <col min="10758" max="10758" width="10.7109375" style="23" customWidth="1"/>
    <col min="10759" max="10764" width="11.42578125" style="23"/>
    <col min="10765" max="10765" width="14.42578125" style="23" customWidth="1"/>
    <col min="10766" max="11008" width="11.42578125" style="23"/>
    <col min="11009" max="11009" width="15.7109375" style="23" customWidth="1"/>
    <col min="11010" max="11010" width="35.7109375" style="23" customWidth="1"/>
    <col min="11011" max="11011" width="12.85546875" style="23" customWidth="1"/>
    <col min="11012" max="11012" width="13.28515625" style="23" customWidth="1"/>
    <col min="11013" max="11013" width="13.7109375" style="23" customWidth="1"/>
    <col min="11014" max="11014" width="10.7109375" style="23" customWidth="1"/>
    <col min="11015" max="11020" width="11.42578125" style="23"/>
    <col min="11021" max="11021" width="14.42578125" style="23" customWidth="1"/>
    <col min="11022" max="11264" width="11.42578125" style="23"/>
    <col min="11265" max="11265" width="15.7109375" style="23" customWidth="1"/>
    <col min="11266" max="11266" width="35.7109375" style="23" customWidth="1"/>
    <col min="11267" max="11267" width="12.85546875" style="23" customWidth="1"/>
    <col min="11268" max="11268" width="13.28515625" style="23" customWidth="1"/>
    <col min="11269" max="11269" width="13.7109375" style="23" customWidth="1"/>
    <col min="11270" max="11270" width="10.7109375" style="23" customWidth="1"/>
    <col min="11271" max="11276" width="11.42578125" style="23"/>
    <col min="11277" max="11277" width="14.42578125" style="23" customWidth="1"/>
    <col min="11278" max="11520" width="11.42578125" style="23"/>
    <col min="11521" max="11521" width="15.7109375" style="23" customWidth="1"/>
    <col min="11522" max="11522" width="35.7109375" style="23" customWidth="1"/>
    <col min="11523" max="11523" width="12.85546875" style="23" customWidth="1"/>
    <col min="11524" max="11524" width="13.28515625" style="23" customWidth="1"/>
    <col min="11525" max="11525" width="13.7109375" style="23" customWidth="1"/>
    <col min="11526" max="11526" width="10.7109375" style="23" customWidth="1"/>
    <col min="11527" max="11532" width="11.42578125" style="23"/>
    <col min="11533" max="11533" width="14.42578125" style="23" customWidth="1"/>
    <col min="11534" max="11776" width="11.42578125" style="23"/>
    <col min="11777" max="11777" width="15.7109375" style="23" customWidth="1"/>
    <col min="11778" max="11778" width="35.7109375" style="23" customWidth="1"/>
    <col min="11779" max="11779" width="12.85546875" style="23" customWidth="1"/>
    <col min="11780" max="11780" width="13.28515625" style="23" customWidth="1"/>
    <col min="11781" max="11781" width="13.7109375" style="23" customWidth="1"/>
    <col min="11782" max="11782" width="10.7109375" style="23" customWidth="1"/>
    <col min="11783" max="11788" width="11.42578125" style="23"/>
    <col min="11789" max="11789" width="14.42578125" style="23" customWidth="1"/>
    <col min="11790" max="12032" width="11.42578125" style="23"/>
    <col min="12033" max="12033" width="15.7109375" style="23" customWidth="1"/>
    <col min="12034" max="12034" width="35.7109375" style="23" customWidth="1"/>
    <col min="12035" max="12035" width="12.85546875" style="23" customWidth="1"/>
    <col min="12036" max="12036" width="13.28515625" style="23" customWidth="1"/>
    <col min="12037" max="12037" width="13.7109375" style="23" customWidth="1"/>
    <col min="12038" max="12038" width="10.7109375" style="23" customWidth="1"/>
    <col min="12039" max="12044" width="11.42578125" style="23"/>
    <col min="12045" max="12045" width="14.42578125" style="23" customWidth="1"/>
    <col min="12046" max="12288" width="11.42578125" style="23"/>
    <col min="12289" max="12289" width="15.7109375" style="23" customWidth="1"/>
    <col min="12290" max="12290" width="35.7109375" style="23" customWidth="1"/>
    <col min="12291" max="12291" width="12.85546875" style="23" customWidth="1"/>
    <col min="12292" max="12292" width="13.28515625" style="23" customWidth="1"/>
    <col min="12293" max="12293" width="13.7109375" style="23" customWidth="1"/>
    <col min="12294" max="12294" width="10.7109375" style="23" customWidth="1"/>
    <col min="12295" max="12300" width="11.42578125" style="23"/>
    <col min="12301" max="12301" width="14.42578125" style="23" customWidth="1"/>
    <col min="12302" max="12544" width="11.42578125" style="23"/>
    <col min="12545" max="12545" width="15.7109375" style="23" customWidth="1"/>
    <col min="12546" max="12546" width="35.7109375" style="23" customWidth="1"/>
    <col min="12547" max="12547" width="12.85546875" style="23" customWidth="1"/>
    <col min="12548" max="12548" width="13.28515625" style="23" customWidth="1"/>
    <col min="12549" max="12549" width="13.7109375" style="23" customWidth="1"/>
    <col min="12550" max="12550" width="10.7109375" style="23" customWidth="1"/>
    <col min="12551" max="12556" width="11.42578125" style="23"/>
    <col min="12557" max="12557" width="14.42578125" style="23" customWidth="1"/>
    <col min="12558" max="12800" width="11.42578125" style="23"/>
    <col min="12801" max="12801" width="15.7109375" style="23" customWidth="1"/>
    <col min="12802" max="12802" width="35.7109375" style="23" customWidth="1"/>
    <col min="12803" max="12803" width="12.85546875" style="23" customWidth="1"/>
    <col min="12804" max="12804" width="13.28515625" style="23" customWidth="1"/>
    <col min="12805" max="12805" width="13.7109375" style="23" customWidth="1"/>
    <col min="12806" max="12806" width="10.7109375" style="23" customWidth="1"/>
    <col min="12807" max="12812" width="11.42578125" style="23"/>
    <col min="12813" max="12813" width="14.42578125" style="23" customWidth="1"/>
    <col min="12814" max="13056" width="11.42578125" style="23"/>
    <col min="13057" max="13057" width="15.7109375" style="23" customWidth="1"/>
    <col min="13058" max="13058" width="35.7109375" style="23" customWidth="1"/>
    <col min="13059" max="13059" width="12.85546875" style="23" customWidth="1"/>
    <col min="13060" max="13060" width="13.28515625" style="23" customWidth="1"/>
    <col min="13061" max="13061" width="13.7109375" style="23" customWidth="1"/>
    <col min="13062" max="13062" width="10.7109375" style="23" customWidth="1"/>
    <col min="13063" max="13068" width="11.42578125" style="23"/>
    <col min="13069" max="13069" width="14.42578125" style="23" customWidth="1"/>
    <col min="13070" max="13312" width="11.42578125" style="23"/>
    <col min="13313" max="13313" width="15.7109375" style="23" customWidth="1"/>
    <col min="13314" max="13314" width="35.7109375" style="23" customWidth="1"/>
    <col min="13315" max="13315" width="12.85546875" style="23" customWidth="1"/>
    <col min="13316" max="13316" width="13.28515625" style="23" customWidth="1"/>
    <col min="13317" max="13317" width="13.7109375" style="23" customWidth="1"/>
    <col min="13318" max="13318" width="10.7109375" style="23" customWidth="1"/>
    <col min="13319" max="13324" width="11.42578125" style="23"/>
    <col min="13325" max="13325" width="14.42578125" style="23" customWidth="1"/>
    <col min="13326" max="13568" width="11.42578125" style="23"/>
    <col min="13569" max="13569" width="15.7109375" style="23" customWidth="1"/>
    <col min="13570" max="13570" width="35.7109375" style="23" customWidth="1"/>
    <col min="13571" max="13571" width="12.85546875" style="23" customWidth="1"/>
    <col min="13572" max="13572" width="13.28515625" style="23" customWidth="1"/>
    <col min="13573" max="13573" width="13.7109375" style="23" customWidth="1"/>
    <col min="13574" max="13574" width="10.7109375" style="23" customWidth="1"/>
    <col min="13575" max="13580" width="11.42578125" style="23"/>
    <col min="13581" max="13581" width="14.42578125" style="23" customWidth="1"/>
    <col min="13582" max="13824" width="11.42578125" style="23"/>
    <col min="13825" max="13825" width="15.7109375" style="23" customWidth="1"/>
    <col min="13826" max="13826" width="35.7109375" style="23" customWidth="1"/>
    <col min="13827" max="13827" width="12.85546875" style="23" customWidth="1"/>
    <col min="13828" max="13828" width="13.28515625" style="23" customWidth="1"/>
    <col min="13829" max="13829" width="13.7109375" style="23" customWidth="1"/>
    <col min="13830" max="13830" width="10.7109375" style="23" customWidth="1"/>
    <col min="13831" max="13836" width="11.42578125" style="23"/>
    <col min="13837" max="13837" width="14.42578125" style="23" customWidth="1"/>
    <col min="13838" max="14080" width="11.42578125" style="23"/>
    <col min="14081" max="14081" width="15.7109375" style="23" customWidth="1"/>
    <col min="14082" max="14082" width="35.7109375" style="23" customWidth="1"/>
    <col min="14083" max="14083" width="12.85546875" style="23" customWidth="1"/>
    <col min="14084" max="14084" width="13.28515625" style="23" customWidth="1"/>
    <col min="14085" max="14085" width="13.7109375" style="23" customWidth="1"/>
    <col min="14086" max="14086" width="10.7109375" style="23" customWidth="1"/>
    <col min="14087" max="14092" width="11.42578125" style="23"/>
    <col min="14093" max="14093" width="14.42578125" style="23" customWidth="1"/>
    <col min="14094" max="14336" width="11.42578125" style="23"/>
    <col min="14337" max="14337" width="15.7109375" style="23" customWidth="1"/>
    <col min="14338" max="14338" width="35.7109375" style="23" customWidth="1"/>
    <col min="14339" max="14339" width="12.85546875" style="23" customWidth="1"/>
    <col min="14340" max="14340" width="13.28515625" style="23" customWidth="1"/>
    <col min="14341" max="14341" width="13.7109375" style="23" customWidth="1"/>
    <col min="14342" max="14342" width="10.7109375" style="23" customWidth="1"/>
    <col min="14343" max="14348" width="11.42578125" style="23"/>
    <col min="14349" max="14349" width="14.42578125" style="23" customWidth="1"/>
    <col min="14350" max="14592" width="11.42578125" style="23"/>
    <col min="14593" max="14593" width="15.7109375" style="23" customWidth="1"/>
    <col min="14594" max="14594" width="35.7109375" style="23" customWidth="1"/>
    <col min="14595" max="14595" width="12.85546875" style="23" customWidth="1"/>
    <col min="14596" max="14596" width="13.28515625" style="23" customWidth="1"/>
    <col min="14597" max="14597" width="13.7109375" style="23" customWidth="1"/>
    <col min="14598" max="14598" width="10.7109375" style="23" customWidth="1"/>
    <col min="14599" max="14604" width="11.42578125" style="23"/>
    <col min="14605" max="14605" width="14.42578125" style="23" customWidth="1"/>
    <col min="14606" max="14848" width="11.42578125" style="23"/>
    <col min="14849" max="14849" width="15.7109375" style="23" customWidth="1"/>
    <col min="14850" max="14850" width="35.7109375" style="23" customWidth="1"/>
    <col min="14851" max="14851" width="12.85546875" style="23" customWidth="1"/>
    <col min="14852" max="14852" width="13.28515625" style="23" customWidth="1"/>
    <col min="14853" max="14853" width="13.7109375" style="23" customWidth="1"/>
    <col min="14854" max="14854" width="10.7109375" style="23" customWidth="1"/>
    <col min="14855" max="14860" width="11.42578125" style="23"/>
    <col min="14861" max="14861" width="14.42578125" style="23" customWidth="1"/>
    <col min="14862" max="15104" width="11.42578125" style="23"/>
    <col min="15105" max="15105" width="15.7109375" style="23" customWidth="1"/>
    <col min="15106" max="15106" width="35.7109375" style="23" customWidth="1"/>
    <col min="15107" max="15107" width="12.85546875" style="23" customWidth="1"/>
    <col min="15108" max="15108" width="13.28515625" style="23" customWidth="1"/>
    <col min="15109" max="15109" width="13.7109375" style="23" customWidth="1"/>
    <col min="15110" max="15110" width="10.7109375" style="23" customWidth="1"/>
    <col min="15111" max="15116" width="11.42578125" style="23"/>
    <col min="15117" max="15117" width="14.42578125" style="23" customWidth="1"/>
    <col min="15118" max="15360" width="11.42578125" style="23"/>
    <col min="15361" max="15361" width="15.7109375" style="23" customWidth="1"/>
    <col min="15362" max="15362" width="35.7109375" style="23" customWidth="1"/>
    <col min="15363" max="15363" width="12.85546875" style="23" customWidth="1"/>
    <col min="15364" max="15364" width="13.28515625" style="23" customWidth="1"/>
    <col min="15365" max="15365" width="13.7109375" style="23" customWidth="1"/>
    <col min="15366" max="15366" width="10.7109375" style="23" customWidth="1"/>
    <col min="15367" max="15372" width="11.42578125" style="23"/>
    <col min="15373" max="15373" width="14.42578125" style="23" customWidth="1"/>
    <col min="15374" max="15616" width="11.42578125" style="23"/>
    <col min="15617" max="15617" width="15.7109375" style="23" customWidth="1"/>
    <col min="15618" max="15618" width="35.7109375" style="23" customWidth="1"/>
    <col min="15619" max="15619" width="12.85546875" style="23" customWidth="1"/>
    <col min="15620" max="15620" width="13.28515625" style="23" customWidth="1"/>
    <col min="15621" max="15621" width="13.7109375" style="23" customWidth="1"/>
    <col min="15622" max="15622" width="10.7109375" style="23" customWidth="1"/>
    <col min="15623" max="15628" width="11.42578125" style="23"/>
    <col min="15629" max="15629" width="14.42578125" style="23" customWidth="1"/>
    <col min="15630" max="15872" width="11.42578125" style="23"/>
    <col min="15873" max="15873" width="15.7109375" style="23" customWidth="1"/>
    <col min="15874" max="15874" width="35.7109375" style="23" customWidth="1"/>
    <col min="15875" max="15875" width="12.85546875" style="23" customWidth="1"/>
    <col min="15876" max="15876" width="13.28515625" style="23" customWidth="1"/>
    <col min="15877" max="15877" width="13.7109375" style="23" customWidth="1"/>
    <col min="15878" max="15878" width="10.7109375" style="23" customWidth="1"/>
    <col min="15879" max="15884" width="11.42578125" style="23"/>
    <col min="15885" max="15885" width="14.42578125" style="23" customWidth="1"/>
    <col min="15886" max="16128" width="11.42578125" style="23"/>
    <col min="16129" max="16129" width="15.7109375" style="23" customWidth="1"/>
    <col min="16130" max="16130" width="35.7109375" style="23" customWidth="1"/>
    <col min="16131" max="16131" width="12.85546875" style="23" customWidth="1"/>
    <col min="16132" max="16132" width="13.28515625" style="23" customWidth="1"/>
    <col min="16133" max="16133" width="13.7109375" style="23" customWidth="1"/>
    <col min="16134" max="16134" width="10.7109375" style="23" customWidth="1"/>
    <col min="16135" max="16140" width="11.42578125" style="23"/>
    <col min="16141" max="16141" width="14.42578125" style="23" customWidth="1"/>
    <col min="16142" max="16384" width="11.42578125" style="23"/>
  </cols>
  <sheetData>
    <row r="5" spans="2:7" ht="25.5" customHeight="1"/>
    <row r="6" spans="2:7" ht="30" customHeight="1">
      <c r="B6" s="403" t="s">
        <v>280</v>
      </c>
      <c r="C6" s="404"/>
      <c r="D6" s="404"/>
      <c r="E6" s="405"/>
    </row>
    <row r="7" spans="2:7" ht="38.25" customHeight="1">
      <c r="B7" s="30" t="s">
        <v>237</v>
      </c>
      <c r="C7" s="222" t="str">
        <f>actualizaciones!A3</f>
        <v>acumulado julio 2009</v>
      </c>
      <c r="D7" s="222" t="str">
        <f>actualizaciones!A2</f>
        <v xml:space="preserve">acumulado julio 2010 </v>
      </c>
      <c r="E7" s="351" t="s">
        <v>274</v>
      </c>
    </row>
    <row r="8" spans="2:7" ht="15" customHeight="1">
      <c r="B8" s="98" t="s">
        <v>238</v>
      </c>
      <c r="C8" s="99"/>
      <c r="D8" s="107"/>
      <c r="E8" s="326"/>
      <c r="G8" s="2"/>
    </row>
    <row r="9" spans="2:7">
      <c r="B9" s="33" t="s">
        <v>275</v>
      </c>
      <c r="C9" s="396">
        <f>'[1]tabla dinámica municipios'!$K$379</f>
        <v>2.3460685441687241</v>
      </c>
      <c r="D9" s="396">
        <f>'[1]tabla dinámica municipios'!$U$379</f>
        <v>2.0865799000172385</v>
      </c>
      <c r="E9" s="406">
        <f>D9-C9</f>
        <v>-0.25948864415148565</v>
      </c>
    </row>
    <row r="10" spans="2:7" ht="15" customHeight="1">
      <c r="B10" s="98" t="s">
        <v>240</v>
      </c>
      <c r="C10" s="377"/>
      <c r="D10" s="377"/>
      <c r="E10" s="326"/>
    </row>
    <row r="11" spans="2:7">
      <c r="B11" s="109" t="s">
        <v>241</v>
      </c>
      <c r="C11" s="347">
        <f>'[1]tabla dinámica municipios'!$J$379</f>
        <v>2.3460685441687241</v>
      </c>
      <c r="D11" s="347">
        <f>'[1]tabla dinámica municipios'!$T$379</f>
        <v>2.0865799000172385</v>
      </c>
      <c r="E11" s="407">
        <f>D11-C11</f>
        <v>-0.25948864415148565</v>
      </c>
    </row>
    <row r="12" spans="2:7">
      <c r="B12" s="109" t="s">
        <v>229</v>
      </c>
      <c r="C12" s="347">
        <f>'[1]tabla dinámica municipios'!$G$379</f>
        <v>2.2300482640510664</v>
      </c>
      <c r="D12" s="347">
        <f>'[1]tabla dinámica municipios'!$Q$379</f>
        <v>1.8100312448610425</v>
      </c>
      <c r="E12" s="407">
        <f>D12-C12</f>
        <v>-0.42001701919002388</v>
      </c>
    </row>
    <row r="13" spans="2:7">
      <c r="B13" s="109" t="s">
        <v>228</v>
      </c>
      <c r="C13" s="347">
        <f>'[1]tabla dinámica municipios'!$E$379</f>
        <v>2.1653896961690884</v>
      </c>
      <c r="D13" s="347">
        <f>'[1]tabla dinámica municipios'!$O$379</f>
        <v>2.1225036179450072</v>
      </c>
      <c r="E13" s="407">
        <f>D13-C13</f>
        <v>-4.2886078224081192E-2</v>
      </c>
    </row>
    <row r="14" spans="2:7">
      <c r="B14" s="109" t="s">
        <v>227</v>
      </c>
      <c r="C14" s="347">
        <f>'[1]tabla dinámica municipios'!$D$379</f>
        <v>2.5075981777674325</v>
      </c>
      <c r="D14" s="347">
        <f>'[1]tabla dinámica municipios'!$N$379</f>
        <v>2.071387855011233</v>
      </c>
      <c r="E14" s="407">
        <f>D14-C14</f>
        <v>-0.43621032275619953</v>
      </c>
    </row>
    <row r="15" spans="2:7">
      <c r="B15" s="109" t="s">
        <v>226</v>
      </c>
      <c r="C15" s="347">
        <f>'[1]tabla dinámica municipios'!$B$379</f>
        <v>2.8754525706010137</v>
      </c>
      <c r="D15" s="347">
        <f>'[1]tabla dinámica municipios'!$L$379</f>
        <v>3.6768391269199676</v>
      </c>
      <c r="E15" s="407">
        <f>D15-C15</f>
        <v>0.80138655631895395</v>
      </c>
    </row>
    <row r="16" spans="2:7" ht="15" customHeight="1">
      <c r="B16" s="98" t="s">
        <v>242</v>
      </c>
      <c r="C16" s="377"/>
      <c r="D16" s="377"/>
      <c r="E16" s="326"/>
    </row>
    <row r="17" spans="2:12">
      <c r="B17" s="334" t="s">
        <v>243</v>
      </c>
      <c r="C17" s="380" t="s">
        <v>32</v>
      </c>
      <c r="D17" s="380" t="s">
        <v>32</v>
      </c>
      <c r="E17" s="408" t="str">
        <f>IFERROR(D17-C17,"-")</f>
        <v>-</v>
      </c>
    </row>
    <row r="18" spans="2:12">
      <c r="B18" s="42" t="s">
        <v>281</v>
      </c>
      <c r="C18" s="43"/>
      <c r="D18" s="43"/>
      <c r="E18" s="349"/>
    </row>
    <row r="19" spans="2:12" ht="15" customHeight="1" thickBot="1"/>
    <row r="20" spans="2:12" ht="30" customHeight="1" thickBot="1">
      <c r="E20" s="60" t="s">
        <v>50</v>
      </c>
    </row>
    <row r="27" spans="2:12"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</row>
  </sheetData>
  <mergeCells count="1">
    <mergeCell ref="B6:E6"/>
  </mergeCells>
  <hyperlinks>
    <hyperlink ref="E20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12"/>
      <c r="C28" s="12"/>
      <c r="D28" s="12"/>
      <c r="E28" s="12"/>
      <c r="F28" s="12"/>
      <c r="G28" s="12"/>
      <c r="H28" s="12"/>
      <c r="I28" s="60" t="s">
        <v>52</v>
      </c>
      <c r="J28" s="12"/>
      <c r="K28" s="12"/>
      <c r="L28" s="1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C2:F58"/>
  <sheetViews>
    <sheetView showGridLines="0" showRowColHeaders="0" zoomScaleNormal="100" workbookViewId="0">
      <selection activeCell="I13" sqref="I13"/>
    </sheetView>
  </sheetViews>
  <sheetFormatPr baseColWidth="10" defaultRowHeight="15" outlineLevelRow="1"/>
  <cols>
    <col min="1" max="1" width="14.42578125" customWidth="1"/>
    <col min="4" max="6" width="14.42578125" customWidth="1"/>
  </cols>
  <sheetData>
    <row r="2" spans="3:6" ht="43.5" customHeight="1"/>
    <row r="3" spans="3:6" ht="41.25" customHeight="1">
      <c r="C3" s="47" t="s">
        <v>53</v>
      </c>
      <c r="D3" s="47"/>
      <c r="E3" s="47"/>
      <c r="F3" s="47"/>
    </row>
    <row r="4" spans="3:6" ht="15" customHeight="1">
      <c r="C4" s="64"/>
      <c r="D4" s="65" t="s">
        <v>54</v>
      </c>
      <c r="E4" s="65" t="s">
        <v>36</v>
      </c>
      <c r="F4" s="65" t="s">
        <v>37</v>
      </c>
    </row>
    <row r="5" spans="3:6">
      <c r="C5" s="66"/>
      <c r="D5" s="67"/>
      <c r="E5" s="67"/>
      <c r="F5" s="67"/>
    </row>
    <row r="6" spans="3:6" hidden="1">
      <c r="C6" s="51" t="s">
        <v>38</v>
      </c>
      <c r="D6" s="68" t="str">
        <f>IFERROR('tab. Turistas alojados tip'!D5/'tab. Turistas alojados tip'!D18-1,"-")</f>
        <v>-</v>
      </c>
      <c r="E6" s="68" t="str">
        <f>IFERROR('tab. Turistas alojados tip'!E5/'tab. Turistas alojados tip'!E18-1,"-")</f>
        <v>-</v>
      </c>
      <c r="F6" s="68" t="str">
        <f>IFERROR('tab. Turistas alojados tip'!F5/'tab. Turistas alojados tip'!F18-1,"-")</f>
        <v>-</v>
      </c>
    </row>
    <row r="7" spans="3:6" hidden="1">
      <c r="C7" s="51" t="s">
        <v>39</v>
      </c>
      <c r="D7" s="68" t="str">
        <f>IFERROR('tab. Turistas alojados tip'!D6/'tab. Turistas alojados tip'!D19-1,"-")</f>
        <v>-</v>
      </c>
      <c r="E7" s="68" t="str">
        <f>IFERROR('tab. Turistas alojados tip'!E6/'tab. Turistas alojados tip'!E19-1,"-")</f>
        <v>-</v>
      </c>
      <c r="F7" s="68" t="str">
        <f>IFERROR('tab. Turistas alojados tip'!F6/'tab. Turistas alojados tip'!F19-1,"-")</f>
        <v>-</v>
      </c>
    </row>
    <row r="8" spans="3:6" hidden="1">
      <c r="C8" s="51" t="s">
        <v>40</v>
      </c>
      <c r="D8" s="68" t="str">
        <f>IFERROR('tab. Turistas alojados tip'!D7/'tab. Turistas alojados tip'!D20-1,"-")</f>
        <v>-</v>
      </c>
      <c r="E8" s="68" t="str">
        <f>IFERROR('tab. Turistas alojados tip'!E7/'tab. Turistas alojados tip'!E20-1,"-")</f>
        <v>-</v>
      </c>
      <c r="F8" s="68" t="str">
        <f>IFERROR('tab. Turistas alojados tip'!F7/'tab. Turistas alojados tip'!F20-1,"-")</f>
        <v>-</v>
      </c>
    </row>
    <row r="9" spans="3:6" hidden="1">
      <c r="C9" s="51" t="s">
        <v>41</v>
      </c>
      <c r="D9" s="68" t="str">
        <f>IFERROR('tab. Turistas alojados tip'!D8/'tab. Turistas alojados tip'!D21-1,"-")</f>
        <v>-</v>
      </c>
      <c r="E9" s="68" t="str">
        <f>IFERROR('tab. Turistas alojados tip'!E8/'tab. Turistas alojados tip'!E21-1,"-")</f>
        <v>-</v>
      </c>
      <c r="F9" s="68" t="str">
        <f>IFERROR('tab. Turistas alojados tip'!F8/'tab. Turistas alojados tip'!F21-1,"-")</f>
        <v>-</v>
      </c>
    </row>
    <row r="10" spans="3:6" hidden="1">
      <c r="C10" s="51" t="s">
        <v>42</v>
      </c>
      <c r="D10" s="68" t="str">
        <f>IFERROR('tab. Turistas alojados tip'!D9/'tab. Turistas alojados tip'!D22-1,"-")</f>
        <v>-</v>
      </c>
      <c r="E10" s="68" t="str">
        <f>IFERROR('tab. Turistas alojados tip'!E9/'tab. Turistas alojados tip'!E22-1,"-")</f>
        <v>-</v>
      </c>
      <c r="F10" s="68" t="str">
        <f>IFERROR('tab. Turistas alojados tip'!F9/'tab. Turistas alojados tip'!F22-1,"-")</f>
        <v>-</v>
      </c>
    </row>
    <row r="11" spans="3:6">
      <c r="C11" s="51" t="s">
        <v>43</v>
      </c>
      <c r="D11" s="68">
        <f>IFERROR('tab. Turistas alojados tip'!D10/'tab. Turistas alojados tip'!D23-1,"-")</f>
        <v>-0.10756938603868793</v>
      </c>
      <c r="E11" s="68" t="str">
        <f>IFERROR('tab. Turistas alojados tip'!E10/'tab. Turistas alojados tip'!E23-1,"-")</f>
        <v>-</v>
      </c>
      <c r="F11" s="68">
        <f>IFERROR('tab. Turistas alojados tip'!F10/'tab. Turistas alojados tip'!F23-1,"-")</f>
        <v>-0.10756938603868793</v>
      </c>
    </row>
    <row r="12" spans="3:6">
      <c r="C12" s="51" t="s">
        <v>44</v>
      </c>
      <c r="D12" s="68">
        <f>IFERROR('tab. Turistas alojados tip'!D11/'tab. Turistas alojados tip'!D24-1,"-")</f>
        <v>-5.3333333333333011E-3</v>
      </c>
      <c r="E12" s="68" t="str">
        <f>IFERROR('tab. Turistas alojados tip'!E11/'tab. Turistas alojados tip'!E24-1,"-")</f>
        <v>-</v>
      </c>
      <c r="F12" s="68">
        <f>IFERROR('tab. Turistas alojados tip'!F11/'tab. Turistas alojados tip'!F24-1,"-")</f>
        <v>-5.3333333333333011E-3</v>
      </c>
    </row>
    <row r="13" spans="3:6">
      <c r="C13" s="51" t="s">
        <v>45</v>
      </c>
      <c r="D13" s="68">
        <f>IFERROR('tab. Turistas alojados tip'!D12/'tab. Turistas alojados tip'!D25-1,"-")</f>
        <v>-7.918955024491614E-2</v>
      </c>
      <c r="E13" s="68" t="str">
        <f>IFERROR('tab. Turistas alojados tip'!E12/'tab. Turistas alojados tip'!E25-1,"-")</f>
        <v>-</v>
      </c>
      <c r="F13" s="68">
        <f>IFERROR('tab. Turistas alojados tip'!F12/'tab. Turistas alojados tip'!F25-1,"-")</f>
        <v>-7.918955024491614E-2</v>
      </c>
    </row>
    <row r="14" spans="3:6">
      <c r="C14" s="51" t="s">
        <v>46</v>
      </c>
      <c r="D14" s="68">
        <f>IFERROR('tab. Turistas alojados tip'!D13/'tab. Turistas alojados tip'!D26-1,"-")</f>
        <v>-3.7005887300252338E-2</v>
      </c>
      <c r="E14" s="68" t="str">
        <f>IFERROR('tab. Turistas alojados tip'!E13/'tab. Turistas alojados tip'!E26-1,"-")</f>
        <v>-</v>
      </c>
      <c r="F14" s="68">
        <f>IFERROR('tab. Turistas alojados tip'!F13/'tab. Turistas alojados tip'!F26-1,"-")</f>
        <v>-3.7005887300252338E-2</v>
      </c>
    </row>
    <row r="15" spans="3:6">
      <c r="C15" s="51" t="s">
        <v>47</v>
      </c>
      <c r="D15" s="68">
        <f>IFERROR('tab. Turistas alojados tip'!D14/'tab. Turistas alojados tip'!D27-1,"-")</f>
        <v>-6.8932473008369022E-2</v>
      </c>
      <c r="E15" s="68" t="str">
        <f>IFERROR('tab. Turistas alojados tip'!E14/'tab. Turistas alojados tip'!E27-1,"-")</f>
        <v>-</v>
      </c>
      <c r="F15" s="68">
        <f>IFERROR('tab. Turistas alojados tip'!F14/'tab. Turistas alojados tip'!F27-1,"-")</f>
        <v>-6.8932473008369022E-2</v>
      </c>
    </row>
    <row r="16" spans="3:6">
      <c r="C16" s="51" t="s">
        <v>48</v>
      </c>
      <c r="D16" s="68">
        <f>IFERROR('tab. Turistas alojados tip'!D15/'tab. Turistas alojados tip'!D28-1,"-")</f>
        <v>0.10460058001581851</v>
      </c>
      <c r="E16" s="68" t="str">
        <f>IFERROR('tab. Turistas alojados tip'!E15/'tab. Turistas alojados tip'!E28-1,"-")</f>
        <v>-</v>
      </c>
      <c r="F16" s="68">
        <f>IFERROR('tab. Turistas alojados tip'!F15/'tab. Turistas alojados tip'!F28-1,"-")</f>
        <v>0.10460058001581851</v>
      </c>
    </row>
    <row r="17" spans="3:6">
      <c r="C17" s="51" t="s">
        <v>49</v>
      </c>
      <c r="D17" s="68">
        <f>IFERROR('tab. Turistas alojados tip'!D16/'tab. Turistas alojados tip'!D29-1,"-")</f>
        <v>-2.8150331613854052E-2</v>
      </c>
      <c r="E17" s="68" t="str">
        <f>IFERROR('tab. Turistas alojados tip'!E16/'tab. Turistas alojados tip'!E29-1,"-")</f>
        <v>-</v>
      </c>
      <c r="F17" s="68">
        <f>IFERROR('tab. Turistas alojados tip'!F16/'tab. Turistas alojados tip'!F29-1,"-")</f>
        <v>-2.8150331613854052E-2</v>
      </c>
    </row>
    <row r="18" spans="3:6" ht="30">
      <c r="C18" s="69" t="s">
        <v>55</v>
      </c>
      <c r="D18" s="70">
        <f>IFERROR(('tab. Turistas alojados tip'!D14+'tab. Turistas alojados tip'!D15+'tab. Turistas alojados tip'!D16+'tab. Turistas alojados tip'!D13+'tab. Turistas alojados tip'!D12+'tab. Turistas alojados tip'!D11+'tab. Turistas alojados tip'!D10)/('tab. Turistas alojados tip'!D27+'tab. Turistas alojados tip'!D28+'tab. Turistas alojados tip'!D29+'tab. Turistas alojados tip'!D26+'tab. Turistas alojados tip'!D25+'tab. Turistas alojados tip'!D24+'tab. Turistas alojados tip'!D23)-1,"-")</f>
        <v>-2.8999455998660939E-2</v>
      </c>
      <c r="E18" s="70" t="str">
        <f>IFERROR(('tab. Turistas alojados tip'!E14+'tab. Turistas alojados tip'!E15+'tab. Turistas alojados tip'!E16+'tab. Turistas alojados tip'!E13+'tab. Turistas alojados tip'!E12+'tab. Turistas alojados tip'!E11+'tab. Turistas alojados tip'!E10)/('tab. Turistas alojados tip'!E27+'tab. Turistas alojados tip'!E28+'tab. Turistas alojados tip'!E29+'tab. Turistas alojados tip'!E26+'tab. Turistas alojados tip'!E25+'tab. Turistas alojados tip'!E24+'tab. Turistas alojados tip'!E23)-1,"-")</f>
        <v>-</v>
      </c>
      <c r="F18" s="70">
        <f>IFERROR(('tab. Turistas alojados tip'!F14+'tab. Turistas alojados tip'!F15+'tab. Turistas alojados tip'!F16+'tab. Turistas alojados tip'!F13+'tab. Turistas alojados tip'!F12+'tab. Turistas alojados tip'!F11+'tab. Turistas alojados tip'!F10)/('tab. Turistas alojados tip'!F27+'tab. Turistas alojados tip'!F28+'tab. Turistas alojados tip'!F29+'tab. Turistas alojados tip'!F26+'tab. Turistas alojados tip'!F25+'tab. Turistas alojados tip'!F24+'tab. Turistas alojados tip'!F23)-1,"-")</f>
        <v>-2.8999455998660939E-2</v>
      </c>
    </row>
    <row r="19" spans="3:6" hidden="1" outlineLevel="1">
      <c r="C19" s="51" t="s">
        <v>38</v>
      </c>
      <c r="D19" s="68">
        <f>IFERROR('tab. Turistas alojados tip'!D18/'tab. Turistas alojados tip'!D31-1,"-")</f>
        <v>-0.18881725762459711</v>
      </c>
      <c r="E19" s="68" t="str">
        <f>IFERROR('tab. Turistas alojados tip'!E18/'tab. Turistas alojados tip'!E31-1,"-")</f>
        <v>-</v>
      </c>
      <c r="F19" s="68">
        <f>IFERROR('tab. Turistas alojados tip'!F18/'tab. Turistas alojados tip'!F31-1,"-")</f>
        <v>-0.18881725762459711</v>
      </c>
    </row>
    <row r="20" spans="3:6" hidden="1" outlineLevel="1">
      <c r="C20" s="51" t="s">
        <v>39</v>
      </c>
      <c r="D20" s="68">
        <f>IFERROR('tab. Turistas alojados tip'!D19/'tab. Turistas alojados tip'!D32-1,"-")</f>
        <v>-0.21593902370677576</v>
      </c>
      <c r="E20" s="68" t="str">
        <f>IFERROR('tab. Turistas alojados tip'!E19/'tab. Turistas alojados tip'!E32-1,"-")</f>
        <v>-</v>
      </c>
      <c r="F20" s="68">
        <f>IFERROR('tab. Turistas alojados tip'!F19/'tab. Turistas alojados tip'!F32-1,"-")</f>
        <v>-0.21593902370677576</v>
      </c>
    </row>
    <row r="21" spans="3:6" hidden="1" outlineLevel="1">
      <c r="C21" s="51" t="s">
        <v>40</v>
      </c>
      <c r="D21" s="68">
        <f>IFERROR('tab. Turistas alojados tip'!D20/'tab. Turistas alojados tip'!D33-1,"-")</f>
        <v>-0.31524644499091203</v>
      </c>
      <c r="E21" s="68" t="str">
        <f>IFERROR('tab. Turistas alojados tip'!E20/'tab. Turistas alojados tip'!E33-1,"-")</f>
        <v>-</v>
      </c>
      <c r="F21" s="68">
        <f>IFERROR('tab. Turistas alojados tip'!F20/'tab. Turistas alojados tip'!F33-1,"-")</f>
        <v>-0.31524644499091203</v>
      </c>
    </row>
    <row r="22" spans="3:6" hidden="1" outlineLevel="1">
      <c r="C22" s="51" t="s">
        <v>41</v>
      </c>
      <c r="D22" s="68">
        <f>IFERROR('tab. Turistas alojados tip'!D21/'tab. Turistas alojados tip'!D34-1,"-")</f>
        <v>-0.2650323774283071</v>
      </c>
      <c r="E22" s="68" t="str">
        <f>IFERROR('tab. Turistas alojados tip'!E21/'tab. Turistas alojados tip'!E34-1,"-")</f>
        <v>-</v>
      </c>
      <c r="F22" s="68">
        <f>IFERROR('tab. Turistas alojados tip'!F21/'tab. Turistas alojados tip'!F34-1,"-")</f>
        <v>-0.2650323774283071</v>
      </c>
    </row>
    <row r="23" spans="3:6" hidden="1" outlineLevel="1">
      <c r="C23" s="51" t="s">
        <v>42</v>
      </c>
      <c r="D23" s="68">
        <f>IFERROR('tab. Turistas alojados tip'!D22/'tab. Turistas alojados tip'!D35-1,"-")</f>
        <v>-0.36813454663633405</v>
      </c>
      <c r="E23" s="68" t="str">
        <f>IFERROR('tab. Turistas alojados tip'!E22/'tab. Turistas alojados tip'!E35-1,"-")</f>
        <v>-</v>
      </c>
      <c r="F23" s="68">
        <f>IFERROR('tab. Turistas alojados tip'!F22/'tab. Turistas alojados tip'!F35-1,"-")</f>
        <v>-0.36813454663633405</v>
      </c>
    </row>
    <row r="24" spans="3:6" hidden="1" outlineLevel="1">
      <c r="C24" s="51" t="s">
        <v>43</v>
      </c>
      <c r="D24" s="68">
        <f>IFERROR('tab. Turistas alojados tip'!D23/'tab. Turistas alojados tip'!D36-1,"-")</f>
        <v>-0.27220419905735449</v>
      </c>
      <c r="E24" s="68" t="str">
        <f>IFERROR('tab. Turistas alojados tip'!E23/'tab. Turistas alojados tip'!E36-1,"-")</f>
        <v>-</v>
      </c>
      <c r="F24" s="68">
        <f>IFERROR('tab. Turistas alojados tip'!F23/'tab. Turistas alojados tip'!F36-1,"-")</f>
        <v>-0.27220419905735449</v>
      </c>
    </row>
    <row r="25" spans="3:6" hidden="1" outlineLevel="1">
      <c r="C25" s="51" t="s">
        <v>44</v>
      </c>
      <c r="D25" s="68">
        <f>IFERROR('tab. Turistas alojados tip'!D24/'tab. Turistas alojados tip'!D37-1,"-")</f>
        <v>-0.17422279792746109</v>
      </c>
      <c r="E25" s="68" t="str">
        <f>IFERROR('tab. Turistas alojados tip'!E24/'tab. Turistas alojados tip'!E37-1,"-")</f>
        <v>-</v>
      </c>
      <c r="F25" s="68">
        <f>IFERROR('tab. Turistas alojados tip'!F24/'tab. Turistas alojados tip'!F37-1,"-")</f>
        <v>-0.17422279792746109</v>
      </c>
    </row>
    <row r="26" spans="3:6" hidden="1" outlineLevel="1">
      <c r="C26" s="51" t="s">
        <v>45</v>
      </c>
      <c r="D26" s="68">
        <f>IFERROR('tab. Turistas alojados tip'!D25/'tab. Turistas alojados tip'!D38-1,"-")</f>
        <v>-0.22727533405975797</v>
      </c>
      <c r="E26" s="68" t="str">
        <f>IFERROR('tab. Turistas alojados tip'!E25/'tab. Turistas alojados tip'!E38-1,"-")</f>
        <v>-</v>
      </c>
      <c r="F26" s="68">
        <f>IFERROR('tab. Turistas alojados tip'!F25/'tab. Turistas alojados tip'!F38-1,"-")</f>
        <v>-0.22727533405975797</v>
      </c>
    </row>
    <row r="27" spans="3:6" hidden="1" outlineLevel="1">
      <c r="C27" s="51" t="s">
        <v>46</v>
      </c>
      <c r="D27" s="68">
        <f>IFERROR('tab. Turistas alojados tip'!D26/'tab. Turistas alojados tip'!D39-1,"-")</f>
        <v>-0.25657932132097994</v>
      </c>
      <c r="E27" s="68" t="str">
        <f>IFERROR('tab. Turistas alojados tip'!E26/'tab. Turistas alojados tip'!E39-1,"-")</f>
        <v>-</v>
      </c>
      <c r="F27" s="68">
        <f>IFERROR('tab. Turistas alojados tip'!F26/'tab. Turistas alojados tip'!F39-1,"-")</f>
        <v>-0.25657932132097994</v>
      </c>
    </row>
    <row r="28" spans="3:6" hidden="1" outlineLevel="1">
      <c r="C28" s="51" t="s">
        <v>47</v>
      </c>
      <c r="D28" s="68">
        <f>IFERROR('tab. Turistas alojados tip'!D27/'tab. Turistas alojados tip'!D40-1,"-")</f>
        <v>-5.4256540390308694E-2</v>
      </c>
      <c r="E28" s="68" t="str">
        <f>IFERROR('tab. Turistas alojados tip'!E27/'tab. Turistas alojados tip'!E40-1,"-")</f>
        <v>-</v>
      </c>
      <c r="F28" s="68">
        <f>IFERROR('tab. Turistas alojados tip'!F27/'tab. Turistas alojados tip'!F40-1,"-")</f>
        <v>-5.4256540390308694E-2</v>
      </c>
    </row>
    <row r="29" spans="3:6" hidden="1" outlineLevel="1">
      <c r="C29" s="51" t="s">
        <v>48</v>
      </c>
      <c r="D29" s="68">
        <f>IFERROR('tab. Turistas alojados tip'!D28/'tab. Turistas alojados tip'!D41-1,"-")</f>
        <v>-0.21611986566778607</v>
      </c>
      <c r="E29" s="68" t="str">
        <f>IFERROR('tab. Turistas alojados tip'!E28/'tab. Turistas alojados tip'!E41-1,"-")</f>
        <v>-</v>
      </c>
      <c r="F29" s="68">
        <f>IFERROR('tab. Turistas alojados tip'!F28/'tab. Turistas alojados tip'!F41-1,"-")</f>
        <v>-0.21611986566778607</v>
      </c>
    </row>
    <row r="30" spans="3:6" hidden="1" outlineLevel="1">
      <c r="C30" s="51" t="s">
        <v>49</v>
      </c>
      <c r="D30" s="68">
        <f>IFERROR('tab. Turistas alojados tip'!D29/'tab. Turistas alojados tip'!D42-1,"-")</f>
        <v>-0.20091861971499236</v>
      </c>
      <c r="E30" s="68" t="str">
        <f>IFERROR('tab. Turistas alojados tip'!E29/'tab. Turistas alojados tip'!E42-1,"-")</f>
        <v>-</v>
      </c>
      <c r="F30" s="68">
        <f>IFERROR('tab. Turistas alojados tip'!F29/'tab. Turistas alojados tip'!F42-1,"-")</f>
        <v>-0.20091861971499236</v>
      </c>
    </row>
    <row r="31" spans="3:6" collapsed="1">
      <c r="C31" s="56">
        <v>2009</v>
      </c>
      <c r="D31" s="71">
        <f>IFERROR('tab. Turistas alojados tip'!D30/'tab. Turistas alojados tip'!D43-1,"-")</f>
        <v>-0.22743196308640867</v>
      </c>
      <c r="E31" s="71" t="str">
        <f>IFERROR('tab. Turistas alojados tip'!E30/'tab. Turistas alojados tip'!E43-1,"-")</f>
        <v>-</v>
      </c>
      <c r="F31" s="71">
        <f>IFERROR('tab. Turistas alojados tip'!F30/'tab. Turistas alojados tip'!F43-1,"-")</f>
        <v>-0.22743196308640867</v>
      </c>
    </row>
    <row r="32" spans="3:6" hidden="1" outlineLevel="1">
      <c r="C32" s="51" t="s">
        <v>38</v>
      </c>
      <c r="D32" s="68">
        <f>IFERROR('tab. Turistas alojados tip'!D31/'tab. Turistas alojados tip'!D44-1,"-")</f>
        <v>-4.5104770924588644E-2</v>
      </c>
      <c r="E32" s="68" t="str">
        <f>IFERROR('tab. Turistas alojados tip'!E31/'tab. Turistas alojados tip'!E44-1,"-")</f>
        <v>-</v>
      </c>
      <c r="F32" s="68">
        <f>IFERROR('tab. Turistas alojados tip'!F31/'tab. Turistas alojados tip'!F44-1,"-")</f>
        <v>-4.5104770924588644E-2</v>
      </c>
    </row>
    <row r="33" spans="3:6" hidden="1" outlineLevel="1">
      <c r="C33" s="51" t="s">
        <v>39</v>
      </c>
      <c r="D33" s="68">
        <f>IFERROR('tab. Turistas alojados tip'!D32/'tab. Turistas alojados tip'!D45-1,"-")</f>
        <v>-5.6375271034956875E-2</v>
      </c>
      <c r="E33" s="68" t="str">
        <f>IFERROR('tab. Turistas alojados tip'!E32/'tab. Turistas alojados tip'!E45-1,"-")</f>
        <v>-</v>
      </c>
      <c r="F33" s="68">
        <f>IFERROR('tab. Turistas alojados tip'!F32/'tab. Turistas alojados tip'!F45-1,"-")</f>
        <v>-5.6375271034956875E-2</v>
      </c>
    </row>
    <row r="34" spans="3:6" hidden="1" outlineLevel="1">
      <c r="C34" s="51" t="s">
        <v>40</v>
      </c>
      <c r="D34" s="68">
        <f>IFERROR('tab. Turistas alojados tip'!D33/'tab. Turistas alojados tip'!D46-1,"-")</f>
        <v>7.8404243053153522E-2</v>
      </c>
      <c r="E34" s="68" t="str">
        <f>IFERROR('tab. Turistas alojados tip'!E33/'tab. Turistas alojados tip'!E46-1,"-")</f>
        <v>-</v>
      </c>
      <c r="F34" s="68">
        <f>IFERROR('tab. Turistas alojados tip'!F33/'tab. Turistas alojados tip'!F46-1,"-")</f>
        <v>7.8404243053153522E-2</v>
      </c>
    </row>
    <row r="35" spans="3:6" hidden="1" outlineLevel="1">
      <c r="C35" s="51" t="s">
        <v>41</v>
      </c>
      <c r="D35" s="68">
        <f>IFERROR('tab. Turistas alojados tip'!D34/'tab. Turistas alojados tip'!D47-1,"-")</f>
        <v>7.6004265908282909E-2</v>
      </c>
      <c r="E35" s="68" t="str">
        <f>IFERROR('tab. Turistas alojados tip'!E34/'tab. Turistas alojados tip'!E47-1,"-")</f>
        <v>-</v>
      </c>
      <c r="F35" s="68">
        <f>IFERROR('tab. Turistas alojados tip'!F34/'tab. Turistas alojados tip'!F47-1,"-")</f>
        <v>7.6004265908282909E-2</v>
      </c>
    </row>
    <row r="36" spans="3:6" hidden="1" outlineLevel="1">
      <c r="C36" s="51" t="s">
        <v>42</v>
      </c>
      <c r="D36" s="68">
        <f>IFERROR('tab. Turistas alojados tip'!D35/'tab. Turistas alojados tip'!D48-1,"-")</f>
        <v>0.23487508778970612</v>
      </c>
      <c r="E36" s="68" t="str">
        <f>IFERROR('tab. Turistas alojados tip'!E35/'tab. Turistas alojados tip'!E48-1,"-")</f>
        <v>-</v>
      </c>
      <c r="F36" s="68">
        <f>IFERROR('tab. Turistas alojados tip'!F35/'tab. Turistas alojados tip'!F48-1,"-")</f>
        <v>0.23487508778970612</v>
      </c>
    </row>
    <row r="37" spans="3:6" ht="25.5" hidden="1" customHeight="1" outlineLevel="1">
      <c r="C37" s="51" t="s">
        <v>43</v>
      </c>
      <c r="D37" s="68">
        <f>IFERROR('tab. Turistas alojados tip'!D36/'tab. Turistas alojados tip'!D49-1,"-")</f>
        <v>0.13767409470752079</v>
      </c>
      <c r="E37" s="68" t="str">
        <f>IFERROR('tab. Turistas alojados tip'!E36/'tab. Turistas alojados tip'!E49-1,"-")</f>
        <v>-</v>
      </c>
      <c r="F37" s="68">
        <f>IFERROR('tab. Turistas alojados tip'!F36/'tab. Turistas alojados tip'!F49-1,"-")</f>
        <v>0.13767409470752079</v>
      </c>
    </row>
    <row r="38" spans="3:6" hidden="1" outlineLevel="1">
      <c r="C38" s="51" t="s">
        <v>44</v>
      </c>
      <c r="D38" s="68">
        <f>IFERROR('tab. Turistas alojados tip'!D37/'tab. Turistas alojados tip'!D50-1,"-")</f>
        <v>0.17227241667299364</v>
      </c>
      <c r="E38" s="68" t="str">
        <f>IFERROR('tab. Turistas alojados tip'!E37/'tab. Turistas alojados tip'!E50-1,"-")</f>
        <v>-</v>
      </c>
      <c r="F38" s="68">
        <f>IFERROR('tab. Turistas alojados tip'!F37/'tab. Turistas alojados tip'!F50-1,"-")</f>
        <v>0.17227241667299364</v>
      </c>
    </row>
    <row r="39" spans="3:6" hidden="1" outlineLevel="1">
      <c r="C39" s="51" t="s">
        <v>45</v>
      </c>
      <c r="D39" s="68">
        <f>IFERROR('tab. Turistas alojados tip'!D38/'tab. Turistas alojados tip'!D51-1,"-")</f>
        <v>0.18409615645796551</v>
      </c>
      <c r="E39" s="68" t="str">
        <f>IFERROR('tab. Turistas alojados tip'!E38/'tab. Turistas alojados tip'!E51-1,"-")</f>
        <v>-</v>
      </c>
      <c r="F39" s="68">
        <f>IFERROR('tab. Turistas alojados tip'!F38/'tab. Turistas alojados tip'!F51-1,"-")</f>
        <v>0.18409615645796551</v>
      </c>
    </row>
    <row r="40" spans="3:6" hidden="1" outlineLevel="1">
      <c r="C40" s="51" t="s">
        <v>46</v>
      </c>
      <c r="D40" s="68">
        <f>IFERROR('tab. Turistas alojados tip'!D39/'tab. Turistas alojados tip'!D52-1,"-")</f>
        <v>0.13561838368190027</v>
      </c>
      <c r="E40" s="68" t="str">
        <f>IFERROR('tab. Turistas alojados tip'!E39/'tab. Turistas alojados tip'!E52-1,"-")</f>
        <v>-</v>
      </c>
      <c r="F40" s="68">
        <f>IFERROR('tab. Turistas alojados tip'!F39/'tab. Turistas alojados tip'!F52-1,"-")</f>
        <v>0.13561838368190027</v>
      </c>
    </row>
    <row r="41" spans="3:6" hidden="1" outlineLevel="1">
      <c r="C41" s="51" t="s">
        <v>47</v>
      </c>
      <c r="D41" s="68">
        <f>IFERROR('tab. Turistas alojados tip'!D40/'tab. Turistas alojados tip'!D53-1,"-")</f>
        <v>-0.12916973587288227</v>
      </c>
      <c r="E41" s="68" t="str">
        <f>IFERROR('tab. Turistas alojados tip'!E40/'tab. Turistas alojados tip'!E53-1,"-")</f>
        <v>-</v>
      </c>
      <c r="F41" s="68">
        <f>IFERROR('tab. Turistas alojados tip'!F40/'tab. Turistas alojados tip'!F53-1,"-")</f>
        <v>-0.12916973587288227</v>
      </c>
    </row>
    <row r="42" spans="3:6" hidden="1" outlineLevel="1">
      <c r="C42" s="51" t="s">
        <v>48</v>
      </c>
      <c r="D42" s="68">
        <f>IFERROR('tab. Turistas alojados tip'!D41/'tab. Turistas alojados tip'!D54-1,"-")</f>
        <v>0.27151491262646177</v>
      </c>
      <c r="E42" s="68" t="str">
        <f>IFERROR('tab. Turistas alojados tip'!E41/'tab. Turistas alojados tip'!E54-1,"-")</f>
        <v>-</v>
      </c>
      <c r="F42" s="68">
        <f>IFERROR('tab. Turistas alojados tip'!F41/'tab. Turistas alojados tip'!F54-1,"-")</f>
        <v>0.27151491262646177</v>
      </c>
    </row>
    <row r="43" spans="3:6" hidden="1" outlineLevel="1">
      <c r="C43" s="51" t="s">
        <v>49</v>
      </c>
      <c r="D43" s="68">
        <f>IFERROR('tab. Turistas alojados tip'!D42/'tab. Turistas alojados tip'!D55-1,"-")</f>
        <v>0.17060729303095057</v>
      </c>
      <c r="E43" s="68" t="str">
        <f>IFERROR('tab. Turistas alojados tip'!E42/'tab. Turistas alojados tip'!E55-1,"-")</f>
        <v>-</v>
      </c>
      <c r="F43" s="68">
        <f>IFERROR('tab. Turistas alojados tip'!F42/'tab. Turistas alojados tip'!F55-1,"-")</f>
        <v>0.17060729303095057</v>
      </c>
    </row>
    <row r="44" spans="3:6" collapsed="1">
      <c r="C44" s="58">
        <v>2008</v>
      </c>
      <c r="D44" s="72">
        <f>IFERROR('tab. Turistas alojados tip'!D43/'tab. Turistas alojados tip'!D56-1,"-")</f>
        <v>8.7948166498788449E-2</v>
      </c>
      <c r="E44" s="72" t="str">
        <f>IFERROR('tab. Turistas alojados tip'!E43/'tab. Turistas alojados tip'!E56-1,"-")</f>
        <v>-</v>
      </c>
      <c r="F44" s="72">
        <f>IFERROR('tab. Turistas alojados tip'!F43/'tab. Turistas alojados tip'!F56-1,"-")</f>
        <v>8.7948166498788449E-2</v>
      </c>
    </row>
    <row r="45" spans="3:6" hidden="1" outlineLevel="1">
      <c r="C45" s="51" t="s">
        <v>38</v>
      </c>
      <c r="D45" s="68">
        <f>IFERROR('tab. Turistas alojados tip'!D44/'tab. Turistas alojados tip'!D57-1,"-")</f>
        <v>3.8623804147601692E-3</v>
      </c>
      <c r="E45" s="68" t="str">
        <f>IFERROR('tab. Turistas alojados tip'!E44/'tab. Turistas alojados tip'!E57-1,"-")</f>
        <v>-</v>
      </c>
      <c r="F45" s="68">
        <f>IFERROR('tab. Turistas alojados tip'!F44/'tab. Turistas alojados tip'!F57-1,"-")</f>
        <v>3.8623804147601692E-3</v>
      </c>
    </row>
    <row r="46" spans="3:6" hidden="1" outlineLevel="1">
      <c r="C46" s="51" t="s">
        <v>39</v>
      </c>
      <c r="D46" s="68">
        <f>IFERROR('tab. Turistas alojados tip'!D45/'tab. Turistas alojados tip'!D58-1,"-")</f>
        <v>4.5447006137004475E-2</v>
      </c>
      <c r="E46" s="68" t="str">
        <f>IFERROR('tab. Turistas alojados tip'!E45/'tab. Turistas alojados tip'!E58-1,"-")</f>
        <v>-</v>
      </c>
      <c r="F46" s="68">
        <f>IFERROR('tab. Turistas alojados tip'!F45/'tab. Turistas alojados tip'!F58-1,"-")</f>
        <v>4.5447006137004475E-2</v>
      </c>
    </row>
    <row r="47" spans="3:6" hidden="1" outlineLevel="1">
      <c r="C47" s="51" t="s">
        <v>40</v>
      </c>
      <c r="D47" s="68">
        <f>IFERROR('tab. Turistas alojados tip'!D46/'tab. Turistas alojados tip'!D59-1,"-")</f>
        <v>0.10266353060835298</v>
      </c>
      <c r="E47" s="68" t="str">
        <f>IFERROR('tab. Turistas alojados tip'!E46/'tab. Turistas alojados tip'!E59-1,"-")</f>
        <v>-</v>
      </c>
      <c r="F47" s="68">
        <f>IFERROR('tab. Turistas alojados tip'!F46/'tab. Turistas alojados tip'!F59-1,"-")</f>
        <v>0.10266353060835298</v>
      </c>
    </row>
    <row r="48" spans="3:6" hidden="1" outlineLevel="1">
      <c r="C48" s="51" t="s">
        <v>41</v>
      </c>
      <c r="D48" s="68">
        <f>IFERROR('tab. Turistas alojados tip'!D47/'tab. Turistas alojados tip'!D60-1,"-")</f>
        <v>-2.3467333194473361E-2</v>
      </c>
      <c r="E48" s="68" t="str">
        <f>IFERROR('tab. Turistas alojados tip'!E47/'tab. Turistas alojados tip'!E60-1,"-")</f>
        <v>-</v>
      </c>
      <c r="F48" s="68">
        <f>IFERROR('tab. Turistas alojados tip'!F47/'tab. Turistas alojados tip'!F60-1,"-")</f>
        <v>-2.3467333194473361E-2</v>
      </c>
    </row>
    <row r="49" spans="3:6" hidden="1" outlineLevel="1">
      <c r="C49" s="51" t="s">
        <v>42</v>
      </c>
      <c r="D49" s="68">
        <f>IFERROR('tab. Turistas alojados tip'!D48/'tab. Turistas alojados tip'!D61-1,"-")</f>
        <v>-0.1125456326239872</v>
      </c>
      <c r="E49" s="68" t="str">
        <f>IFERROR('tab. Turistas alojados tip'!E48/'tab. Turistas alojados tip'!E61-1,"-")</f>
        <v>-</v>
      </c>
      <c r="F49" s="68">
        <f>IFERROR('tab. Turistas alojados tip'!F48/'tab. Turistas alojados tip'!F61-1,"-")</f>
        <v>-0.1125456326239872</v>
      </c>
    </row>
    <row r="50" spans="3:6" hidden="1" outlineLevel="1">
      <c r="C50" s="51" t="s">
        <v>43</v>
      </c>
      <c r="D50" s="68">
        <f>IFERROR('tab. Turistas alojados tip'!D49/'tab. Turistas alojados tip'!D62-1,"-")</f>
        <v>-2.6968423905678329E-2</v>
      </c>
      <c r="E50" s="68" t="str">
        <f>IFERROR('tab. Turistas alojados tip'!E49/'tab. Turistas alojados tip'!E62-1,"-")</f>
        <v>-</v>
      </c>
      <c r="F50" s="68">
        <f>IFERROR('tab. Turistas alojados tip'!F49/'tab. Turistas alojados tip'!F62-1,"-")</f>
        <v>-2.6968423905678329E-2</v>
      </c>
    </row>
    <row r="51" spans="3:6" hidden="1" outlineLevel="1">
      <c r="C51" s="51" t="s">
        <v>44</v>
      </c>
      <c r="D51" s="68">
        <f>IFERROR('tab. Turistas alojados tip'!D50/'tab. Turistas alojados tip'!D63-1,"-")</f>
        <v>-0.1635867149298279</v>
      </c>
      <c r="E51" s="68" t="str">
        <f>IFERROR('tab. Turistas alojados tip'!E50/'tab. Turistas alojados tip'!E63-1,"-")</f>
        <v>-</v>
      </c>
      <c r="F51" s="68">
        <f>IFERROR('tab. Turistas alojados tip'!F50/'tab. Turistas alojados tip'!F63-1,"-")</f>
        <v>-0.1635867149298279</v>
      </c>
    </row>
    <row r="52" spans="3:6" hidden="1" outlineLevel="1">
      <c r="C52" s="51" t="s">
        <v>45</v>
      </c>
      <c r="D52" s="68">
        <f>IFERROR('tab. Turistas alojados tip'!D51/'tab. Turistas alojados tip'!D64-1,"-")</f>
        <v>-1.6948003525184552E-3</v>
      </c>
      <c r="E52" s="68" t="str">
        <f>IFERROR('tab. Turistas alojados tip'!E51/'tab. Turistas alojados tip'!E64-1,"-")</f>
        <v>-</v>
      </c>
      <c r="F52" s="68">
        <f>IFERROR('tab. Turistas alojados tip'!F51/'tab. Turistas alojados tip'!F64-1,"-")</f>
        <v>-1.6948003525184552E-3</v>
      </c>
    </row>
    <row r="53" spans="3:6" hidden="1" outlineLevel="1">
      <c r="C53" s="51" t="s">
        <v>46</v>
      </c>
      <c r="D53" s="68">
        <f>IFERROR('tab. Turistas alojados tip'!D52/'tab. Turistas alojados tip'!D65-1,"-")</f>
        <v>0.11863672467326158</v>
      </c>
      <c r="E53" s="68" t="str">
        <f>IFERROR('tab. Turistas alojados tip'!E52/'tab. Turistas alojados tip'!E65-1,"-")</f>
        <v>-</v>
      </c>
      <c r="F53" s="68">
        <f>IFERROR('tab. Turistas alojados tip'!F52/'tab. Turistas alojados tip'!F65-1,"-")</f>
        <v>0.11863672467326158</v>
      </c>
    </row>
    <row r="54" spans="3:6" hidden="1" outlineLevel="1">
      <c r="C54" s="51" t="s">
        <v>47</v>
      </c>
      <c r="D54" s="68">
        <f>IFERROR('tab. Turistas alojados tip'!D53/'tab. Turistas alojados tip'!D66-1,"-")</f>
        <v>9.0481381605370448E-2</v>
      </c>
      <c r="E54" s="68" t="str">
        <f>IFERROR('tab. Turistas alojados tip'!E53/'tab. Turistas alojados tip'!E66-1,"-")</f>
        <v>-</v>
      </c>
      <c r="F54" s="68">
        <f>IFERROR('tab. Turistas alojados tip'!F53/'tab. Turistas alojados tip'!F66-1,"-")</f>
        <v>9.0481381605370448E-2</v>
      </c>
    </row>
    <row r="55" spans="3:6" hidden="1" outlineLevel="1">
      <c r="C55" s="51" t="s">
        <v>48</v>
      </c>
      <c r="D55" s="68">
        <f>IFERROR('tab. Turistas alojados tip'!D54/'tab. Turistas alojados tip'!D67-1,"-")</f>
        <v>-2.9951567677797608E-2</v>
      </c>
      <c r="E55" s="68" t="str">
        <f>IFERROR('tab. Turistas alojados tip'!E54/'tab. Turistas alojados tip'!E67-1,"-")</f>
        <v>-</v>
      </c>
      <c r="F55" s="68">
        <f>IFERROR('tab. Turistas alojados tip'!F54/'tab. Turistas alojados tip'!F67-1,"-")</f>
        <v>-2.9951567677797608E-2</v>
      </c>
    </row>
    <row r="56" spans="3:6" hidden="1" outlineLevel="1">
      <c r="C56" s="51" t="s">
        <v>49</v>
      </c>
      <c r="D56" s="68">
        <f>IFERROR('tab. Turistas alojados tip'!D55/'tab. Turistas alojados tip'!D68-1,"-")</f>
        <v>1.6893312771624869E-2</v>
      </c>
      <c r="E56" s="68" t="str">
        <f>IFERROR('tab. Turistas alojados tip'!E55/'tab. Turistas alojados tip'!E68-1,"-")</f>
        <v>-</v>
      </c>
      <c r="F56" s="68">
        <f>IFERROR('tab. Turistas alojados tip'!F55/'tab. Turistas alojados tip'!F68-1,"-")</f>
        <v>1.6893312771624869E-2</v>
      </c>
    </row>
    <row r="57" spans="3:6" collapsed="1">
      <c r="C57" s="58">
        <v>2007</v>
      </c>
      <c r="D57" s="72">
        <f>IFERROR('tab. Turistas alojados tip'!D56/'tab. Turistas alojados tip'!D69-1,"-")</f>
        <v>4.8803707330951074E-3</v>
      </c>
      <c r="E57" s="72" t="str">
        <f>IFERROR('tab. Turistas alojados tip'!E56/'tab. Turistas alojados tip'!E69-1,"-")</f>
        <v>-</v>
      </c>
      <c r="F57" s="72">
        <f>IFERROR('tab. Turistas alojados tip'!F56/'tab. Turistas alojados tip'!F69-1,"-")</f>
        <v>4.8803707330951074E-3</v>
      </c>
    </row>
    <row r="58" spans="3:6" ht="27" customHeight="1">
      <c r="C58" s="61" t="s">
        <v>51</v>
      </c>
      <c r="D58" s="62"/>
      <c r="E58" s="62"/>
      <c r="F58" s="63"/>
    </row>
  </sheetData>
  <mergeCells count="6">
    <mergeCell ref="C3:F3"/>
    <mergeCell ref="C4:C5"/>
    <mergeCell ref="D4:D5"/>
    <mergeCell ref="E4:E5"/>
    <mergeCell ref="F4:F5"/>
    <mergeCell ref="C58:F5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3:L73"/>
  <sheetViews>
    <sheetView showGridLines="0" showRowColHeaders="0" zoomScaleNormal="100" workbookViewId="0">
      <selection activeCell="I13" sqref="I13"/>
    </sheetView>
  </sheetViews>
  <sheetFormatPr baseColWidth="10" defaultRowHeight="12.75" outlineLevelRow="1"/>
  <cols>
    <col min="1" max="1" width="13.7109375" style="336" customWidth="1"/>
    <col min="2" max="2" width="12.140625" style="336" customWidth="1"/>
    <col min="3" max="18" width="11" style="336" customWidth="1"/>
    <col min="19" max="21" width="10.42578125" style="336" customWidth="1"/>
    <col min="22" max="25" width="9.28515625" style="336" customWidth="1"/>
    <col min="26" max="37" width="7.28515625" style="336" customWidth="1"/>
    <col min="38" max="38" width="11.5703125" style="336" bestFit="1" customWidth="1"/>
    <col min="39" max="258" width="11.42578125" style="336"/>
    <col min="259" max="259" width="13.7109375" style="336" customWidth="1"/>
    <col min="260" max="260" width="12.140625" style="336" customWidth="1"/>
    <col min="261" max="274" width="11" style="336" customWidth="1"/>
    <col min="275" max="277" width="10.42578125" style="336" customWidth="1"/>
    <col min="278" max="279" width="7.28515625" style="336" customWidth="1"/>
    <col min="280" max="280" width="7.85546875" style="336" bestFit="1" customWidth="1"/>
    <col min="281" max="293" width="7.28515625" style="336" customWidth="1"/>
    <col min="294" max="294" width="11.5703125" style="336" bestFit="1" customWidth="1"/>
    <col min="295" max="514" width="11.42578125" style="336"/>
    <col min="515" max="515" width="13.7109375" style="336" customWidth="1"/>
    <col min="516" max="516" width="12.140625" style="336" customWidth="1"/>
    <col min="517" max="530" width="11" style="336" customWidth="1"/>
    <col min="531" max="533" width="10.42578125" style="336" customWidth="1"/>
    <col min="534" max="535" width="7.28515625" style="336" customWidth="1"/>
    <col min="536" max="536" width="7.85546875" style="336" bestFit="1" customWidth="1"/>
    <col min="537" max="549" width="7.28515625" style="336" customWidth="1"/>
    <col min="550" max="550" width="11.5703125" style="336" bestFit="1" customWidth="1"/>
    <col min="551" max="770" width="11.42578125" style="336"/>
    <col min="771" max="771" width="13.7109375" style="336" customWidth="1"/>
    <col min="772" max="772" width="12.140625" style="336" customWidth="1"/>
    <col min="773" max="786" width="11" style="336" customWidth="1"/>
    <col min="787" max="789" width="10.42578125" style="336" customWidth="1"/>
    <col min="790" max="791" width="7.28515625" style="336" customWidth="1"/>
    <col min="792" max="792" width="7.85546875" style="336" bestFit="1" customWidth="1"/>
    <col min="793" max="805" width="7.28515625" style="336" customWidth="1"/>
    <col min="806" max="806" width="11.5703125" style="336" bestFit="1" customWidth="1"/>
    <col min="807" max="1026" width="11.42578125" style="336"/>
    <col min="1027" max="1027" width="13.7109375" style="336" customWidth="1"/>
    <col min="1028" max="1028" width="12.140625" style="336" customWidth="1"/>
    <col min="1029" max="1042" width="11" style="336" customWidth="1"/>
    <col min="1043" max="1045" width="10.42578125" style="336" customWidth="1"/>
    <col min="1046" max="1047" width="7.28515625" style="336" customWidth="1"/>
    <col min="1048" max="1048" width="7.85546875" style="336" bestFit="1" customWidth="1"/>
    <col min="1049" max="1061" width="7.28515625" style="336" customWidth="1"/>
    <col min="1062" max="1062" width="11.5703125" style="336" bestFit="1" customWidth="1"/>
    <col min="1063" max="1282" width="11.42578125" style="336"/>
    <col min="1283" max="1283" width="13.7109375" style="336" customWidth="1"/>
    <col min="1284" max="1284" width="12.140625" style="336" customWidth="1"/>
    <col min="1285" max="1298" width="11" style="336" customWidth="1"/>
    <col min="1299" max="1301" width="10.42578125" style="336" customWidth="1"/>
    <col min="1302" max="1303" width="7.28515625" style="336" customWidth="1"/>
    <col min="1304" max="1304" width="7.85546875" style="336" bestFit="1" customWidth="1"/>
    <col min="1305" max="1317" width="7.28515625" style="336" customWidth="1"/>
    <col min="1318" max="1318" width="11.5703125" style="336" bestFit="1" customWidth="1"/>
    <col min="1319" max="1538" width="11.42578125" style="336"/>
    <col min="1539" max="1539" width="13.7109375" style="336" customWidth="1"/>
    <col min="1540" max="1540" width="12.140625" style="336" customWidth="1"/>
    <col min="1541" max="1554" width="11" style="336" customWidth="1"/>
    <col min="1555" max="1557" width="10.42578125" style="336" customWidth="1"/>
    <col min="1558" max="1559" width="7.28515625" style="336" customWidth="1"/>
    <col min="1560" max="1560" width="7.85546875" style="336" bestFit="1" customWidth="1"/>
    <col min="1561" max="1573" width="7.28515625" style="336" customWidth="1"/>
    <col min="1574" max="1574" width="11.5703125" style="336" bestFit="1" customWidth="1"/>
    <col min="1575" max="1794" width="11.42578125" style="336"/>
    <col min="1795" max="1795" width="13.7109375" style="336" customWidth="1"/>
    <col min="1796" max="1796" width="12.140625" style="336" customWidth="1"/>
    <col min="1797" max="1810" width="11" style="336" customWidth="1"/>
    <col min="1811" max="1813" width="10.42578125" style="336" customWidth="1"/>
    <col min="1814" max="1815" width="7.28515625" style="336" customWidth="1"/>
    <col min="1816" max="1816" width="7.85546875" style="336" bestFit="1" customWidth="1"/>
    <col min="1817" max="1829" width="7.28515625" style="336" customWidth="1"/>
    <col min="1830" max="1830" width="11.5703125" style="336" bestFit="1" customWidth="1"/>
    <col min="1831" max="2050" width="11.42578125" style="336"/>
    <col min="2051" max="2051" width="13.7109375" style="336" customWidth="1"/>
    <col min="2052" max="2052" width="12.140625" style="336" customWidth="1"/>
    <col min="2053" max="2066" width="11" style="336" customWidth="1"/>
    <col min="2067" max="2069" width="10.42578125" style="336" customWidth="1"/>
    <col min="2070" max="2071" width="7.28515625" style="336" customWidth="1"/>
    <col min="2072" max="2072" width="7.85546875" style="336" bestFit="1" customWidth="1"/>
    <col min="2073" max="2085" width="7.28515625" style="336" customWidth="1"/>
    <col min="2086" max="2086" width="11.5703125" style="336" bestFit="1" customWidth="1"/>
    <col min="2087" max="2306" width="11.42578125" style="336"/>
    <col min="2307" max="2307" width="13.7109375" style="336" customWidth="1"/>
    <col min="2308" max="2308" width="12.140625" style="336" customWidth="1"/>
    <col min="2309" max="2322" width="11" style="336" customWidth="1"/>
    <col min="2323" max="2325" width="10.42578125" style="336" customWidth="1"/>
    <col min="2326" max="2327" width="7.28515625" style="336" customWidth="1"/>
    <col min="2328" max="2328" width="7.85546875" style="336" bestFit="1" customWidth="1"/>
    <col min="2329" max="2341" width="7.28515625" style="336" customWidth="1"/>
    <col min="2342" max="2342" width="11.5703125" style="336" bestFit="1" customWidth="1"/>
    <col min="2343" max="2562" width="11.42578125" style="336"/>
    <col min="2563" max="2563" width="13.7109375" style="336" customWidth="1"/>
    <col min="2564" max="2564" width="12.140625" style="336" customWidth="1"/>
    <col min="2565" max="2578" width="11" style="336" customWidth="1"/>
    <col min="2579" max="2581" width="10.42578125" style="336" customWidth="1"/>
    <col min="2582" max="2583" width="7.28515625" style="336" customWidth="1"/>
    <col min="2584" max="2584" width="7.85546875" style="336" bestFit="1" customWidth="1"/>
    <col min="2585" max="2597" width="7.28515625" style="336" customWidth="1"/>
    <col min="2598" max="2598" width="11.5703125" style="336" bestFit="1" customWidth="1"/>
    <col min="2599" max="2818" width="11.42578125" style="336"/>
    <col min="2819" max="2819" width="13.7109375" style="336" customWidth="1"/>
    <col min="2820" max="2820" width="12.140625" style="336" customWidth="1"/>
    <col min="2821" max="2834" width="11" style="336" customWidth="1"/>
    <col min="2835" max="2837" width="10.42578125" style="336" customWidth="1"/>
    <col min="2838" max="2839" width="7.28515625" style="336" customWidth="1"/>
    <col min="2840" max="2840" width="7.85546875" style="336" bestFit="1" customWidth="1"/>
    <col min="2841" max="2853" width="7.28515625" style="336" customWidth="1"/>
    <col min="2854" max="2854" width="11.5703125" style="336" bestFit="1" customWidth="1"/>
    <col min="2855" max="3074" width="11.42578125" style="336"/>
    <col min="3075" max="3075" width="13.7109375" style="336" customWidth="1"/>
    <col min="3076" max="3076" width="12.140625" style="336" customWidth="1"/>
    <col min="3077" max="3090" width="11" style="336" customWidth="1"/>
    <col min="3091" max="3093" width="10.42578125" style="336" customWidth="1"/>
    <col min="3094" max="3095" width="7.28515625" style="336" customWidth="1"/>
    <col min="3096" max="3096" width="7.85546875" style="336" bestFit="1" customWidth="1"/>
    <col min="3097" max="3109" width="7.28515625" style="336" customWidth="1"/>
    <col min="3110" max="3110" width="11.5703125" style="336" bestFit="1" customWidth="1"/>
    <col min="3111" max="3330" width="11.42578125" style="336"/>
    <col min="3331" max="3331" width="13.7109375" style="336" customWidth="1"/>
    <col min="3332" max="3332" width="12.140625" style="336" customWidth="1"/>
    <col min="3333" max="3346" width="11" style="336" customWidth="1"/>
    <col min="3347" max="3349" width="10.42578125" style="336" customWidth="1"/>
    <col min="3350" max="3351" width="7.28515625" style="336" customWidth="1"/>
    <col min="3352" max="3352" width="7.85546875" style="336" bestFit="1" customWidth="1"/>
    <col min="3353" max="3365" width="7.28515625" style="336" customWidth="1"/>
    <col min="3366" max="3366" width="11.5703125" style="336" bestFit="1" customWidth="1"/>
    <col min="3367" max="3586" width="11.42578125" style="336"/>
    <col min="3587" max="3587" width="13.7109375" style="336" customWidth="1"/>
    <col min="3588" max="3588" width="12.140625" style="336" customWidth="1"/>
    <col min="3589" max="3602" width="11" style="336" customWidth="1"/>
    <col min="3603" max="3605" width="10.42578125" style="336" customWidth="1"/>
    <col min="3606" max="3607" width="7.28515625" style="336" customWidth="1"/>
    <col min="3608" max="3608" width="7.85546875" style="336" bestFit="1" customWidth="1"/>
    <col min="3609" max="3621" width="7.28515625" style="336" customWidth="1"/>
    <col min="3622" max="3622" width="11.5703125" style="336" bestFit="1" customWidth="1"/>
    <col min="3623" max="3842" width="11.42578125" style="336"/>
    <col min="3843" max="3843" width="13.7109375" style="336" customWidth="1"/>
    <col min="3844" max="3844" width="12.140625" style="336" customWidth="1"/>
    <col min="3845" max="3858" width="11" style="336" customWidth="1"/>
    <col min="3859" max="3861" width="10.42578125" style="336" customWidth="1"/>
    <col min="3862" max="3863" width="7.28515625" style="336" customWidth="1"/>
    <col min="3864" max="3864" width="7.85546875" style="336" bestFit="1" customWidth="1"/>
    <col min="3865" max="3877" width="7.28515625" style="336" customWidth="1"/>
    <col min="3878" max="3878" width="11.5703125" style="336" bestFit="1" customWidth="1"/>
    <col min="3879" max="4098" width="11.42578125" style="336"/>
    <col min="4099" max="4099" width="13.7109375" style="336" customWidth="1"/>
    <col min="4100" max="4100" width="12.140625" style="336" customWidth="1"/>
    <col min="4101" max="4114" width="11" style="336" customWidth="1"/>
    <col min="4115" max="4117" width="10.42578125" style="336" customWidth="1"/>
    <col min="4118" max="4119" width="7.28515625" style="336" customWidth="1"/>
    <col min="4120" max="4120" width="7.85546875" style="336" bestFit="1" customWidth="1"/>
    <col min="4121" max="4133" width="7.28515625" style="336" customWidth="1"/>
    <col min="4134" max="4134" width="11.5703125" style="336" bestFit="1" customWidth="1"/>
    <col min="4135" max="4354" width="11.42578125" style="336"/>
    <col min="4355" max="4355" width="13.7109375" style="336" customWidth="1"/>
    <col min="4356" max="4356" width="12.140625" style="336" customWidth="1"/>
    <col min="4357" max="4370" width="11" style="336" customWidth="1"/>
    <col min="4371" max="4373" width="10.42578125" style="336" customWidth="1"/>
    <col min="4374" max="4375" width="7.28515625" style="336" customWidth="1"/>
    <col min="4376" max="4376" width="7.85546875" style="336" bestFit="1" customWidth="1"/>
    <col min="4377" max="4389" width="7.28515625" style="336" customWidth="1"/>
    <col min="4390" max="4390" width="11.5703125" style="336" bestFit="1" customWidth="1"/>
    <col min="4391" max="4610" width="11.42578125" style="336"/>
    <col min="4611" max="4611" width="13.7109375" style="336" customWidth="1"/>
    <col min="4612" max="4612" width="12.140625" style="336" customWidth="1"/>
    <col min="4613" max="4626" width="11" style="336" customWidth="1"/>
    <col min="4627" max="4629" width="10.42578125" style="336" customWidth="1"/>
    <col min="4630" max="4631" width="7.28515625" style="336" customWidth="1"/>
    <col min="4632" max="4632" width="7.85546875" style="336" bestFit="1" customWidth="1"/>
    <col min="4633" max="4645" width="7.28515625" style="336" customWidth="1"/>
    <col min="4646" max="4646" width="11.5703125" style="336" bestFit="1" customWidth="1"/>
    <col min="4647" max="4866" width="11.42578125" style="336"/>
    <col min="4867" max="4867" width="13.7109375" style="336" customWidth="1"/>
    <col min="4868" max="4868" width="12.140625" style="336" customWidth="1"/>
    <col min="4869" max="4882" width="11" style="336" customWidth="1"/>
    <col min="4883" max="4885" width="10.42578125" style="336" customWidth="1"/>
    <col min="4886" max="4887" width="7.28515625" style="336" customWidth="1"/>
    <col min="4888" max="4888" width="7.85546875" style="336" bestFit="1" customWidth="1"/>
    <col min="4889" max="4901" width="7.28515625" style="336" customWidth="1"/>
    <col min="4902" max="4902" width="11.5703125" style="336" bestFit="1" customWidth="1"/>
    <col min="4903" max="5122" width="11.42578125" style="336"/>
    <col min="5123" max="5123" width="13.7109375" style="336" customWidth="1"/>
    <col min="5124" max="5124" width="12.140625" style="336" customWidth="1"/>
    <col min="5125" max="5138" width="11" style="336" customWidth="1"/>
    <col min="5139" max="5141" width="10.42578125" style="336" customWidth="1"/>
    <col min="5142" max="5143" width="7.28515625" style="336" customWidth="1"/>
    <col min="5144" max="5144" width="7.85546875" style="336" bestFit="1" customWidth="1"/>
    <col min="5145" max="5157" width="7.28515625" style="336" customWidth="1"/>
    <col min="5158" max="5158" width="11.5703125" style="336" bestFit="1" customWidth="1"/>
    <col min="5159" max="5378" width="11.42578125" style="336"/>
    <col min="5379" max="5379" width="13.7109375" style="336" customWidth="1"/>
    <col min="5380" max="5380" width="12.140625" style="336" customWidth="1"/>
    <col min="5381" max="5394" width="11" style="336" customWidth="1"/>
    <col min="5395" max="5397" width="10.42578125" style="336" customWidth="1"/>
    <col min="5398" max="5399" width="7.28515625" style="336" customWidth="1"/>
    <col min="5400" max="5400" width="7.85546875" style="336" bestFit="1" customWidth="1"/>
    <col min="5401" max="5413" width="7.28515625" style="336" customWidth="1"/>
    <col min="5414" max="5414" width="11.5703125" style="336" bestFit="1" customWidth="1"/>
    <col min="5415" max="5634" width="11.42578125" style="336"/>
    <col min="5635" max="5635" width="13.7109375" style="336" customWidth="1"/>
    <col min="5636" max="5636" width="12.140625" style="336" customWidth="1"/>
    <col min="5637" max="5650" width="11" style="336" customWidth="1"/>
    <col min="5651" max="5653" width="10.42578125" style="336" customWidth="1"/>
    <col min="5654" max="5655" width="7.28515625" style="336" customWidth="1"/>
    <col min="5656" max="5656" width="7.85546875" style="336" bestFit="1" customWidth="1"/>
    <col min="5657" max="5669" width="7.28515625" style="336" customWidth="1"/>
    <col min="5670" max="5670" width="11.5703125" style="336" bestFit="1" customWidth="1"/>
    <col min="5671" max="5890" width="11.42578125" style="336"/>
    <col min="5891" max="5891" width="13.7109375" style="336" customWidth="1"/>
    <col min="5892" max="5892" width="12.140625" style="336" customWidth="1"/>
    <col min="5893" max="5906" width="11" style="336" customWidth="1"/>
    <col min="5907" max="5909" width="10.42578125" style="336" customWidth="1"/>
    <col min="5910" max="5911" width="7.28515625" style="336" customWidth="1"/>
    <col min="5912" max="5912" width="7.85546875" style="336" bestFit="1" customWidth="1"/>
    <col min="5913" max="5925" width="7.28515625" style="336" customWidth="1"/>
    <col min="5926" max="5926" width="11.5703125" style="336" bestFit="1" customWidth="1"/>
    <col min="5927" max="6146" width="11.42578125" style="336"/>
    <col min="6147" max="6147" width="13.7109375" style="336" customWidth="1"/>
    <col min="6148" max="6148" width="12.140625" style="336" customWidth="1"/>
    <col min="6149" max="6162" width="11" style="336" customWidth="1"/>
    <col min="6163" max="6165" width="10.42578125" style="336" customWidth="1"/>
    <col min="6166" max="6167" width="7.28515625" style="336" customWidth="1"/>
    <col min="6168" max="6168" width="7.85546875" style="336" bestFit="1" customWidth="1"/>
    <col min="6169" max="6181" width="7.28515625" style="336" customWidth="1"/>
    <col min="6182" max="6182" width="11.5703125" style="336" bestFit="1" customWidth="1"/>
    <col min="6183" max="6402" width="11.42578125" style="336"/>
    <col min="6403" max="6403" width="13.7109375" style="336" customWidth="1"/>
    <col min="6404" max="6404" width="12.140625" style="336" customWidth="1"/>
    <col min="6405" max="6418" width="11" style="336" customWidth="1"/>
    <col min="6419" max="6421" width="10.42578125" style="336" customWidth="1"/>
    <col min="6422" max="6423" width="7.28515625" style="336" customWidth="1"/>
    <col min="6424" max="6424" width="7.85546875" style="336" bestFit="1" customWidth="1"/>
    <col min="6425" max="6437" width="7.28515625" style="336" customWidth="1"/>
    <col min="6438" max="6438" width="11.5703125" style="336" bestFit="1" customWidth="1"/>
    <col min="6439" max="6658" width="11.42578125" style="336"/>
    <col min="6659" max="6659" width="13.7109375" style="336" customWidth="1"/>
    <col min="6660" max="6660" width="12.140625" style="336" customWidth="1"/>
    <col min="6661" max="6674" width="11" style="336" customWidth="1"/>
    <col min="6675" max="6677" width="10.42578125" style="336" customWidth="1"/>
    <col min="6678" max="6679" width="7.28515625" style="336" customWidth="1"/>
    <col min="6680" max="6680" width="7.85546875" style="336" bestFit="1" customWidth="1"/>
    <col min="6681" max="6693" width="7.28515625" style="336" customWidth="1"/>
    <col min="6694" max="6694" width="11.5703125" style="336" bestFit="1" customWidth="1"/>
    <col min="6695" max="6914" width="11.42578125" style="336"/>
    <col min="6915" max="6915" width="13.7109375" style="336" customWidth="1"/>
    <col min="6916" max="6916" width="12.140625" style="336" customWidth="1"/>
    <col min="6917" max="6930" width="11" style="336" customWidth="1"/>
    <col min="6931" max="6933" width="10.42578125" style="336" customWidth="1"/>
    <col min="6934" max="6935" width="7.28515625" style="336" customWidth="1"/>
    <col min="6936" max="6936" width="7.85546875" style="336" bestFit="1" customWidth="1"/>
    <col min="6937" max="6949" width="7.28515625" style="336" customWidth="1"/>
    <col min="6950" max="6950" width="11.5703125" style="336" bestFit="1" customWidth="1"/>
    <col min="6951" max="7170" width="11.42578125" style="336"/>
    <col min="7171" max="7171" width="13.7109375" style="336" customWidth="1"/>
    <col min="7172" max="7172" width="12.140625" style="336" customWidth="1"/>
    <col min="7173" max="7186" width="11" style="336" customWidth="1"/>
    <col min="7187" max="7189" width="10.42578125" style="336" customWidth="1"/>
    <col min="7190" max="7191" width="7.28515625" style="336" customWidth="1"/>
    <col min="7192" max="7192" width="7.85546875" style="336" bestFit="1" customWidth="1"/>
    <col min="7193" max="7205" width="7.28515625" style="336" customWidth="1"/>
    <col min="7206" max="7206" width="11.5703125" style="336" bestFit="1" customWidth="1"/>
    <col min="7207" max="7426" width="11.42578125" style="336"/>
    <col min="7427" max="7427" width="13.7109375" style="336" customWidth="1"/>
    <col min="7428" max="7428" width="12.140625" style="336" customWidth="1"/>
    <col min="7429" max="7442" width="11" style="336" customWidth="1"/>
    <col min="7443" max="7445" width="10.42578125" style="336" customWidth="1"/>
    <col min="7446" max="7447" width="7.28515625" style="336" customWidth="1"/>
    <col min="7448" max="7448" width="7.85546875" style="336" bestFit="1" customWidth="1"/>
    <col min="7449" max="7461" width="7.28515625" style="336" customWidth="1"/>
    <col min="7462" max="7462" width="11.5703125" style="336" bestFit="1" customWidth="1"/>
    <col min="7463" max="7682" width="11.42578125" style="336"/>
    <col min="7683" max="7683" width="13.7109375" style="336" customWidth="1"/>
    <col min="7684" max="7684" width="12.140625" style="336" customWidth="1"/>
    <col min="7685" max="7698" width="11" style="336" customWidth="1"/>
    <col min="7699" max="7701" width="10.42578125" style="336" customWidth="1"/>
    <col min="7702" max="7703" width="7.28515625" style="336" customWidth="1"/>
    <col min="7704" max="7704" width="7.85546875" style="336" bestFit="1" customWidth="1"/>
    <col min="7705" max="7717" width="7.28515625" style="336" customWidth="1"/>
    <col min="7718" max="7718" width="11.5703125" style="336" bestFit="1" customWidth="1"/>
    <col min="7719" max="7938" width="11.42578125" style="336"/>
    <col min="7939" max="7939" width="13.7109375" style="336" customWidth="1"/>
    <col min="7940" max="7940" width="12.140625" style="336" customWidth="1"/>
    <col min="7941" max="7954" width="11" style="336" customWidth="1"/>
    <col min="7955" max="7957" width="10.42578125" style="336" customWidth="1"/>
    <col min="7958" max="7959" width="7.28515625" style="336" customWidth="1"/>
    <col min="7960" max="7960" width="7.85546875" style="336" bestFit="1" customWidth="1"/>
    <col min="7961" max="7973" width="7.28515625" style="336" customWidth="1"/>
    <col min="7974" max="7974" width="11.5703125" style="336" bestFit="1" customWidth="1"/>
    <col min="7975" max="8194" width="11.42578125" style="336"/>
    <col min="8195" max="8195" width="13.7109375" style="336" customWidth="1"/>
    <col min="8196" max="8196" width="12.140625" style="336" customWidth="1"/>
    <col min="8197" max="8210" width="11" style="336" customWidth="1"/>
    <col min="8211" max="8213" width="10.42578125" style="336" customWidth="1"/>
    <col min="8214" max="8215" width="7.28515625" style="336" customWidth="1"/>
    <col min="8216" max="8216" width="7.85546875" style="336" bestFit="1" customWidth="1"/>
    <col min="8217" max="8229" width="7.28515625" style="336" customWidth="1"/>
    <col min="8230" max="8230" width="11.5703125" style="336" bestFit="1" customWidth="1"/>
    <col min="8231" max="8450" width="11.42578125" style="336"/>
    <col min="8451" max="8451" width="13.7109375" style="336" customWidth="1"/>
    <col min="8452" max="8452" width="12.140625" style="336" customWidth="1"/>
    <col min="8453" max="8466" width="11" style="336" customWidth="1"/>
    <col min="8467" max="8469" width="10.42578125" style="336" customWidth="1"/>
    <col min="8470" max="8471" width="7.28515625" style="336" customWidth="1"/>
    <col min="8472" max="8472" width="7.85546875" style="336" bestFit="1" customWidth="1"/>
    <col min="8473" max="8485" width="7.28515625" style="336" customWidth="1"/>
    <col min="8486" max="8486" width="11.5703125" style="336" bestFit="1" customWidth="1"/>
    <col min="8487" max="8706" width="11.42578125" style="336"/>
    <col min="8707" max="8707" width="13.7109375" style="336" customWidth="1"/>
    <col min="8708" max="8708" width="12.140625" style="336" customWidth="1"/>
    <col min="8709" max="8722" width="11" style="336" customWidth="1"/>
    <col min="8723" max="8725" width="10.42578125" style="336" customWidth="1"/>
    <col min="8726" max="8727" width="7.28515625" style="336" customWidth="1"/>
    <col min="8728" max="8728" width="7.85546875" style="336" bestFit="1" customWidth="1"/>
    <col min="8729" max="8741" width="7.28515625" style="336" customWidth="1"/>
    <col min="8742" max="8742" width="11.5703125" style="336" bestFit="1" customWidth="1"/>
    <col min="8743" max="8962" width="11.42578125" style="336"/>
    <col min="8963" max="8963" width="13.7109375" style="336" customWidth="1"/>
    <col min="8964" max="8964" width="12.140625" style="336" customWidth="1"/>
    <col min="8965" max="8978" width="11" style="336" customWidth="1"/>
    <col min="8979" max="8981" width="10.42578125" style="336" customWidth="1"/>
    <col min="8982" max="8983" width="7.28515625" style="336" customWidth="1"/>
    <col min="8984" max="8984" width="7.85546875" style="336" bestFit="1" customWidth="1"/>
    <col min="8985" max="8997" width="7.28515625" style="336" customWidth="1"/>
    <col min="8998" max="8998" width="11.5703125" style="336" bestFit="1" customWidth="1"/>
    <col min="8999" max="9218" width="11.42578125" style="336"/>
    <col min="9219" max="9219" width="13.7109375" style="336" customWidth="1"/>
    <col min="9220" max="9220" width="12.140625" style="336" customWidth="1"/>
    <col min="9221" max="9234" width="11" style="336" customWidth="1"/>
    <col min="9235" max="9237" width="10.42578125" style="336" customWidth="1"/>
    <col min="9238" max="9239" width="7.28515625" style="336" customWidth="1"/>
    <col min="9240" max="9240" width="7.85546875" style="336" bestFit="1" customWidth="1"/>
    <col min="9241" max="9253" width="7.28515625" style="336" customWidth="1"/>
    <col min="9254" max="9254" width="11.5703125" style="336" bestFit="1" customWidth="1"/>
    <col min="9255" max="9474" width="11.42578125" style="336"/>
    <col min="9475" max="9475" width="13.7109375" style="336" customWidth="1"/>
    <col min="9476" max="9476" width="12.140625" style="336" customWidth="1"/>
    <col min="9477" max="9490" width="11" style="336" customWidth="1"/>
    <col min="9491" max="9493" width="10.42578125" style="336" customWidth="1"/>
    <col min="9494" max="9495" width="7.28515625" style="336" customWidth="1"/>
    <col min="9496" max="9496" width="7.85546875" style="336" bestFit="1" customWidth="1"/>
    <col min="9497" max="9509" width="7.28515625" style="336" customWidth="1"/>
    <col min="9510" max="9510" width="11.5703125" style="336" bestFit="1" customWidth="1"/>
    <col min="9511" max="9730" width="11.42578125" style="336"/>
    <col min="9731" max="9731" width="13.7109375" style="336" customWidth="1"/>
    <col min="9732" max="9732" width="12.140625" style="336" customWidth="1"/>
    <col min="9733" max="9746" width="11" style="336" customWidth="1"/>
    <col min="9747" max="9749" width="10.42578125" style="336" customWidth="1"/>
    <col min="9750" max="9751" width="7.28515625" style="336" customWidth="1"/>
    <col min="9752" max="9752" width="7.85546875" style="336" bestFit="1" customWidth="1"/>
    <col min="9753" max="9765" width="7.28515625" style="336" customWidth="1"/>
    <col min="9766" max="9766" width="11.5703125" style="336" bestFit="1" customWidth="1"/>
    <col min="9767" max="9986" width="11.42578125" style="336"/>
    <col min="9987" max="9987" width="13.7109375" style="336" customWidth="1"/>
    <col min="9988" max="9988" width="12.140625" style="336" customWidth="1"/>
    <col min="9989" max="10002" width="11" style="336" customWidth="1"/>
    <col min="10003" max="10005" width="10.42578125" style="336" customWidth="1"/>
    <col min="10006" max="10007" width="7.28515625" style="336" customWidth="1"/>
    <col min="10008" max="10008" width="7.85546875" style="336" bestFit="1" customWidth="1"/>
    <col min="10009" max="10021" width="7.28515625" style="336" customWidth="1"/>
    <col min="10022" max="10022" width="11.5703125" style="336" bestFit="1" customWidth="1"/>
    <col min="10023" max="10242" width="11.42578125" style="336"/>
    <col min="10243" max="10243" width="13.7109375" style="336" customWidth="1"/>
    <col min="10244" max="10244" width="12.140625" style="336" customWidth="1"/>
    <col min="10245" max="10258" width="11" style="336" customWidth="1"/>
    <col min="10259" max="10261" width="10.42578125" style="336" customWidth="1"/>
    <col min="10262" max="10263" width="7.28515625" style="336" customWidth="1"/>
    <col min="10264" max="10264" width="7.85546875" style="336" bestFit="1" customWidth="1"/>
    <col min="10265" max="10277" width="7.28515625" style="336" customWidth="1"/>
    <col min="10278" max="10278" width="11.5703125" style="336" bestFit="1" customWidth="1"/>
    <col min="10279" max="10498" width="11.42578125" style="336"/>
    <col min="10499" max="10499" width="13.7109375" style="336" customWidth="1"/>
    <col min="10500" max="10500" width="12.140625" style="336" customWidth="1"/>
    <col min="10501" max="10514" width="11" style="336" customWidth="1"/>
    <col min="10515" max="10517" width="10.42578125" style="336" customWidth="1"/>
    <col min="10518" max="10519" width="7.28515625" style="336" customWidth="1"/>
    <col min="10520" max="10520" width="7.85546875" style="336" bestFit="1" customWidth="1"/>
    <col min="10521" max="10533" width="7.28515625" style="336" customWidth="1"/>
    <col min="10534" max="10534" width="11.5703125" style="336" bestFit="1" customWidth="1"/>
    <col min="10535" max="10754" width="11.42578125" style="336"/>
    <col min="10755" max="10755" width="13.7109375" style="336" customWidth="1"/>
    <col min="10756" max="10756" width="12.140625" style="336" customWidth="1"/>
    <col min="10757" max="10770" width="11" style="336" customWidth="1"/>
    <col min="10771" max="10773" width="10.42578125" style="336" customWidth="1"/>
    <col min="10774" max="10775" width="7.28515625" style="336" customWidth="1"/>
    <col min="10776" max="10776" width="7.85546875" style="336" bestFit="1" customWidth="1"/>
    <col min="10777" max="10789" width="7.28515625" style="336" customWidth="1"/>
    <col min="10790" max="10790" width="11.5703125" style="336" bestFit="1" customWidth="1"/>
    <col min="10791" max="11010" width="11.42578125" style="336"/>
    <col min="11011" max="11011" width="13.7109375" style="336" customWidth="1"/>
    <col min="11012" max="11012" width="12.140625" style="336" customWidth="1"/>
    <col min="11013" max="11026" width="11" style="336" customWidth="1"/>
    <col min="11027" max="11029" width="10.42578125" style="336" customWidth="1"/>
    <col min="11030" max="11031" width="7.28515625" style="336" customWidth="1"/>
    <col min="11032" max="11032" width="7.85546875" style="336" bestFit="1" customWidth="1"/>
    <col min="11033" max="11045" width="7.28515625" style="336" customWidth="1"/>
    <col min="11046" max="11046" width="11.5703125" style="336" bestFit="1" customWidth="1"/>
    <col min="11047" max="11266" width="11.42578125" style="336"/>
    <col min="11267" max="11267" width="13.7109375" style="336" customWidth="1"/>
    <col min="11268" max="11268" width="12.140625" style="336" customWidth="1"/>
    <col min="11269" max="11282" width="11" style="336" customWidth="1"/>
    <col min="11283" max="11285" width="10.42578125" style="336" customWidth="1"/>
    <col min="11286" max="11287" width="7.28515625" style="336" customWidth="1"/>
    <col min="11288" max="11288" width="7.85546875" style="336" bestFit="1" customWidth="1"/>
    <col min="11289" max="11301" width="7.28515625" style="336" customWidth="1"/>
    <col min="11302" max="11302" width="11.5703125" style="336" bestFit="1" customWidth="1"/>
    <col min="11303" max="11522" width="11.42578125" style="336"/>
    <col min="11523" max="11523" width="13.7109375" style="336" customWidth="1"/>
    <col min="11524" max="11524" width="12.140625" style="336" customWidth="1"/>
    <col min="11525" max="11538" width="11" style="336" customWidth="1"/>
    <col min="11539" max="11541" width="10.42578125" style="336" customWidth="1"/>
    <col min="11542" max="11543" width="7.28515625" style="336" customWidth="1"/>
    <col min="11544" max="11544" width="7.85546875" style="336" bestFit="1" customWidth="1"/>
    <col min="11545" max="11557" width="7.28515625" style="336" customWidth="1"/>
    <col min="11558" max="11558" width="11.5703125" style="336" bestFit="1" customWidth="1"/>
    <col min="11559" max="11778" width="11.42578125" style="336"/>
    <col min="11779" max="11779" width="13.7109375" style="336" customWidth="1"/>
    <col min="11780" max="11780" width="12.140625" style="336" customWidth="1"/>
    <col min="11781" max="11794" width="11" style="336" customWidth="1"/>
    <col min="11795" max="11797" width="10.42578125" style="336" customWidth="1"/>
    <col min="11798" max="11799" width="7.28515625" style="336" customWidth="1"/>
    <col min="11800" max="11800" width="7.85546875" style="336" bestFit="1" customWidth="1"/>
    <col min="11801" max="11813" width="7.28515625" style="336" customWidth="1"/>
    <col min="11814" max="11814" width="11.5703125" style="336" bestFit="1" customWidth="1"/>
    <col min="11815" max="12034" width="11.42578125" style="336"/>
    <col min="12035" max="12035" width="13.7109375" style="336" customWidth="1"/>
    <col min="12036" max="12036" width="12.140625" style="336" customWidth="1"/>
    <col min="12037" max="12050" width="11" style="336" customWidth="1"/>
    <col min="12051" max="12053" width="10.42578125" style="336" customWidth="1"/>
    <col min="12054" max="12055" width="7.28515625" style="336" customWidth="1"/>
    <col min="12056" max="12056" width="7.85546875" style="336" bestFit="1" customWidth="1"/>
    <col min="12057" max="12069" width="7.28515625" style="336" customWidth="1"/>
    <col min="12070" max="12070" width="11.5703125" style="336" bestFit="1" customWidth="1"/>
    <col min="12071" max="12290" width="11.42578125" style="336"/>
    <col min="12291" max="12291" width="13.7109375" style="336" customWidth="1"/>
    <col min="12292" max="12292" width="12.140625" style="336" customWidth="1"/>
    <col min="12293" max="12306" width="11" style="336" customWidth="1"/>
    <col min="12307" max="12309" width="10.42578125" style="336" customWidth="1"/>
    <col min="12310" max="12311" width="7.28515625" style="336" customWidth="1"/>
    <col min="12312" max="12312" width="7.85546875" style="336" bestFit="1" customWidth="1"/>
    <col min="12313" max="12325" width="7.28515625" style="336" customWidth="1"/>
    <col min="12326" max="12326" width="11.5703125" style="336" bestFit="1" customWidth="1"/>
    <col min="12327" max="12546" width="11.42578125" style="336"/>
    <col min="12547" max="12547" width="13.7109375" style="336" customWidth="1"/>
    <col min="12548" max="12548" width="12.140625" style="336" customWidth="1"/>
    <col min="12549" max="12562" width="11" style="336" customWidth="1"/>
    <col min="12563" max="12565" width="10.42578125" style="336" customWidth="1"/>
    <col min="12566" max="12567" width="7.28515625" style="336" customWidth="1"/>
    <col min="12568" max="12568" width="7.85546875" style="336" bestFit="1" customWidth="1"/>
    <col min="12569" max="12581" width="7.28515625" style="336" customWidth="1"/>
    <col min="12582" max="12582" width="11.5703125" style="336" bestFit="1" customWidth="1"/>
    <col min="12583" max="12802" width="11.42578125" style="336"/>
    <col min="12803" max="12803" width="13.7109375" style="336" customWidth="1"/>
    <col min="12804" max="12804" width="12.140625" style="336" customWidth="1"/>
    <col min="12805" max="12818" width="11" style="336" customWidth="1"/>
    <col min="12819" max="12821" width="10.42578125" style="336" customWidth="1"/>
    <col min="12822" max="12823" width="7.28515625" style="336" customWidth="1"/>
    <col min="12824" max="12824" width="7.85546875" style="336" bestFit="1" customWidth="1"/>
    <col min="12825" max="12837" width="7.28515625" style="336" customWidth="1"/>
    <col min="12838" max="12838" width="11.5703125" style="336" bestFit="1" customWidth="1"/>
    <col min="12839" max="13058" width="11.42578125" style="336"/>
    <col min="13059" max="13059" width="13.7109375" style="336" customWidth="1"/>
    <col min="13060" max="13060" width="12.140625" style="336" customWidth="1"/>
    <col min="13061" max="13074" width="11" style="336" customWidth="1"/>
    <col min="13075" max="13077" width="10.42578125" style="336" customWidth="1"/>
    <col min="13078" max="13079" width="7.28515625" style="336" customWidth="1"/>
    <col min="13080" max="13080" width="7.85546875" style="336" bestFit="1" customWidth="1"/>
    <col min="13081" max="13093" width="7.28515625" style="336" customWidth="1"/>
    <col min="13094" max="13094" width="11.5703125" style="336" bestFit="1" customWidth="1"/>
    <col min="13095" max="13314" width="11.42578125" style="336"/>
    <col min="13315" max="13315" width="13.7109375" style="336" customWidth="1"/>
    <col min="13316" max="13316" width="12.140625" style="336" customWidth="1"/>
    <col min="13317" max="13330" width="11" style="336" customWidth="1"/>
    <col min="13331" max="13333" width="10.42578125" style="336" customWidth="1"/>
    <col min="13334" max="13335" width="7.28515625" style="336" customWidth="1"/>
    <col min="13336" max="13336" width="7.85546875" style="336" bestFit="1" customWidth="1"/>
    <col min="13337" max="13349" width="7.28515625" style="336" customWidth="1"/>
    <col min="13350" max="13350" width="11.5703125" style="336" bestFit="1" customWidth="1"/>
    <col min="13351" max="13570" width="11.42578125" style="336"/>
    <col min="13571" max="13571" width="13.7109375" style="336" customWidth="1"/>
    <col min="13572" max="13572" width="12.140625" style="336" customWidth="1"/>
    <col min="13573" max="13586" width="11" style="336" customWidth="1"/>
    <col min="13587" max="13589" width="10.42578125" style="336" customWidth="1"/>
    <col min="13590" max="13591" width="7.28515625" style="336" customWidth="1"/>
    <col min="13592" max="13592" width="7.85546875" style="336" bestFit="1" customWidth="1"/>
    <col min="13593" max="13605" width="7.28515625" style="336" customWidth="1"/>
    <col min="13606" max="13606" width="11.5703125" style="336" bestFit="1" customWidth="1"/>
    <col min="13607" max="13826" width="11.42578125" style="336"/>
    <col min="13827" max="13827" width="13.7109375" style="336" customWidth="1"/>
    <col min="13828" max="13828" width="12.140625" style="336" customWidth="1"/>
    <col min="13829" max="13842" width="11" style="336" customWidth="1"/>
    <col min="13843" max="13845" width="10.42578125" style="336" customWidth="1"/>
    <col min="13846" max="13847" width="7.28515625" style="336" customWidth="1"/>
    <col min="13848" max="13848" width="7.85546875" style="336" bestFit="1" customWidth="1"/>
    <col min="13849" max="13861" width="7.28515625" style="336" customWidth="1"/>
    <col min="13862" max="13862" width="11.5703125" style="336" bestFit="1" customWidth="1"/>
    <col min="13863" max="14082" width="11.42578125" style="336"/>
    <col min="14083" max="14083" width="13.7109375" style="336" customWidth="1"/>
    <col min="14084" max="14084" width="12.140625" style="336" customWidth="1"/>
    <col min="14085" max="14098" width="11" style="336" customWidth="1"/>
    <col min="14099" max="14101" width="10.42578125" style="336" customWidth="1"/>
    <col min="14102" max="14103" width="7.28515625" style="336" customWidth="1"/>
    <col min="14104" max="14104" width="7.85546875" style="336" bestFit="1" customWidth="1"/>
    <col min="14105" max="14117" width="7.28515625" style="336" customWidth="1"/>
    <col min="14118" max="14118" width="11.5703125" style="336" bestFit="1" customWidth="1"/>
    <col min="14119" max="14338" width="11.42578125" style="336"/>
    <col min="14339" max="14339" width="13.7109375" style="336" customWidth="1"/>
    <col min="14340" max="14340" width="12.140625" style="336" customWidth="1"/>
    <col min="14341" max="14354" width="11" style="336" customWidth="1"/>
    <col min="14355" max="14357" width="10.42578125" style="336" customWidth="1"/>
    <col min="14358" max="14359" width="7.28515625" style="336" customWidth="1"/>
    <col min="14360" max="14360" width="7.85546875" style="336" bestFit="1" customWidth="1"/>
    <col min="14361" max="14373" width="7.28515625" style="336" customWidth="1"/>
    <col min="14374" max="14374" width="11.5703125" style="336" bestFit="1" customWidth="1"/>
    <col min="14375" max="14594" width="11.42578125" style="336"/>
    <col min="14595" max="14595" width="13.7109375" style="336" customWidth="1"/>
    <col min="14596" max="14596" width="12.140625" style="336" customWidth="1"/>
    <col min="14597" max="14610" width="11" style="336" customWidth="1"/>
    <col min="14611" max="14613" width="10.42578125" style="336" customWidth="1"/>
    <col min="14614" max="14615" width="7.28515625" style="336" customWidth="1"/>
    <col min="14616" max="14616" width="7.85546875" style="336" bestFit="1" customWidth="1"/>
    <col min="14617" max="14629" width="7.28515625" style="336" customWidth="1"/>
    <col min="14630" max="14630" width="11.5703125" style="336" bestFit="1" customWidth="1"/>
    <col min="14631" max="14850" width="11.42578125" style="336"/>
    <col min="14851" max="14851" width="13.7109375" style="336" customWidth="1"/>
    <col min="14852" max="14852" width="12.140625" style="336" customWidth="1"/>
    <col min="14853" max="14866" width="11" style="336" customWidth="1"/>
    <col min="14867" max="14869" width="10.42578125" style="336" customWidth="1"/>
    <col min="14870" max="14871" width="7.28515625" style="336" customWidth="1"/>
    <col min="14872" max="14872" width="7.85546875" style="336" bestFit="1" customWidth="1"/>
    <col min="14873" max="14885" width="7.28515625" style="336" customWidth="1"/>
    <col min="14886" max="14886" width="11.5703125" style="336" bestFit="1" customWidth="1"/>
    <col min="14887" max="15106" width="11.42578125" style="336"/>
    <col min="15107" max="15107" width="13.7109375" style="336" customWidth="1"/>
    <col min="15108" max="15108" width="12.140625" style="336" customWidth="1"/>
    <col min="15109" max="15122" width="11" style="336" customWidth="1"/>
    <col min="15123" max="15125" width="10.42578125" style="336" customWidth="1"/>
    <col min="15126" max="15127" width="7.28515625" style="336" customWidth="1"/>
    <col min="15128" max="15128" width="7.85546875" style="336" bestFit="1" customWidth="1"/>
    <col min="15129" max="15141" width="7.28515625" style="336" customWidth="1"/>
    <col min="15142" max="15142" width="11.5703125" style="336" bestFit="1" customWidth="1"/>
    <col min="15143" max="15362" width="11.42578125" style="336"/>
    <col min="15363" max="15363" width="13.7109375" style="336" customWidth="1"/>
    <col min="15364" max="15364" width="12.140625" style="336" customWidth="1"/>
    <col min="15365" max="15378" width="11" style="336" customWidth="1"/>
    <col min="15379" max="15381" width="10.42578125" style="336" customWidth="1"/>
    <col min="15382" max="15383" width="7.28515625" style="336" customWidth="1"/>
    <col min="15384" max="15384" width="7.85546875" style="336" bestFit="1" customWidth="1"/>
    <col min="15385" max="15397" width="7.28515625" style="336" customWidth="1"/>
    <col min="15398" max="15398" width="11.5703125" style="336" bestFit="1" customWidth="1"/>
    <col min="15399" max="15618" width="11.42578125" style="336"/>
    <col min="15619" max="15619" width="13.7109375" style="336" customWidth="1"/>
    <col min="15620" max="15620" width="12.140625" style="336" customWidth="1"/>
    <col min="15621" max="15634" width="11" style="336" customWidth="1"/>
    <col min="15635" max="15637" width="10.42578125" style="336" customWidth="1"/>
    <col min="15638" max="15639" width="7.28515625" style="336" customWidth="1"/>
    <col min="15640" max="15640" width="7.85546875" style="336" bestFit="1" customWidth="1"/>
    <col min="15641" max="15653" width="7.28515625" style="336" customWidth="1"/>
    <col min="15654" max="15654" width="11.5703125" style="336" bestFit="1" customWidth="1"/>
    <col min="15655" max="15874" width="11.42578125" style="336"/>
    <col min="15875" max="15875" width="13.7109375" style="336" customWidth="1"/>
    <col min="15876" max="15876" width="12.140625" style="336" customWidth="1"/>
    <col min="15877" max="15890" width="11" style="336" customWidth="1"/>
    <col min="15891" max="15893" width="10.42578125" style="336" customWidth="1"/>
    <col min="15894" max="15895" width="7.28515625" style="336" customWidth="1"/>
    <col min="15896" max="15896" width="7.85546875" style="336" bestFit="1" customWidth="1"/>
    <col min="15897" max="15909" width="7.28515625" style="336" customWidth="1"/>
    <col min="15910" max="15910" width="11.5703125" style="336" bestFit="1" customWidth="1"/>
    <col min="15911" max="16130" width="11.42578125" style="336"/>
    <col min="16131" max="16131" width="13.7109375" style="336" customWidth="1"/>
    <col min="16132" max="16132" width="12.140625" style="336" customWidth="1"/>
    <col min="16133" max="16146" width="11" style="336" customWidth="1"/>
    <col min="16147" max="16149" width="10.42578125" style="336" customWidth="1"/>
    <col min="16150" max="16151" width="7.28515625" style="336" customWidth="1"/>
    <col min="16152" max="16152" width="7.85546875" style="336" bestFit="1" customWidth="1"/>
    <col min="16153" max="16165" width="7.28515625" style="336" customWidth="1"/>
    <col min="16166" max="16166" width="11.5703125" style="336" bestFit="1" customWidth="1"/>
    <col min="16167" max="16384" width="11.42578125" style="336"/>
  </cols>
  <sheetData>
    <row r="3" spans="2:12">
      <c r="B3" s="335"/>
    </row>
    <row r="4" spans="2:12">
      <c r="B4" s="335"/>
    </row>
    <row r="5" spans="2:12">
      <c r="B5" s="335"/>
    </row>
    <row r="6" spans="2:12" ht="27.75" customHeight="1" thickBot="1">
      <c r="B6" s="219" t="s">
        <v>282</v>
      </c>
      <c r="C6" s="220"/>
      <c r="D6" s="220"/>
      <c r="E6" s="220"/>
      <c r="F6" s="220"/>
    </row>
    <row r="7" spans="2:12" ht="36.75" thickBot="1">
      <c r="B7" s="298"/>
      <c r="C7" s="299" t="s">
        <v>267</v>
      </c>
      <c r="D7" s="299" t="s">
        <v>197</v>
      </c>
      <c r="E7" s="299" t="s">
        <v>198</v>
      </c>
      <c r="F7" s="299" t="s">
        <v>199</v>
      </c>
      <c r="H7" s="60" t="s">
        <v>50</v>
      </c>
    </row>
    <row r="8" spans="2:12" ht="15" hidden="1">
      <c r="B8" s="300" t="s">
        <v>200</v>
      </c>
      <c r="C8" s="385">
        <f>GETPIVOTDATA("dato",'[1]tabla dinámica EM'!$A$58,"categoría","TOTAL","mes",12,"año",2010)</f>
        <v>0</v>
      </c>
      <c r="D8" s="409">
        <f t="shared" ref="D8:D31" si="0">IFERROR(C8-C9,"-")</f>
        <v>0</v>
      </c>
      <c r="E8" s="409">
        <f>IFERROR(C8-C21,"-")</f>
        <v>-2.7568393703194252</v>
      </c>
      <c r="F8" s="410">
        <f>IFERROR(AVERAGE(C8:C19)-AVERAGE(C21:C32),"-")</f>
        <v>-1.1509786430499824</v>
      </c>
    </row>
    <row r="9" spans="2:12" ht="15" hidden="1">
      <c r="B9" s="300" t="s">
        <v>201</v>
      </c>
      <c r="C9" s="385">
        <f>GETPIVOTDATA("dato",'[1]tabla dinámica EM'!$A$58,"categoría","TOTAL","mes",11,"año",2010)</f>
        <v>0</v>
      </c>
      <c r="D9" s="409">
        <f t="shared" si="0"/>
        <v>0</v>
      </c>
      <c r="E9" s="409">
        <f t="shared" ref="E9:E59" si="1">IFERROR(C9-C22,"-")</f>
        <v>-1.9802716225875625</v>
      </c>
      <c r="F9" s="410">
        <f>IFERROR(AVERAGE(C9:C19,C21)-AVERAGE(C22:C32,C34),"-")</f>
        <v>-0.88900541466341187</v>
      </c>
    </row>
    <row r="10" spans="2:12" ht="15" hidden="1">
      <c r="B10" s="300" t="s">
        <v>202</v>
      </c>
      <c r="C10" s="385">
        <f>GETPIVOTDATA("dato",'[1]tabla dinámica EM'!$A$58,"categoría","TOTAL","mes",10,"año",2010)</f>
        <v>0</v>
      </c>
      <c r="D10" s="409">
        <f t="shared" si="0"/>
        <v>0</v>
      </c>
      <c r="E10" s="409">
        <f t="shared" si="1"/>
        <v>-2.2616909985166678</v>
      </c>
      <c r="F10" s="410">
        <f>IFERROR(AVERAGE(C10:C19,C21:C22)-AVERAGE(C23:C32,C34:C35),"-")</f>
        <v>-0.75729347756548449</v>
      </c>
    </row>
    <row r="11" spans="2:12" ht="15" hidden="1">
      <c r="B11" s="300" t="s">
        <v>203</v>
      </c>
      <c r="C11" s="385">
        <f>GETPIVOTDATA("dato",'[1]tabla dinámica EM'!$A$58,"categoría","TOTAL","mes",9,"año",2010)</f>
        <v>0</v>
      </c>
      <c r="D11" s="409">
        <f t="shared" si="0"/>
        <v>0</v>
      </c>
      <c r="E11" s="409">
        <f t="shared" si="1"/>
        <v>-2.33</v>
      </c>
      <c r="F11" s="410">
        <f>IFERROR(AVERAGE(C11:C19,C21:C23)-AVERAGE(C24:C32,C34:C36),"-")</f>
        <v>-0.57201164447937347</v>
      </c>
      <c r="H11" s="12"/>
    </row>
    <row r="12" spans="2:12" ht="15" hidden="1">
      <c r="B12" s="300" t="s">
        <v>204</v>
      </c>
      <c r="C12" s="385">
        <f>GETPIVOTDATA("dato",'[1]tabla dinámica EM'!$A$58,"categoría","TOTAL","mes",8,"año",2010)</f>
        <v>0</v>
      </c>
      <c r="D12" s="409">
        <f t="shared" si="0"/>
        <v>-2.16</v>
      </c>
      <c r="E12" s="409">
        <f t="shared" si="1"/>
        <v>-2.75</v>
      </c>
      <c r="F12" s="410">
        <f>IFERROR(AVERAGE(C12:C19,C21:C24)-AVERAGE(C25:C32,C34:C37),"-")</f>
        <v>-0.37201164447937352</v>
      </c>
      <c r="G12" s="12"/>
      <c r="H12" s="12"/>
      <c r="I12" s="12"/>
      <c r="J12" s="12"/>
      <c r="K12" s="12"/>
      <c r="L12" s="12"/>
    </row>
    <row r="13" spans="2:12" ht="15">
      <c r="B13" s="300" t="s">
        <v>205</v>
      </c>
      <c r="C13" s="385">
        <f>GETPIVOTDATA("dato",'[1]tabla dinámica EM'!$A$58,"categoría","TOTAL","mes",7,"año",2010)</f>
        <v>2.16</v>
      </c>
      <c r="D13" s="409">
        <f t="shared" si="0"/>
        <v>9.9835988014508992E-2</v>
      </c>
      <c r="E13" s="409">
        <f t="shared" si="1"/>
        <v>-0.12999999999999989</v>
      </c>
      <c r="F13" s="410">
        <f>IFERROR(AVERAGE(C13:C19,C21:C25)-AVERAGE(C26:C32,C34:C38),"-")</f>
        <v>-0.1295116444793738</v>
      </c>
      <c r="G13" s="12"/>
      <c r="H13" s="12"/>
      <c r="I13" s="12"/>
      <c r="J13" s="12"/>
      <c r="K13" s="12"/>
      <c r="L13" s="12"/>
    </row>
    <row r="14" spans="2:12" ht="15">
      <c r="B14" s="300" t="s">
        <v>206</v>
      </c>
      <c r="C14" s="385">
        <f>GETPIVOTDATA("dato",'[1]tabla dinámica EM'!$A$58,"categoría","TOTAL","mes",6,"año",2010)</f>
        <v>2.0601640119854912</v>
      </c>
      <c r="D14" s="409">
        <f t="shared" si="0"/>
        <v>1.9702981921817297E-2</v>
      </c>
      <c r="E14" s="409">
        <f t="shared" si="1"/>
        <v>-0.14391441938705807</v>
      </c>
      <c r="F14" s="410">
        <f>IFERROR(AVERAGE(C14:C19,C21:C26)-AVERAGE(C27:C32,C34:C39),"-")</f>
        <v>-0.14367831114604002</v>
      </c>
      <c r="G14" s="12"/>
      <c r="H14" s="12"/>
      <c r="I14" s="12"/>
      <c r="J14" s="12"/>
      <c r="K14" s="12"/>
      <c r="L14" s="12"/>
    </row>
    <row r="15" spans="2:12" ht="15">
      <c r="B15" s="300" t="s">
        <v>207</v>
      </c>
      <c r="C15" s="385">
        <f>GETPIVOTDATA("dato",'[1]tabla dinámica EM'!$A$58,"categoría","TOTAL","mes",5,"año",2010)</f>
        <v>2.0404610300636739</v>
      </c>
      <c r="D15" s="409">
        <f t="shared" si="0"/>
        <v>-0.1469149129363263</v>
      </c>
      <c r="E15" s="409">
        <f t="shared" si="1"/>
        <v>-0.19953896993632636</v>
      </c>
      <c r="F15" s="410">
        <f>IFERROR(AVERAGE(C15:C19,C21:C27)-AVERAGE(C28:C32,C34:C40),"-")</f>
        <v>-0.15884557358273943</v>
      </c>
      <c r="G15" s="12"/>
      <c r="H15" s="12"/>
      <c r="I15" s="12"/>
      <c r="J15" s="12"/>
      <c r="K15" s="12"/>
      <c r="L15" s="12"/>
    </row>
    <row r="16" spans="2:12" ht="15">
      <c r="B16" s="300" t="s">
        <v>208</v>
      </c>
      <c r="C16" s="385">
        <f>GETPIVOTDATA("dato",'[1]tabla dinámica EM'!$A$58,"categoría","TOTAL","mes",4,"año",2010)</f>
        <v>2.1873759430000002</v>
      </c>
      <c r="D16" s="409">
        <f>IFERROR(C16-C17,"-")</f>
        <v>0.23424022185275173</v>
      </c>
      <c r="E16" s="409">
        <f t="shared" si="1"/>
        <v>-9.2624056999999649E-2</v>
      </c>
      <c r="F16" s="410">
        <f>IFERROR(AVERAGE(C16:C19,C21:C28)-AVERAGE(C29:C32,C34:C41),"-")</f>
        <v>-0.18221732608804508</v>
      </c>
      <c r="G16" s="12"/>
      <c r="H16" s="12"/>
      <c r="I16" s="12"/>
      <c r="J16" s="12"/>
      <c r="K16" s="12"/>
      <c r="L16" s="12"/>
    </row>
    <row r="17" spans="2:12" ht="15">
      <c r="B17" s="300" t="s">
        <v>209</v>
      </c>
      <c r="C17" s="385">
        <f>GETPIVOTDATA("dato",'[1]tabla dinámica EM'!$A$58,"categoría","TOTAL","mes",3,"año",2010)</f>
        <v>1.9531357211472484</v>
      </c>
      <c r="D17" s="409">
        <f t="shared" si="0"/>
        <v>-0.11686427885275141</v>
      </c>
      <c r="E17" s="409">
        <f t="shared" si="1"/>
        <v>-0.38686427885275143</v>
      </c>
      <c r="F17" s="410">
        <f>IFERROR(AVERAGE(C17:C19,C21:C29)-AVERAGE(C30:C32,C34:C42),"-")</f>
        <v>-0.18449865467137894</v>
      </c>
      <c r="G17" s="12"/>
      <c r="I17" s="12"/>
      <c r="J17" s="12"/>
      <c r="K17" s="12"/>
      <c r="L17" s="12"/>
    </row>
    <row r="18" spans="2:12" ht="15">
      <c r="B18" s="300" t="s">
        <v>210</v>
      </c>
      <c r="C18" s="385">
        <f>GETPIVOTDATA("dato",'[1]tabla dinámica EM'!$A$58,"categoría","TOTAL","mes",2,"año",2010)</f>
        <v>2.0699999999999998</v>
      </c>
      <c r="D18" s="409">
        <f t="shared" si="0"/>
        <v>-0.10000000000000009</v>
      </c>
      <c r="E18" s="409">
        <f t="shared" si="1"/>
        <v>-0.52</v>
      </c>
      <c r="F18" s="410">
        <f>IFERROR(AVERAGE(C18:C19,C21:C30)-AVERAGE(C31:C32,C34:C43),"-")</f>
        <v>-0.19892663143364908</v>
      </c>
    </row>
    <row r="19" spans="2:12" ht="15">
      <c r="B19" s="300" t="s">
        <v>211</v>
      </c>
      <c r="C19" s="385">
        <f>GETPIVOTDATA("dato",'[1]tabla dinámica EM'!$A$58,"categoría","TOTAL","mes",1,"año",2010)</f>
        <v>2.17</v>
      </c>
      <c r="D19" s="409" t="s">
        <v>32</v>
      </c>
      <c r="E19" s="409">
        <f t="shared" si="1"/>
        <v>-0.26000000000000023</v>
      </c>
      <c r="F19" s="410">
        <f>IFERROR(AVERAGE(C19,C21:C31)-AVERAGE(C32,C34:C44),"-")</f>
        <v>-0.14892663143364926</v>
      </c>
    </row>
    <row r="20" spans="2:12" ht="24">
      <c r="B20" s="302" t="s">
        <v>55</v>
      </c>
      <c r="C20" s="387">
        <f>'[1]tabla dinámica municipios'!$U$379</f>
        <v>2.0865799000172385</v>
      </c>
      <c r="D20" s="338"/>
      <c r="E20" s="411">
        <f>'[1]tabla dinámica municipios'!$U$379-'[1]tabla dinámica municipios'!$K$379</f>
        <v>-0.25948864415148565</v>
      </c>
      <c r="F20" s="412" t="s">
        <v>32</v>
      </c>
    </row>
    <row r="21" spans="2:12" ht="15" hidden="1" outlineLevel="1">
      <c r="B21" s="300" t="s">
        <v>200</v>
      </c>
      <c r="C21" s="385">
        <f>GETPIVOTDATA("dato",'[1]tabla dinámica EM'!$A$58,"categoría","TOTAL","mes",12,"año",2009)</f>
        <v>2.7568393703194252</v>
      </c>
      <c r="D21" s="409">
        <f t="shared" si="0"/>
        <v>0.77656774773186266</v>
      </c>
      <c r="E21" s="409">
        <f t="shared" si="1"/>
        <v>0.38683937031942506</v>
      </c>
      <c r="F21" s="410">
        <f>IFERROR(AVERAGE(C21:C32)-AVERAGE(C34:C45),"-")</f>
        <v>-0.13588547020411212</v>
      </c>
    </row>
    <row r="22" spans="2:12" ht="15" hidden="1" outlineLevel="1">
      <c r="B22" s="300" t="s">
        <v>201</v>
      </c>
      <c r="C22" s="385">
        <f>GETPIVOTDATA("dato",'[1]tabla dinámica EM'!$A$58,"categoría","TOTAL","mes",11,"año",2009)</f>
        <v>1.9802716225875625</v>
      </c>
      <c r="D22" s="409">
        <f t="shared" si="0"/>
        <v>-0.28141937592910526</v>
      </c>
      <c r="E22" s="409">
        <f t="shared" si="1"/>
        <v>-0.39972837741243739</v>
      </c>
      <c r="F22" s="410">
        <f>IFERROR(AVERAGE(C22:C32,C34)-AVERAGE(C35:C45,C47),"-")</f>
        <v>-0.17645541773073026</v>
      </c>
    </row>
    <row r="23" spans="2:12" ht="15" hidden="1" outlineLevel="1">
      <c r="B23" s="300" t="s">
        <v>202</v>
      </c>
      <c r="C23" s="385">
        <f>GETPIVOTDATA("dato",'[1]tabla dinámica EM'!$A$58,"categoría","TOTAL","mes",10,"año",2009)</f>
        <v>2.2616909985166678</v>
      </c>
      <c r="D23" s="409">
        <f t="shared" si="0"/>
        <v>-6.8309001483332299E-2</v>
      </c>
      <c r="E23" s="409">
        <f t="shared" si="1"/>
        <v>-3.830900148333205E-2</v>
      </c>
      <c r="F23" s="410">
        <f>IFERROR(AVERAGE(C23:C32,C34:C35)-AVERAGE(C36:C45,C47:C48),"-")</f>
        <v>-0.13564471961302793</v>
      </c>
    </row>
    <row r="24" spans="2:12" ht="15" hidden="1" outlineLevel="1">
      <c r="B24" s="300" t="s">
        <v>203</v>
      </c>
      <c r="C24" s="385">
        <f>GETPIVOTDATA("dato",'[1]tabla dinámica EM'!$A$58,"categoría","TOTAL","mes",9,"año",2009)</f>
        <v>2.33</v>
      </c>
      <c r="D24" s="409">
        <f t="shared" si="0"/>
        <v>-0.41999999999999993</v>
      </c>
      <c r="E24" s="409">
        <f t="shared" si="1"/>
        <v>7.0000000000000284E-2</v>
      </c>
      <c r="F24" s="410">
        <f>IFERROR(AVERAGE(C24:C32,C34:C36)-AVERAGE(C37:C45,C47:C49),"-")</f>
        <v>-0.15078563615608376</v>
      </c>
    </row>
    <row r="25" spans="2:12" ht="15" hidden="1" outlineLevel="1">
      <c r="B25" s="300" t="s">
        <v>204</v>
      </c>
      <c r="C25" s="385">
        <f>GETPIVOTDATA("dato",'[1]tabla dinámica EM'!$A$58,"categoría","TOTAL","mes",8,"año",2009)</f>
        <v>2.75</v>
      </c>
      <c r="D25" s="409">
        <f t="shared" si="0"/>
        <v>0.45999999999999996</v>
      </c>
      <c r="E25" s="409">
        <f t="shared" si="1"/>
        <v>0.16000000000000014</v>
      </c>
      <c r="F25" s="410">
        <f>IFERROR(AVERAGE(C25:C32,C34:C37)-AVERAGE(C38:C45,C47:C50),"-")</f>
        <v>-0.18661896948941736</v>
      </c>
    </row>
    <row r="26" spans="2:12" ht="15" hidden="1" outlineLevel="1">
      <c r="B26" s="300" t="s">
        <v>205</v>
      </c>
      <c r="C26" s="385">
        <f>GETPIVOTDATA("dato",'[1]tabla dinámica EM'!$A$58,"categoría","TOTAL","mes",7,"año",2009)</f>
        <v>2.29</v>
      </c>
      <c r="D26" s="409">
        <f t="shared" si="0"/>
        <v>8.5921568627450817E-2</v>
      </c>
      <c r="E26" s="409">
        <f t="shared" si="1"/>
        <v>-0.29999999999999982</v>
      </c>
      <c r="F26" s="410">
        <f>IFERROR(AVERAGE(C26:C32,C34:C38)-AVERAGE(C39:C45,C47:C51),"-")</f>
        <v>-0.21078563615608381</v>
      </c>
    </row>
    <row r="27" spans="2:12" ht="15" hidden="1" outlineLevel="1">
      <c r="B27" s="300" t="s">
        <v>206</v>
      </c>
      <c r="C27" s="385">
        <f>GETPIVOTDATA("dato",'[1]tabla dinámica EM'!$A$58,"categoría","TOTAL","mes",6,"año",2009)</f>
        <v>2.2040784313725492</v>
      </c>
      <c r="D27" s="409">
        <f t="shared" si="0"/>
        <v>-3.5921568627450995E-2</v>
      </c>
      <c r="E27" s="409">
        <f t="shared" si="1"/>
        <v>-0.32592156862745059</v>
      </c>
      <c r="F27" s="410">
        <f>IFERROR(AVERAGE(C27:C32,C34:C39)-AVERAGE(C40:C45,C47:C52),"-")</f>
        <v>-0.21328563615608376</v>
      </c>
    </row>
    <row r="28" spans="2:12" ht="15" hidden="1" outlineLevel="1">
      <c r="B28" s="300" t="s">
        <v>207</v>
      </c>
      <c r="C28" s="385">
        <f>GETPIVOTDATA("dato",'[1]tabla dinámica EM'!$A$58,"categoría","TOTAL","mes",5,"año",2009)</f>
        <v>2.2400000000000002</v>
      </c>
      <c r="D28" s="409">
        <f t="shared" si="0"/>
        <v>-3.9999999999999591E-2</v>
      </c>
      <c r="E28" s="409">
        <f t="shared" si="1"/>
        <v>-0.48</v>
      </c>
      <c r="F28" s="410">
        <f>IFERROR(AVERAGE(C28:C32,C34:C40)-AVERAGE(C41:C45,C47:C53),"-")</f>
        <v>-0.24279217210379622</v>
      </c>
    </row>
    <row r="29" spans="2:12" ht="15" hidden="1" outlineLevel="1">
      <c r="B29" s="300" t="s">
        <v>208</v>
      </c>
      <c r="C29" s="385">
        <f>GETPIVOTDATA("dato",'[1]tabla dinámica EM'!$A$58,"categoría","TOTAL","mes",4,"año",2009)</f>
        <v>2.2799999999999998</v>
      </c>
      <c r="D29" s="409">
        <f>IFERROR(C29-C30,"-")</f>
        <v>-6.0000000000000053E-2</v>
      </c>
      <c r="E29" s="409">
        <f t="shared" si="1"/>
        <v>-0.12000000000000011</v>
      </c>
      <c r="F29" s="410">
        <f>IFERROR(AVERAGE(C29:C32,C34:C41)-AVERAGE(C42:C45,C47:C54),"-")</f>
        <v>-0.22445883877046313</v>
      </c>
    </row>
    <row r="30" spans="2:12" ht="15" hidden="1" outlineLevel="1">
      <c r="B30" s="300" t="s">
        <v>209</v>
      </c>
      <c r="C30" s="385">
        <f>GETPIVOTDATA("dato",'[1]tabla dinámica EM'!$A$58,"categoría","TOTAL","mes",3,"año",2009)</f>
        <v>2.34</v>
      </c>
      <c r="D30" s="409">
        <f t="shared" si="0"/>
        <v>-0.25</v>
      </c>
      <c r="E30" s="409">
        <f t="shared" si="1"/>
        <v>-0.56000000000000005</v>
      </c>
      <c r="F30" s="410">
        <f>IFERROR(AVERAGE(C30:C32,C34:C42)-AVERAGE(C43:C45,C47:C55),"-")</f>
        <v>-0.25362550543712992</v>
      </c>
    </row>
    <row r="31" spans="2:12" ht="15" hidden="1" outlineLevel="1">
      <c r="B31" s="300" t="s">
        <v>210</v>
      </c>
      <c r="C31" s="385">
        <f>GETPIVOTDATA("dato",'[1]tabla dinámica EM'!$A$58,"categoría","TOTAL","mes",2,"año",2009)</f>
        <v>2.59</v>
      </c>
      <c r="D31" s="409">
        <f t="shared" si="0"/>
        <v>0.1599999999999997</v>
      </c>
      <c r="E31" s="409">
        <f t="shared" si="1"/>
        <v>8.0000000000000071E-2</v>
      </c>
      <c r="F31" s="410">
        <f>IFERROR(AVERAGE(C31:C32,C34:C43)-AVERAGE(C44:C45,C47:C56),"-")</f>
        <v>-0.18279217210379617</v>
      </c>
    </row>
    <row r="32" spans="2:12" ht="15" hidden="1" outlineLevel="1">
      <c r="B32" s="300" t="s">
        <v>211</v>
      </c>
      <c r="C32" s="385">
        <f>GETPIVOTDATA("dato",'[1]tabla dinámica EM'!$A$58,"categoría","TOTAL","mes",1,"año",2009)</f>
        <v>2.4300000000000002</v>
      </c>
      <c r="D32" s="409" t="s">
        <v>32</v>
      </c>
      <c r="E32" s="409">
        <f t="shared" si="1"/>
        <v>-0.10350606524555417</v>
      </c>
      <c r="F32" s="410">
        <f>IFERROR(AVERAGE(C32,C34:C44)-AVERAGE(C45,C47:C57),"-")</f>
        <v>-0.20029217210379668</v>
      </c>
    </row>
    <row r="33" spans="2:6" ht="15" collapsed="1">
      <c r="B33" s="305">
        <v>2009</v>
      </c>
      <c r="C33" s="389">
        <f>'[1]tabla dinámica EM'!E347</f>
        <v>2.3595512168578701</v>
      </c>
      <c r="D33" s="306"/>
      <c r="E33" s="413">
        <f t="shared" si="1"/>
        <v>-0.14495288187197408</v>
      </c>
      <c r="F33" s="413">
        <f>IFERROR(AVERAGE(C21:C32)-AVERAGE(C34:C45),"-")</f>
        <v>-0.13588547020411212</v>
      </c>
    </row>
    <row r="34" spans="2:6" ht="15" hidden="1" outlineLevel="1">
      <c r="B34" s="300" t="s">
        <v>200</v>
      </c>
      <c r="C34" s="385">
        <f>GETPIVOTDATA("dato",'[1]tabla dinámica EM'!$A$58,"categoría","TOTAL","mes",12,"año",2008)</f>
        <v>2.37</v>
      </c>
      <c r="D34" s="409">
        <f t="shared" ref="D34:D44" si="2">IFERROR(C34-C35,"-")</f>
        <v>-9.9999999999997868E-3</v>
      </c>
      <c r="E34" s="409">
        <f t="shared" si="1"/>
        <v>-0.10000000000000009</v>
      </c>
      <c r="F34" s="410">
        <f>IFERROR(AVERAGE(C34:C45)-AVERAGE(C47:C58),"-")</f>
        <v>-0.20387449456287099</v>
      </c>
    </row>
    <row r="35" spans="2:6" ht="15" hidden="1" outlineLevel="1">
      <c r="B35" s="300" t="s">
        <v>201</v>
      </c>
      <c r="C35" s="385">
        <f>GETPIVOTDATA("dato",'[1]tabla dinámica EM'!$A$58,"categoría","TOTAL","mes",11,"año",2008)</f>
        <v>2.38</v>
      </c>
      <c r="D35" s="409">
        <f t="shared" si="2"/>
        <v>8.0000000000000071E-2</v>
      </c>
      <c r="E35" s="409">
        <f t="shared" si="1"/>
        <v>8.9999999999999858E-2</v>
      </c>
      <c r="F35" s="410">
        <f>IFERROR(AVERAGE(C35:C45,C47)-AVERAGE(C48:C58,C60),"-")</f>
        <v>-0.21637449456287161</v>
      </c>
    </row>
    <row r="36" spans="2:6" ht="15" hidden="1" outlineLevel="1">
      <c r="B36" s="300" t="s">
        <v>202</v>
      </c>
      <c r="C36" s="385">
        <f>GETPIVOTDATA("dato",'[1]tabla dinámica EM'!$A$58,"categoría","TOTAL","mes",10,"año",2008)</f>
        <v>2.2999999999999998</v>
      </c>
      <c r="D36" s="409">
        <f t="shared" si="2"/>
        <v>4.0000000000000036E-2</v>
      </c>
      <c r="E36" s="409">
        <f t="shared" si="1"/>
        <v>-0.2200000000000002</v>
      </c>
      <c r="F36" s="410">
        <f>IFERROR(AVERAGE(C36:C45,C47:C48)-AVERAGE(C49:C58,C60:C61),"-")</f>
        <v>-0.24387449456287102</v>
      </c>
    </row>
    <row r="37" spans="2:6" ht="15" hidden="1" outlineLevel="1">
      <c r="B37" s="300" t="s">
        <v>203</v>
      </c>
      <c r="C37" s="385">
        <f>GETPIVOTDATA("dato",'[1]tabla dinámica EM'!$A$58,"categoría","TOTAL","mes",9,"año",2008)</f>
        <v>2.2599999999999998</v>
      </c>
      <c r="D37" s="409">
        <f t="shared" si="2"/>
        <v>-0.33000000000000007</v>
      </c>
      <c r="E37" s="409">
        <f t="shared" si="1"/>
        <v>-0.36000000000000032</v>
      </c>
      <c r="F37" s="410">
        <f>IFERROR(AVERAGE(C37:C45,C47:C49)-AVERAGE(C50:C58,C60:C62),"-")</f>
        <v>-0.23054116122953694</v>
      </c>
    </row>
    <row r="38" spans="2:6" ht="15" hidden="1" outlineLevel="1">
      <c r="B38" s="300" t="s">
        <v>204</v>
      </c>
      <c r="C38" s="385">
        <f>GETPIVOTDATA("dato",'[1]tabla dinámica EM'!$A$58,"categoría","TOTAL","mes",8,"año",2008)</f>
        <v>2.59</v>
      </c>
      <c r="D38" s="409">
        <f t="shared" si="2"/>
        <v>0</v>
      </c>
      <c r="E38" s="409">
        <f t="shared" si="1"/>
        <v>-0.13000000000000034</v>
      </c>
      <c r="F38" s="410">
        <f>IFERROR(AVERAGE(C38:C45,C47:C50)-AVERAGE(C51:C58,C60:C63),"-")</f>
        <v>-0.20304116122953708</v>
      </c>
    </row>
    <row r="39" spans="2:6" ht="15" hidden="1" outlineLevel="1">
      <c r="B39" s="300" t="s">
        <v>205</v>
      </c>
      <c r="C39" s="385">
        <f>GETPIVOTDATA("dato",'[1]tabla dinámica EM'!$A$58,"categoría","TOTAL","mes",7,"año",2008)</f>
        <v>2.59</v>
      </c>
      <c r="D39" s="409">
        <f t="shared" si="2"/>
        <v>6.0000000000000053E-2</v>
      </c>
      <c r="E39" s="409">
        <f t="shared" si="1"/>
        <v>-0.33000000000000007</v>
      </c>
      <c r="F39" s="410">
        <f>IFERROR(AVERAGE(C39:C45,C47:C51)-AVERAGE(C52:C58,C60:C64),"-")</f>
        <v>-0.2097078278962039</v>
      </c>
    </row>
    <row r="40" spans="2:6" ht="15" hidden="1" outlineLevel="1">
      <c r="B40" s="300" t="s">
        <v>206</v>
      </c>
      <c r="C40" s="385">
        <f>GETPIVOTDATA("dato",'[1]tabla dinámica EM'!$A$58,"categoría","TOTAL","mes",6,"año",2008)</f>
        <v>2.5299999999999998</v>
      </c>
      <c r="D40" s="409">
        <f t="shared" si="2"/>
        <v>-0.19000000000000039</v>
      </c>
      <c r="E40" s="409">
        <f t="shared" si="1"/>
        <v>-0.68000000000000016</v>
      </c>
      <c r="F40" s="410">
        <f>IFERROR(AVERAGE(C40:C45,C47:C52)-AVERAGE(C53:C58,C60:C65),"-")</f>
        <v>-0.14470782789620351</v>
      </c>
    </row>
    <row r="41" spans="2:6" ht="15" hidden="1" outlineLevel="1">
      <c r="B41" s="300" t="s">
        <v>207</v>
      </c>
      <c r="C41" s="385">
        <f>GETPIVOTDATA("dato",'[1]tabla dinámica EM'!$A$58,"categoría","TOTAL","mes",5,"año",2008)</f>
        <v>2.72</v>
      </c>
      <c r="D41" s="409">
        <f t="shared" si="2"/>
        <v>0.32000000000000028</v>
      </c>
      <c r="E41" s="409">
        <f t="shared" si="1"/>
        <v>-0.25999999999999979</v>
      </c>
      <c r="F41" s="410">
        <f>IFERROR(AVERAGE(C41:C45,C47:C53)-AVERAGE(C54:C58,C60:C66),"-")</f>
        <v>-6.3744945628703142E-3</v>
      </c>
    </row>
    <row r="42" spans="2:6" ht="15" hidden="1" outlineLevel="1">
      <c r="B42" s="300" t="s">
        <v>208</v>
      </c>
      <c r="C42" s="385">
        <f>GETPIVOTDATA("dato",'[1]tabla dinámica EM'!$A$58,"categoría","TOTAL","mes",4,"año",2008)</f>
        <v>2.4</v>
      </c>
      <c r="D42" s="409">
        <f>IFERROR(C42-C43,"-")</f>
        <v>-0.5</v>
      </c>
      <c r="E42" s="409">
        <f t="shared" si="1"/>
        <v>-0.4700000000000002</v>
      </c>
      <c r="F42" s="410">
        <f>IFERROR(AVERAGE(C42:C45,C47:C54)-AVERAGE(C55:C58,C60:C67),"-")</f>
        <v>6.8625505437129419E-2</v>
      </c>
    </row>
    <row r="43" spans="2:6" ht="15" hidden="1" outlineLevel="1">
      <c r="B43" s="300" t="s">
        <v>209</v>
      </c>
      <c r="C43" s="385">
        <f>GETPIVOTDATA("dato",'[1]tabla dinámica EM'!$A$58,"categoría","TOTAL","mes",3,"año",2008)</f>
        <v>2.9</v>
      </c>
      <c r="D43" s="409">
        <f t="shared" si="2"/>
        <v>0.39000000000000012</v>
      </c>
      <c r="E43" s="409">
        <f t="shared" si="1"/>
        <v>0.29000000000000004</v>
      </c>
      <c r="F43" s="410">
        <f>IFERROR(AVERAGE(C43:C45,C47:C55)-AVERAGE(C56:C58,C60:C68),"-")</f>
        <v>0.12279217210379656</v>
      </c>
    </row>
    <row r="44" spans="2:6" ht="15" hidden="1" outlineLevel="1">
      <c r="B44" s="300" t="s">
        <v>210</v>
      </c>
      <c r="C44" s="385">
        <f>GETPIVOTDATA("dato",'[1]tabla dinámica EM'!$A$58,"categoría","TOTAL","mes",2,"año",2008)</f>
        <v>2.5099999999999998</v>
      </c>
      <c r="D44" s="409">
        <f t="shared" si="2"/>
        <v>-2.3506065245554542E-2</v>
      </c>
      <c r="E44" s="409">
        <f t="shared" si="1"/>
        <v>-0.13000000000000034</v>
      </c>
      <c r="F44" s="410">
        <f>IFERROR(AVERAGE(C44:C45,C47:C56)-AVERAGE(C57:C58,C60:C69),"-")</f>
        <v>0.10612550543712951</v>
      </c>
    </row>
    <row r="45" spans="2:6" ht="15" hidden="1" outlineLevel="1">
      <c r="B45" s="300" t="s">
        <v>211</v>
      </c>
      <c r="C45" s="385">
        <f>GETPIVOTDATA("dato",'[1]tabla dinámica EM'!$A$58,"categoría","TOTAL","mes",1,"año",2008)</f>
        <v>2.5335060652455543</v>
      </c>
      <c r="D45" s="409" t="s">
        <v>32</v>
      </c>
      <c r="E45" s="409">
        <f t="shared" si="1"/>
        <v>-0.14649393475444583</v>
      </c>
      <c r="F45" s="410">
        <f>IFERROR(AVERAGE(C45,C47:C57)-AVERAGE(C58,C60:C70),"-")</f>
        <v>0.10779217210379644</v>
      </c>
    </row>
    <row r="46" spans="2:6" ht="15" collapsed="1">
      <c r="B46" s="307">
        <v>2008</v>
      </c>
      <c r="C46" s="391">
        <f>'[1]tabla dinámica EM'!D347</f>
        <v>2.5045040987298441</v>
      </c>
      <c r="D46" s="309"/>
      <c r="E46" s="414">
        <f t="shared" si="1"/>
        <v>-0.18374352602174149</v>
      </c>
      <c r="F46" s="414">
        <f>IFERROR(AVERAGE(C34:C45)-AVERAGE(C47:C58),"-")</f>
        <v>-0.20387449456287099</v>
      </c>
    </row>
    <row r="47" spans="2:6" ht="15" hidden="1" outlineLevel="1">
      <c r="B47" s="300" t="s">
        <v>200</v>
      </c>
      <c r="C47" s="385">
        <f>GETPIVOTDATA("dato",'[1]tabla dinámica EM'!$A$58,"categoría","TOTAL","mes",12,"año",2007)</f>
        <v>2.4700000000000002</v>
      </c>
      <c r="D47" s="409">
        <f t="shared" ref="D47:D57" si="3">IFERROR(C47-C48,"-")</f>
        <v>0.18000000000000016</v>
      </c>
      <c r="E47" s="409">
        <f t="shared" si="1"/>
        <v>-0.25</v>
      </c>
      <c r="F47" s="410">
        <f>IFERROR(AVERAGE(C47:C58)-AVERAGE(C60:C71),"-")</f>
        <v>0.14583333333333348</v>
      </c>
    </row>
    <row r="48" spans="2:6" ht="15" hidden="1" outlineLevel="1">
      <c r="B48" s="300" t="s">
        <v>201</v>
      </c>
      <c r="C48" s="385">
        <f>GETPIVOTDATA("dato",'[1]tabla dinámica EM'!$A$58,"categoría","TOTAL","mes",11,"año",2007)</f>
        <v>2.29</v>
      </c>
      <c r="D48" s="409">
        <f t="shared" si="3"/>
        <v>-0.22999999999999998</v>
      </c>
      <c r="E48" s="409">
        <f t="shared" si="1"/>
        <v>-0.23999999999999977</v>
      </c>
      <c r="F48" s="410" t="str">
        <f>IFERROR(AVERAGE(C48:C58,C60)-AVERAGE(C61:C71,#REF!),"-")</f>
        <v>-</v>
      </c>
    </row>
    <row r="49" spans="2:6" ht="15" hidden="1" outlineLevel="1">
      <c r="B49" s="300" t="s">
        <v>202</v>
      </c>
      <c r="C49" s="385">
        <f>GETPIVOTDATA("dato",'[1]tabla dinámica EM'!$A$58,"categoría","TOTAL","mes",10,"año",2007)</f>
        <v>2.52</v>
      </c>
      <c r="D49" s="409">
        <f t="shared" si="3"/>
        <v>-0.10000000000000009</v>
      </c>
      <c r="E49" s="409">
        <f t="shared" si="1"/>
        <v>-6.0000000000000053E-2</v>
      </c>
      <c r="F49" s="410" t="str">
        <f>IFERROR(AVERAGE(C49:C58,C60:C61)-AVERAGE(C62:C71,#REF!),"-")</f>
        <v>-</v>
      </c>
    </row>
    <row r="50" spans="2:6" ht="15" hidden="1" outlineLevel="1">
      <c r="B50" s="300" t="s">
        <v>203</v>
      </c>
      <c r="C50" s="385">
        <f>GETPIVOTDATA("dato",'[1]tabla dinámica EM'!$A$58,"categoría","TOTAL","mes",9,"año",2007)</f>
        <v>2.62</v>
      </c>
      <c r="D50" s="409">
        <f t="shared" si="3"/>
        <v>-0.10000000000000009</v>
      </c>
      <c r="E50" s="409">
        <f t="shared" si="1"/>
        <v>-2.9999999999999805E-2</v>
      </c>
      <c r="F50" s="410" t="str">
        <f>IFERROR(AVERAGE(C50:C58,C60:C62)-AVERAGE(C63:C71,#REF!),"-")</f>
        <v>-</v>
      </c>
    </row>
    <row r="51" spans="2:6" ht="15" hidden="1" outlineLevel="1">
      <c r="B51" s="300" t="s">
        <v>204</v>
      </c>
      <c r="C51" s="385">
        <f>GETPIVOTDATA("dato",'[1]tabla dinámica EM'!$A$58,"categoría","TOTAL","mes",8,"año",2007)</f>
        <v>2.72</v>
      </c>
      <c r="D51" s="409">
        <f t="shared" si="3"/>
        <v>-0.19999999999999973</v>
      </c>
      <c r="E51" s="409">
        <f t="shared" si="1"/>
        <v>-0.20999999999999996</v>
      </c>
      <c r="F51" s="410" t="str">
        <f>IFERROR(AVERAGE(C51:C58,C60:C63)-AVERAGE(C64:C71,#REF!),"-")</f>
        <v>-</v>
      </c>
    </row>
    <row r="52" spans="2:6" ht="15" hidden="1" outlineLevel="1">
      <c r="B52" s="300" t="s">
        <v>205</v>
      </c>
      <c r="C52" s="385">
        <f>GETPIVOTDATA("dato",'[1]tabla dinámica EM'!$A$58,"categoría","TOTAL","mes",7,"año",2007)</f>
        <v>2.92</v>
      </c>
      <c r="D52" s="409">
        <f t="shared" si="3"/>
        <v>-0.29000000000000004</v>
      </c>
      <c r="E52" s="409">
        <f t="shared" si="1"/>
        <v>0.44999999999999973</v>
      </c>
      <c r="F52" s="410" t="str">
        <f>IFERROR(AVERAGE(C52:C58,C60:C64)-AVERAGE(C65:C71,#REF!),"-")</f>
        <v>-</v>
      </c>
    </row>
    <row r="53" spans="2:6" ht="15" hidden="1" outlineLevel="1">
      <c r="B53" s="300" t="s">
        <v>206</v>
      </c>
      <c r="C53" s="385">
        <f>GETPIVOTDATA("dato",'[1]tabla dinámica EM'!$A$58,"categoría","TOTAL","mes",6,"año",2007)</f>
        <v>3.21</v>
      </c>
      <c r="D53" s="409">
        <f t="shared" si="3"/>
        <v>0.22999999999999998</v>
      </c>
      <c r="E53" s="409">
        <f t="shared" si="1"/>
        <v>0.98</v>
      </c>
      <c r="F53" s="410" t="str">
        <f>IFERROR(AVERAGE(C53:C58,C60:C65)-AVERAGE(C66:C71,#REF!),"-")</f>
        <v>-</v>
      </c>
    </row>
    <row r="54" spans="2:6" ht="15" hidden="1" outlineLevel="1">
      <c r="B54" s="300" t="s">
        <v>207</v>
      </c>
      <c r="C54" s="385">
        <f>GETPIVOTDATA("dato",'[1]tabla dinámica EM'!$A$58,"categoría","TOTAL","mes",5,"año",2007)</f>
        <v>2.98</v>
      </c>
      <c r="D54" s="409">
        <f t="shared" si="3"/>
        <v>0.10999999999999988</v>
      </c>
      <c r="E54" s="409">
        <f t="shared" si="1"/>
        <v>0.64000000000000012</v>
      </c>
      <c r="F54" s="410" t="str">
        <f>IFERROR(AVERAGE(C54:C58,C60:C66)-AVERAGE(C67:C71,#REF!),"-")</f>
        <v>-</v>
      </c>
    </row>
    <row r="55" spans="2:6" ht="15" hidden="1" outlineLevel="1">
      <c r="B55" s="300" t="s">
        <v>208</v>
      </c>
      <c r="C55" s="385">
        <f>GETPIVOTDATA("dato",'[1]tabla dinámica EM'!$A$58,"categoría","TOTAL","mes",4,"año",2007)</f>
        <v>2.87</v>
      </c>
      <c r="D55" s="409">
        <f>IFERROR(C55-C56,"-")</f>
        <v>0.26000000000000023</v>
      </c>
      <c r="E55" s="409">
        <f t="shared" si="1"/>
        <v>0.18000000000000016</v>
      </c>
      <c r="F55" s="410" t="str">
        <f>IFERROR(AVERAGE(C55:C58,C60:C67)-AVERAGE(C68:C71,#REF!),"-")</f>
        <v>-</v>
      </c>
    </row>
    <row r="56" spans="2:6" ht="15" hidden="1" outlineLevel="1">
      <c r="B56" s="300" t="s">
        <v>209</v>
      </c>
      <c r="C56" s="385">
        <f>GETPIVOTDATA("dato",'[1]tabla dinámica EM'!$A$58,"categoría","TOTAL","mes",3,"año",2007)</f>
        <v>2.61</v>
      </c>
      <c r="D56" s="409">
        <f t="shared" si="3"/>
        <v>-3.0000000000000249E-2</v>
      </c>
      <c r="E56" s="409">
        <f t="shared" si="1"/>
        <v>8.9999999999999858E-2</v>
      </c>
      <c r="F56" s="410" t="str">
        <f>IFERROR(AVERAGE(C56:C58,C60:C68)-AVERAGE(C69:C71,#REF!),"-")</f>
        <v>-</v>
      </c>
    </row>
    <row r="57" spans="2:6" ht="15" hidden="1" outlineLevel="1">
      <c r="B57" s="300" t="s">
        <v>210</v>
      </c>
      <c r="C57" s="385">
        <f>GETPIVOTDATA("dato",'[1]tabla dinámica EM'!$A$58,"categoría","TOTAL","mes",2,"año",2007)</f>
        <v>2.64</v>
      </c>
      <c r="D57" s="409">
        <f t="shared" si="3"/>
        <v>-4.0000000000000036E-2</v>
      </c>
      <c r="E57" s="409">
        <f t="shared" si="1"/>
        <v>-0.10999999999999988</v>
      </c>
      <c r="F57" s="410" t="str">
        <f>IFERROR(AVERAGE(C57:C58,C60:C69)-AVERAGE(C70:C71,#REF!),"-")</f>
        <v>-</v>
      </c>
    </row>
    <row r="58" spans="2:6" ht="15" hidden="1" outlineLevel="1">
      <c r="B58" s="300" t="s">
        <v>211</v>
      </c>
      <c r="C58" s="385">
        <f>GETPIVOTDATA("dato",'[1]tabla dinámica EM'!$A$58,"categoría","TOTAL","mes",1,"año",2007)</f>
        <v>2.68</v>
      </c>
      <c r="D58" s="409" t="s">
        <v>32</v>
      </c>
      <c r="E58" s="409">
        <f t="shared" si="1"/>
        <v>0.31000000000000005</v>
      </c>
      <c r="F58" s="410" t="str">
        <f>IFERROR(AVERAGE(C58,C60:C70)-AVERAGE(C71,#REF!),"-")</f>
        <v>-</v>
      </c>
    </row>
    <row r="59" spans="2:6" ht="15" collapsed="1">
      <c r="B59" s="307">
        <v>2007</v>
      </c>
      <c r="C59" s="391">
        <f>'[1]tabla dinámica EM'!C347</f>
        <v>2.6882476247515856</v>
      </c>
      <c r="D59" s="309"/>
      <c r="E59" s="414">
        <f t="shared" si="1"/>
        <v>0.13125616540036855</v>
      </c>
      <c r="F59" s="414">
        <f>IFERROR(AVERAGE(C47:C58)-AVERAGE(C60:C71),"-")</f>
        <v>0.14583333333333348</v>
      </c>
    </row>
    <row r="60" spans="2:6" ht="15" hidden="1" outlineLevel="1">
      <c r="B60" s="300" t="s">
        <v>200</v>
      </c>
      <c r="C60" s="385">
        <f>GETPIVOTDATA("dato",'[1]tabla dinámica EM'!$A$58,"categoría","TOTAL","mes",12,"año",2006)</f>
        <v>2.72</v>
      </c>
      <c r="D60" s="409">
        <f t="shared" ref="D60:D70" si="4">IFERROR(C60-C61,"-")</f>
        <v>0.19000000000000039</v>
      </c>
      <c r="E60" s="409" t="str">
        <f>IFERROR(C60-#REF!,"-")</f>
        <v>-</v>
      </c>
      <c r="F60" s="410" t="str">
        <f>IFERROR(AVERAGE(C60:C71)-AVERAGE(#REF!),"-")</f>
        <v>-</v>
      </c>
    </row>
    <row r="61" spans="2:6" ht="15" hidden="1" outlineLevel="1">
      <c r="B61" s="300" t="s">
        <v>201</v>
      </c>
      <c r="C61" s="385">
        <f>GETPIVOTDATA("dato",'[1]tabla dinámica EM'!$A$58,"categoría","TOTAL","mes",11,"año",2006)</f>
        <v>2.5299999999999998</v>
      </c>
      <c r="D61" s="409">
        <f t="shared" si="4"/>
        <v>-5.0000000000000266E-2</v>
      </c>
      <c r="E61" s="409" t="str">
        <f>IFERROR(C61-#REF!,"-")</f>
        <v>-</v>
      </c>
      <c r="F61" s="410" t="str">
        <f>IFERROR(AVERAGE(C61:C71,#REF!)-AVERAGE(#REF!,#REF!),"-")</f>
        <v>-</v>
      </c>
    </row>
    <row r="62" spans="2:6" ht="15" hidden="1" outlineLevel="1">
      <c r="B62" s="300" t="s">
        <v>202</v>
      </c>
      <c r="C62" s="385">
        <f>GETPIVOTDATA("dato",'[1]tabla dinámica EM'!$A$58,"categoría","TOTAL","mes",10,"año",2006)</f>
        <v>2.58</v>
      </c>
      <c r="D62" s="409">
        <f t="shared" si="4"/>
        <v>-6.999999999999984E-2</v>
      </c>
      <c r="E62" s="409" t="str">
        <f>IFERROR(C62-#REF!,"-")</f>
        <v>-</v>
      </c>
      <c r="F62" s="410" t="str">
        <f>IFERROR(AVERAGE(C62:C71,#REF!)-AVERAGE(#REF!,#REF!),"-")</f>
        <v>-</v>
      </c>
    </row>
    <row r="63" spans="2:6" ht="15" hidden="1" outlineLevel="1">
      <c r="B63" s="300" t="s">
        <v>203</v>
      </c>
      <c r="C63" s="385">
        <f>GETPIVOTDATA("dato",'[1]tabla dinámica EM'!$A$58,"categoría","TOTAL","mes",9,"año",2006)</f>
        <v>2.65</v>
      </c>
      <c r="D63" s="409">
        <f t="shared" si="4"/>
        <v>-0.28000000000000025</v>
      </c>
      <c r="E63" s="409" t="str">
        <f>IFERROR(C63-#REF!,"-")</f>
        <v>-</v>
      </c>
      <c r="F63" s="410" t="str">
        <f>IFERROR(AVERAGE(C63:C71,#REF!)-AVERAGE(#REF!,#REF!),"-")</f>
        <v>-</v>
      </c>
    </row>
    <row r="64" spans="2:6" ht="15" hidden="1" outlineLevel="1">
      <c r="B64" s="300" t="s">
        <v>204</v>
      </c>
      <c r="C64" s="385">
        <f>GETPIVOTDATA("dato",'[1]tabla dinámica EM'!$A$58,"categoría","TOTAL","mes",8,"año",2006)</f>
        <v>2.93</v>
      </c>
      <c r="D64" s="409">
        <f t="shared" si="4"/>
        <v>0.45999999999999996</v>
      </c>
      <c r="E64" s="409" t="str">
        <f>IFERROR(C64-#REF!,"-")</f>
        <v>-</v>
      </c>
      <c r="F64" s="410" t="str">
        <f>IFERROR(AVERAGE(C64:C71,#REF!)-AVERAGE(#REF!,#REF!),"-")</f>
        <v>-</v>
      </c>
    </row>
    <row r="65" spans="2:6" ht="15" hidden="1" outlineLevel="1">
      <c r="B65" s="300" t="s">
        <v>205</v>
      </c>
      <c r="C65" s="385">
        <f>GETPIVOTDATA("dato",'[1]tabla dinámica EM'!$A$58,"categoría","TOTAL","mes",7,"año",2006)</f>
        <v>2.4700000000000002</v>
      </c>
      <c r="D65" s="409">
        <f t="shared" si="4"/>
        <v>0.24000000000000021</v>
      </c>
      <c r="E65" s="409" t="str">
        <f>IFERROR(C65-#REF!,"-")</f>
        <v>-</v>
      </c>
      <c r="F65" s="410" t="str">
        <f>IFERROR(AVERAGE(C65:C71,#REF!)-AVERAGE(#REF!,#REF!),"-")</f>
        <v>-</v>
      </c>
    </row>
    <row r="66" spans="2:6" ht="15" hidden="1" outlineLevel="1">
      <c r="B66" s="300" t="s">
        <v>206</v>
      </c>
      <c r="C66" s="385">
        <f>GETPIVOTDATA("dato",'[1]tabla dinámica EM'!$A$58,"categoría","TOTAL","mes",6,"año",2006)</f>
        <v>2.23</v>
      </c>
      <c r="D66" s="409">
        <f t="shared" si="4"/>
        <v>-0.10999999999999988</v>
      </c>
      <c r="E66" s="409" t="str">
        <f>IFERROR(C66-#REF!,"-")</f>
        <v>-</v>
      </c>
      <c r="F66" s="410" t="str">
        <f>IFERROR(AVERAGE(C66:C71,#REF!)-AVERAGE(#REF!,#REF!),"-")</f>
        <v>-</v>
      </c>
    </row>
    <row r="67" spans="2:6" ht="15" hidden="1" outlineLevel="1">
      <c r="B67" s="300" t="s">
        <v>207</v>
      </c>
      <c r="C67" s="385">
        <f>GETPIVOTDATA("dato",'[1]tabla dinámica EM'!$A$58,"categoría","TOTAL","mes",5,"año",2006)</f>
        <v>2.34</v>
      </c>
      <c r="D67" s="409">
        <f t="shared" si="4"/>
        <v>-0.35000000000000009</v>
      </c>
      <c r="E67" s="409" t="str">
        <f>IFERROR(C67-#REF!,"-")</f>
        <v>-</v>
      </c>
      <c r="F67" s="410" t="str">
        <f>IFERROR(AVERAGE(C67:C71,#REF!)-AVERAGE(#REF!,#REF!),"-")</f>
        <v>-</v>
      </c>
    </row>
    <row r="68" spans="2:6" ht="15" hidden="1" outlineLevel="1">
      <c r="B68" s="300" t="s">
        <v>208</v>
      </c>
      <c r="C68" s="385">
        <f>GETPIVOTDATA("dato",'[1]tabla dinámica EM'!$A$58,"categoría","TOTAL","mes",4,"año",2006)</f>
        <v>2.69</v>
      </c>
      <c r="D68" s="409">
        <f>IFERROR(C68-C69,"-")</f>
        <v>0.16999999999999993</v>
      </c>
      <c r="E68" s="409" t="str">
        <f>IFERROR(C68-#REF!,"-")</f>
        <v>-</v>
      </c>
      <c r="F68" s="410" t="str">
        <f>IFERROR(AVERAGE(C68:C71,#REF!)-AVERAGE(#REF!,#REF!),"-")</f>
        <v>-</v>
      </c>
    </row>
    <row r="69" spans="2:6" ht="15" hidden="1" outlineLevel="1">
      <c r="B69" s="300" t="s">
        <v>209</v>
      </c>
      <c r="C69" s="385">
        <f>GETPIVOTDATA("dato",'[1]tabla dinámica EM'!$A$58,"categoría","TOTAL","mes",3,"año",2006)</f>
        <v>2.52</v>
      </c>
      <c r="D69" s="409">
        <f t="shared" si="4"/>
        <v>-0.22999999999999998</v>
      </c>
      <c r="E69" s="409" t="str">
        <f>IFERROR(C69-#REF!,"-")</f>
        <v>-</v>
      </c>
      <c r="F69" s="410" t="str">
        <f>IFERROR(AVERAGE(C69:C71,#REF!)-AVERAGE(#REF!,#REF!),"-")</f>
        <v>-</v>
      </c>
    </row>
    <row r="70" spans="2:6" ht="15" hidden="1" outlineLevel="1">
      <c r="B70" s="300" t="s">
        <v>210</v>
      </c>
      <c r="C70" s="385">
        <f>GETPIVOTDATA("dato",'[1]tabla dinámica EM'!$A$58,"categoría","TOTAL","mes",2,"año",2006)</f>
        <v>2.75</v>
      </c>
      <c r="D70" s="409">
        <f t="shared" si="4"/>
        <v>0.37999999999999989</v>
      </c>
      <c r="E70" s="409" t="str">
        <f>IFERROR(C70-#REF!,"-")</f>
        <v>-</v>
      </c>
      <c r="F70" s="410" t="str">
        <f>IFERROR(AVERAGE(C70:C71,#REF!)-AVERAGE(#REF!,#REF!),"-")</f>
        <v>-</v>
      </c>
    </row>
    <row r="71" spans="2:6" ht="15" hidden="1" outlineLevel="1">
      <c r="B71" s="300" t="s">
        <v>211</v>
      </c>
      <c r="C71" s="385">
        <f>GETPIVOTDATA("dato",'[1]tabla dinámica EM'!$A$58,"categoría","TOTAL","mes",1,"año",2006)</f>
        <v>2.37</v>
      </c>
      <c r="D71" s="409" t="s">
        <v>32</v>
      </c>
      <c r="E71" s="409" t="str">
        <f>IFERROR(C71-#REF!,"-")</f>
        <v>-</v>
      </c>
      <c r="F71" s="410" t="str">
        <f>IFERROR(AVERAGE(C71,#REF!)-AVERAGE(#REF!,#REF!),"-")</f>
        <v>-</v>
      </c>
    </row>
    <row r="72" spans="2:6" ht="15" collapsed="1">
      <c r="B72" s="307">
        <v>2006</v>
      </c>
      <c r="C72" s="391">
        <f>'[1]tabla dinámica EM'!B347</f>
        <v>2.5569914593512171</v>
      </c>
      <c r="D72" s="309"/>
      <c r="E72" s="414" t="str">
        <f>IFERROR(C72-#REF!,"-")</f>
        <v>-</v>
      </c>
      <c r="F72" s="414" t="str">
        <f>IFERROR(AVERAGE(C60:C71)-AVERAGE(#REF!),"-")</f>
        <v>-</v>
      </c>
    </row>
    <row r="73" spans="2:6">
      <c r="B73" s="312" t="s">
        <v>212</v>
      </c>
      <c r="C73" s="313"/>
      <c r="D73" s="313"/>
      <c r="E73" s="313"/>
      <c r="F73" s="313"/>
    </row>
  </sheetData>
  <mergeCells count="2">
    <mergeCell ref="B6:F6"/>
    <mergeCell ref="B73:F73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30" customHeight="1" thickBot="1">
      <c r="J29" s="60" t="s">
        <v>52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8">
    <tabColor theme="4" tint="-0.499984740745262"/>
    <pageSetUpPr fitToPage="1"/>
  </sheetPr>
  <dimension ref="C8:J47"/>
  <sheetViews>
    <sheetView showGridLines="0" showRowColHeaders="0" zoomScaleNormal="100" workbookViewId="0">
      <selection activeCell="I13" sqref="I13"/>
    </sheetView>
  </sheetViews>
  <sheetFormatPr baseColWidth="10" defaultRowHeight="12.75"/>
  <cols>
    <col min="1" max="3" width="11.42578125" style="194"/>
    <col min="4" max="4" width="9.140625" style="194" customWidth="1"/>
    <col min="5" max="5" width="12" style="194" customWidth="1"/>
    <col min="6" max="6" width="43.5703125" style="194" customWidth="1"/>
    <col min="7" max="7" width="23.7109375" style="194" customWidth="1"/>
    <col min="8" max="259" width="11.42578125" style="194"/>
    <col min="260" max="260" width="9.140625" style="194" customWidth="1"/>
    <col min="261" max="261" width="12" style="194" customWidth="1"/>
    <col min="262" max="262" width="43.5703125" style="194" customWidth="1"/>
    <col min="263" max="515" width="11.42578125" style="194"/>
    <col min="516" max="516" width="9.140625" style="194" customWidth="1"/>
    <col min="517" max="517" width="12" style="194" customWidth="1"/>
    <col min="518" max="518" width="43.5703125" style="194" customWidth="1"/>
    <col min="519" max="771" width="11.42578125" style="194"/>
    <col min="772" max="772" width="9.140625" style="194" customWidth="1"/>
    <col min="773" max="773" width="12" style="194" customWidth="1"/>
    <col min="774" max="774" width="43.5703125" style="194" customWidth="1"/>
    <col min="775" max="1027" width="11.42578125" style="194"/>
    <col min="1028" max="1028" width="9.140625" style="194" customWidth="1"/>
    <col min="1029" max="1029" width="12" style="194" customWidth="1"/>
    <col min="1030" max="1030" width="43.5703125" style="194" customWidth="1"/>
    <col min="1031" max="1283" width="11.42578125" style="194"/>
    <col min="1284" max="1284" width="9.140625" style="194" customWidth="1"/>
    <col min="1285" max="1285" width="12" style="194" customWidth="1"/>
    <col min="1286" max="1286" width="43.5703125" style="194" customWidth="1"/>
    <col min="1287" max="1539" width="11.42578125" style="194"/>
    <col min="1540" max="1540" width="9.140625" style="194" customWidth="1"/>
    <col min="1541" max="1541" width="12" style="194" customWidth="1"/>
    <col min="1542" max="1542" width="43.5703125" style="194" customWidth="1"/>
    <col min="1543" max="1795" width="11.42578125" style="194"/>
    <col min="1796" max="1796" width="9.140625" style="194" customWidth="1"/>
    <col min="1797" max="1797" width="12" style="194" customWidth="1"/>
    <col min="1798" max="1798" width="43.5703125" style="194" customWidth="1"/>
    <col min="1799" max="2051" width="11.42578125" style="194"/>
    <col min="2052" max="2052" width="9.140625" style="194" customWidth="1"/>
    <col min="2053" max="2053" width="12" style="194" customWidth="1"/>
    <col min="2054" max="2054" width="43.5703125" style="194" customWidth="1"/>
    <col min="2055" max="2307" width="11.42578125" style="194"/>
    <col min="2308" max="2308" width="9.140625" style="194" customWidth="1"/>
    <col min="2309" max="2309" width="12" style="194" customWidth="1"/>
    <col min="2310" max="2310" width="43.5703125" style="194" customWidth="1"/>
    <col min="2311" max="2563" width="11.42578125" style="194"/>
    <col min="2564" max="2564" width="9.140625" style="194" customWidth="1"/>
    <col min="2565" max="2565" width="12" style="194" customWidth="1"/>
    <col min="2566" max="2566" width="43.5703125" style="194" customWidth="1"/>
    <col min="2567" max="2819" width="11.42578125" style="194"/>
    <col min="2820" max="2820" width="9.140625" style="194" customWidth="1"/>
    <col min="2821" max="2821" width="12" style="194" customWidth="1"/>
    <col min="2822" max="2822" width="43.5703125" style="194" customWidth="1"/>
    <col min="2823" max="3075" width="11.42578125" style="194"/>
    <col min="3076" max="3076" width="9.140625" style="194" customWidth="1"/>
    <col min="3077" max="3077" width="12" style="194" customWidth="1"/>
    <col min="3078" max="3078" width="43.5703125" style="194" customWidth="1"/>
    <col min="3079" max="3331" width="11.42578125" style="194"/>
    <col min="3332" max="3332" width="9.140625" style="194" customWidth="1"/>
    <col min="3333" max="3333" width="12" style="194" customWidth="1"/>
    <col min="3334" max="3334" width="43.5703125" style="194" customWidth="1"/>
    <col min="3335" max="3587" width="11.42578125" style="194"/>
    <col min="3588" max="3588" width="9.140625" style="194" customWidth="1"/>
    <col min="3589" max="3589" width="12" style="194" customWidth="1"/>
    <col min="3590" max="3590" width="43.5703125" style="194" customWidth="1"/>
    <col min="3591" max="3843" width="11.42578125" style="194"/>
    <col min="3844" max="3844" width="9.140625" style="194" customWidth="1"/>
    <col min="3845" max="3845" width="12" style="194" customWidth="1"/>
    <col min="3846" max="3846" width="43.5703125" style="194" customWidth="1"/>
    <col min="3847" max="4099" width="11.42578125" style="194"/>
    <col min="4100" max="4100" width="9.140625" style="194" customWidth="1"/>
    <col min="4101" max="4101" width="12" style="194" customWidth="1"/>
    <col min="4102" max="4102" width="43.5703125" style="194" customWidth="1"/>
    <col min="4103" max="4355" width="11.42578125" style="194"/>
    <col min="4356" max="4356" width="9.140625" style="194" customWidth="1"/>
    <col min="4357" max="4357" width="12" style="194" customWidth="1"/>
    <col min="4358" max="4358" width="43.5703125" style="194" customWidth="1"/>
    <col min="4359" max="4611" width="11.42578125" style="194"/>
    <col min="4612" max="4612" width="9.140625" style="194" customWidth="1"/>
    <col min="4613" max="4613" width="12" style="194" customWidth="1"/>
    <col min="4614" max="4614" width="43.5703125" style="194" customWidth="1"/>
    <col min="4615" max="4867" width="11.42578125" style="194"/>
    <col min="4868" max="4868" width="9.140625" style="194" customWidth="1"/>
    <col min="4869" max="4869" width="12" style="194" customWidth="1"/>
    <col min="4870" max="4870" width="43.5703125" style="194" customWidth="1"/>
    <col min="4871" max="5123" width="11.42578125" style="194"/>
    <col min="5124" max="5124" width="9.140625" style="194" customWidth="1"/>
    <col min="5125" max="5125" width="12" style="194" customWidth="1"/>
    <col min="5126" max="5126" width="43.5703125" style="194" customWidth="1"/>
    <col min="5127" max="5379" width="11.42578125" style="194"/>
    <col min="5380" max="5380" width="9.140625" style="194" customWidth="1"/>
    <col min="5381" max="5381" width="12" style="194" customWidth="1"/>
    <col min="5382" max="5382" width="43.5703125" style="194" customWidth="1"/>
    <col min="5383" max="5635" width="11.42578125" style="194"/>
    <col min="5636" max="5636" width="9.140625" style="194" customWidth="1"/>
    <col min="5637" max="5637" width="12" style="194" customWidth="1"/>
    <col min="5638" max="5638" width="43.5703125" style="194" customWidth="1"/>
    <col min="5639" max="5891" width="11.42578125" style="194"/>
    <col min="5892" max="5892" width="9.140625" style="194" customWidth="1"/>
    <col min="5893" max="5893" width="12" style="194" customWidth="1"/>
    <col min="5894" max="5894" width="43.5703125" style="194" customWidth="1"/>
    <col min="5895" max="6147" width="11.42578125" style="194"/>
    <col min="6148" max="6148" width="9.140625" style="194" customWidth="1"/>
    <col min="6149" max="6149" width="12" style="194" customWidth="1"/>
    <col min="6150" max="6150" width="43.5703125" style="194" customWidth="1"/>
    <col min="6151" max="6403" width="11.42578125" style="194"/>
    <col min="6404" max="6404" width="9.140625" style="194" customWidth="1"/>
    <col min="6405" max="6405" width="12" style="194" customWidth="1"/>
    <col min="6406" max="6406" width="43.5703125" style="194" customWidth="1"/>
    <col min="6407" max="6659" width="11.42578125" style="194"/>
    <col min="6660" max="6660" width="9.140625" style="194" customWidth="1"/>
    <col min="6661" max="6661" width="12" style="194" customWidth="1"/>
    <col min="6662" max="6662" width="43.5703125" style="194" customWidth="1"/>
    <col min="6663" max="6915" width="11.42578125" style="194"/>
    <col min="6916" max="6916" width="9.140625" style="194" customWidth="1"/>
    <col min="6917" max="6917" width="12" style="194" customWidth="1"/>
    <col min="6918" max="6918" width="43.5703125" style="194" customWidth="1"/>
    <col min="6919" max="7171" width="11.42578125" style="194"/>
    <col min="7172" max="7172" width="9.140625" style="194" customWidth="1"/>
    <col min="7173" max="7173" width="12" style="194" customWidth="1"/>
    <col min="7174" max="7174" width="43.5703125" style="194" customWidth="1"/>
    <col min="7175" max="7427" width="11.42578125" style="194"/>
    <col min="7428" max="7428" width="9.140625" style="194" customWidth="1"/>
    <col min="7429" max="7429" width="12" style="194" customWidth="1"/>
    <col min="7430" max="7430" width="43.5703125" style="194" customWidth="1"/>
    <col min="7431" max="7683" width="11.42578125" style="194"/>
    <col min="7684" max="7684" width="9.140625" style="194" customWidth="1"/>
    <col min="7685" max="7685" width="12" style="194" customWidth="1"/>
    <col min="7686" max="7686" width="43.5703125" style="194" customWidth="1"/>
    <col min="7687" max="7939" width="11.42578125" style="194"/>
    <col min="7940" max="7940" width="9.140625" style="194" customWidth="1"/>
    <col min="7941" max="7941" width="12" style="194" customWidth="1"/>
    <col min="7942" max="7942" width="43.5703125" style="194" customWidth="1"/>
    <col min="7943" max="8195" width="11.42578125" style="194"/>
    <col min="8196" max="8196" width="9.140625" style="194" customWidth="1"/>
    <col min="8197" max="8197" width="12" style="194" customWidth="1"/>
    <col min="8198" max="8198" width="43.5703125" style="194" customWidth="1"/>
    <col min="8199" max="8451" width="11.42578125" style="194"/>
    <col min="8452" max="8452" width="9.140625" style="194" customWidth="1"/>
    <col min="8453" max="8453" width="12" style="194" customWidth="1"/>
    <col min="8454" max="8454" width="43.5703125" style="194" customWidth="1"/>
    <col min="8455" max="8707" width="11.42578125" style="194"/>
    <col min="8708" max="8708" width="9.140625" style="194" customWidth="1"/>
    <col min="8709" max="8709" width="12" style="194" customWidth="1"/>
    <col min="8710" max="8710" width="43.5703125" style="194" customWidth="1"/>
    <col min="8711" max="8963" width="11.42578125" style="194"/>
    <col min="8964" max="8964" width="9.140625" style="194" customWidth="1"/>
    <col min="8965" max="8965" width="12" style="194" customWidth="1"/>
    <col min="8966" max="8966" width="43.5703125" style="194" customWidth="1"/>
    <col min="8967" max="9219" width="11.42578125" style="194"/>
    <col min="9220" max="9220" width="9.140625" style="194" customWidth="1"/>
    <col min="9221" max="9221" width="12" style="194" customWidth="1"/>
    <col min="9222" max="9222" width="43.5703125" style="194" customWidth="1"/>
    <col min="9223" max="9475" width="11.42578125" style="194"/>
    <col min="9476" max="9476" width="9.140625" style="194" customWidth="1"/>
    <col min="9477" max="9477" width="12" style="194" customWidth="1"/>
    <col min="9478" max="9478" width="43.5703125" style="194" customWidth="1"/>
    <col min="9479" max="9731" width="11.42578125" style="194"/>
    <col min="9732" max="9732" width="9.140625" style="194" customWidth="1"/>
    <col min="9733" max="9733" width="12" style="194" customWidth="1"/>
    <col min="9734" max="9734" width="43.5703125" style="194" customWidth="1"/>
    <col min="9735" max="9987" width="11.42578125" style="194"/>
    <col min="9988" max="9988" width="9.140625" style="194" customWidth="1"/>
    <col min="9989" max="9989" width="12" style="194" customWidth="1"/>
    <col min="9990" max="9990" width="43.5703125" style="194" customWidth="1"/>
    <col min="9991" max="10243" width="11.42578125" style="194"/>
    <col min="10244" max="10244" width="9.140625" style="194" customWidth="1"/>
    <col min="10245" max="10245" width="12" style="194" customWidth="1"/>
    <col min="10246" max="10246" width="43.5703125" style="194" customWidth="1"/>
    <col min="10247" max="10499" width="11.42578125" style="194"/>
    <col min="10500" max="10500" width="9.140625" style="194" customWidth="1"/>
    <col min="10501" max="10501" width="12" style="194" customWidth="1"/>
    <col min="10502" max="10502" width="43.5703125" style="194" customWidth="1"/>
    <col min="10503" max="10755" width="11.42578125" style="194"/>
    <col min="10756" max="10756" width="9.140625" style="194" customWidth="1"/>
    <col min="10757" max="10757" width="12" style="194" customWidth="1"/>
    <col min="10758" max="10758" width="43.5703125" style="194" customWidth="1"/>
    <col min="10759" max="11011" width="11.42578125" style="194"/>
    <col min="11012" max="11012" width="9.140625" style="194" customWidth="1"/>
    <col min="11013" max="11013" width="12" style="194" customWidth="1"/>
    <col min="11014" max="11014" width="43.5703125" style="194" customWidth="1"/>
    <col min="11015" max="11267" width="11.42578125" style="194"/>
    <col min="11268" max="11268" width="9.140625" style="194" customWidth="1"/>
    <col min="11269" max="11269" width="12" style="194" customWidth="1"/>
    <col min="11270" max="11270" width="43.5703125" style="194" customWidth="1"/>
    <col min="11271" max="11523" width="11.42578125" style="194"/>
    <col min="11524" max="11524" width="9.140625" style="194" customWidth="1"/>
    <col min="11525" max="11525" width="12" style="194" customWidth="1"/>
    <col min="11526" max="11526" width="43.5703125" style="194" customWidth="1"/>
    <col min="11527" max="11779" width="11.42578125" style="194"/>
    <col min="11780" max="11780" width="9.140625" style="194" customWidth="1"/>
    <col min="11781" max="11781" width="12" style="194" customWidth="1"/>
    <col min="11782" max="11782" width="43.5703125" style="194" customWidth="1"/>
    <col min="11783" max="12035" width="11.42578125" style="194"/>
    <col min="12036" max="12036" width="9.140625" style="194" customWidth="1"/>
    <col min="12037" max="12037" width="12" style="194" customWidth="1"/>
    <col min="12038" max="12038" width="43.5703125" style="194" customWidth="1"/>
    <col min="12039" max="12291" width="11.42578125" style="194"/>
    <col min="12292" max="12292" width="9.140625" style="194" customWidth="1"/>
    <col min="12293" max="12293" width="12" style="194" customWidth="1"/>
    <col min="12294" max="12294" width="43.5703125" style="194" customWidth="1"/>
    <col min="12295" max="12547" width="11.42578125" style="194"/>
    <col min="12548" max="12548" width="9.140625" style="194" customWidth="1"/>
    <col min="12549" max="12549" width="12" style="194" customWidth="1"/>
    <col min="12550" max="12550" width="43.5703125" style="194" customWidth="1"/>
    <col min="12551" max="12803" width="11.42578125" style="194"/>
    <col min="12804" max="12804" width="9.140625" style="194" customWidth="1"/>
    <col min="12805" max="12805" width="12" style="194" customWidth="1"/>
    <col min="12806" max="12806" width="43.5703125" style="194" customWidth="1"/>
    <col min="12807" max="13059" width="11.42578125" style="194"/>
    <col min="13060" max="13060" width="9.140625" style="194" customWidth="1"/>
    <col min="13061" max="13061" width="12" style="194" customWidth="1"/>
    <col min="13062" max="13062" width="43.5703125" style="194" customWidth="1"/>
    <col min="13063" max="13315" width="11.42578125" style="194"/>
    <col min="13316" max="13316" width="9.140625" style="194" customWidth="1"/>
    <col min="13317" max="13317" width="12" style="194" customWidth="1"/>
    <col min="13318" max="13318" width="43.5703125" style="194" customWidth="1"/>
    <col min="13319" max="13571" width="11.42578125" style="194"/>
    <col min="13572" max="13572" width="9.140625" style="194" customWidth="1"/>
    <col min="13573" max="13573" width="12" style="194" customWidth="1"/>
    <col min="13574" max="13574" width="43.5703125" style="194" customWidth="1"/>
    <col min="13575" max="13827" width="11.42578125" style="194"/>
    <col min="13828" max="13828" width="9.140625" style="194" customWidth="1"/>
    <col min="13829" max="13829" width="12" style="194" customWidth="1"/>
    <col min="13830" max="13830" width="43.5703125" style="194" customWidth="1"/>
    <col min="13831" max="14083" width="11.42578125" style="194"/>
    <col min="14084" max="14084" width="9.140625" style="194" customWidth="1"/>
    <col min="14085" max="14085" width="12" style="194" customWidth="1"/>
    <col min="14086" max="14086" width="43.5703125" style="194" customWidth="1"/>
    <col min="14087" max="14339" width="11.42578125" style="194"/>
    <col min="14340" max="14340" width="9.140625" style="194" customWidth="1"/>
    <col min="14341" max="14341" width="12" style="194" customWidth="1"/>
    <col min="14342" max="14342" width="43.5703125" style="194" customWidth="1"/>
    <col min="14343" max="14595" width="11.42578125" style="194"/>
    <col min="14596" max="14596" width="9.140625" style="194" customWidth="1"/>
    <col min="14597" max="14597" width="12" style="194" customWidth="1"/>
    <col min="14598" max="14598" width="43.5703125" style="194" customWidth="1"/>
    <col min="14599" max="14851" width="11.42578125" style="194"/>
    <col min="14852" max="14852" width="9.140625" style="194" customWidth="1"/>
    <col min="14853" max="14853" width="12" style="194" customWidth="1"/>
    <col min="14854" max="14854" width="43.5703125" style="194" customWidth="1"/>
    <col min="14855" max="15107" width="11.42578125" style="194"/>
    <col min="15108" max="15108" width="9.140625" style="194" customWidth="1"/>
    <col min="15109" max="15109" width="12" style="194" customWidth="1"/>
    <col min="15110" max="15110" width="43.5703125" style="194" customWidth="1"/>
    <col min="15111" max="15363" width="11.42578125" style="194"/>
    <col min="15364" max="15364" width="9.140625" style="194" customWidth="1"/>
    <col min="15365" max="15365" width="12" style="194" customWidth="1"/>
    <col min="15366" max="15366" width="43.5703125" style="194" customWidth="1"/>
    <col min="15367" max="15619" width="11.42578125" style="194"/>
    <col min="15620" max="15620" width="9.140625" style="194" customWidth="1"/>
    <col min="15621" max="15621" width="12" style="194" customWidth="1"/>
    <col min="15622" max="15622" width="43.5703125" style="194" customWidth="1"/>
    <col min="15623" max="15875" width="11.42578125" style="194"/>
    <col min="15876" max="15876" width="9.140625" style="194" customWidth="1"/>
    <col min="15877" max="15877" width="12" style="194" customWidth="1"/>
    <col min="15878" max="15878" width="43.5703125" style="194" customWidth="1"/>
    <col min="15879" max="16131" width="11.42578125" style="194"/>
    <col min="16132" max="16132" width="9.140625" style="194" customWidth="1"/>
    <col min="16133" max="16133" width="12" style="194" customWidth="1"/>
    <col min="16134" max="16134" width="43.5703125" style="194" customWidth="1"/>
    <col min="16135" max="16384" width="11.42578125" style="194"/>
  </cols>
  <sheetData>
    <row r="8" spans="4:7" ht="29.25" customHeight="1">
      <c r="D8" s="415" t="s">
        <v>283</v>
      </c>
      <c r="E8" s="415"/>
      <c r="F8" s="415"/>
      <c r="G8" s="415"/>
    </row>
    <row r="9" spans="4:7" ht="18">
      <c r="D9" s="416"/>
      <c r="E9" s="417"/>
      <c r="F9" s="417"/>
      <c r="G9" s="417"/>
    </row>
    <row r="10" spans="4:7" ht="19.5" customHeight="1">
      <c r="D10" s="417"/>
      <c r="E10" s="418" t="s">
        <v>10</v>
      </c>
      <c r="F10" s="419"/>
      <c r="G10" s="419"/>
    </row>
    <row r="11" spans="4:7" ht="19.5" customHeight="1">
      <c r="D11" s="417"/>
      <c r="E11" s="417"/>
      <c r="F11" s="420"/>
      <c r="G11" s="417"/>
    </row>
    <row r="12" spans="4:7" ht="19.5" customHeight="1">
      <c r="D12" s="417"/>
      <c r="E12" s="417"/>
      <c r="F12" s="421" t="s">
        <v>284</v>
      </c>
      <c r="G12" s="417"/>
    </row>
    <row r="13" spans="4:7" ht="19.5" customHeight="1">
      <c r="D13" s="417"/>
      <c r="E13" s="417"/>
      <c r="F13" s="421" t="s">
        <v>285</v>
      </c>
      <c r="G13" s="417"/>
    </row>
    <row r="14" spans="4:7" ht="19.5" customHeight="1">
      <c r="D14" s="417"/>
      <c r="E14" s="417"/>
      <c r="F14" s="421" t="s">
        <v>286</v>
      </c>
      <c r="G14" s="417"/>
    </row>
    <row r="15" spans="4:7" ht="19.5" customHeight="1">
      <c r="D15" s="417"/>
      <c r="E15" s="417"/>
      <c r="F15" s="421" t="s">
        <v>287</v>
      </c>
      <c r="G15" s="417"/>
    </row>
    <row r="16" spans="4:7" ht="19.5" customHeight="1">
      <c r="D16" s="417"/>
      <c r="E16" s="417"/>
      <c r="F16" s="421" t="s">
        <v>288</v>
      </c>
      <c r="G16" s="417"/>
    </row>
    <row r="17" spans="4:7" ht="19.5" customHeight="1">
      <c r="D17" s="417"/>
      <c r="E17" s="417"/>
      <c r="F17" s="421" t="s">
        <v>289</v>
      </c>
      <c r="G17" s="417"/>
    </row>
    <row r="18" spans="4:7" ht="19.5" customHeight="1">
      <c r="D18" s="417"/>
      <c r="E18" s="417"/>
      <c r="F18" s="421" t="s">
        <v>290</v>
      </c>
      <c r="G18" s="417"/>
    </row>
    <row r="19" spans="4:7" ht="19.5" customHeight="1">
      <c r="D19" s="417"/>
      <c r="E19" s="417"/>
      <c r="F19" s="421" t="s">
        <v>291</v>
      </c>
      <c r="G19" s="417"/>
    </row>
    <row r="20" spans="4:7" ht="19.5" customHeight="1">
      <c r="D20" s="417"/>
      <c r="E20" s="417"/>
      <c r="F20" s="421" t="s">
        <v>292</v>
      </c>
      <c r="G20" s="417"/>
    </row>
    <row r="21" spans="4:7" ht="19.5" customHeight="1">
      <c r="D21" s="417"/>
      <c r="E21" s="417"/>
      <c r="F21" s="421" t="s">
        <v>293</v>
      </c>
      <c r="G21" s="417"/>
    </row>
    <row r="22" spans="4:7" ht="19.5" customHeight="1">
      <c r="D22" s="417"/>
      <c r="E22" s="417"/>
      <c r="F22" s="421" t="s">
        <v>294</v>
      </c>
      <c r="G22" s="417"/>
    </row>
    <row r="23" spans="4:7" ht="19.5" customHeight="1">
      <c r="D23" s="417"/>
      <c r="E23" s="417"/>
      <c r="F23" s="420"/>
      <c r="G23" s="417"/>
    </row>
    <row r="24" spans="4:7" ht="19.5" customHeight="1">
      <c r="D24" s="417"/>
      <c r="E24" s="418" t="s">
        <v>17</v>
      </c>
      <c r="F24" s="419"/>
      <c r="G24" s="419"/>
    </row>
    <row r="25" spans="4:7" ht="19.5" customHeight="1">
      <c r="D25" s="417"/>
      <c r="E25" s="417"/>
      <c r="F25" s="420"/>
      <c r="G25" s="417"/>
    </row>
    <row r="26" spans="4:7" ht="19.5" customHeight="1">
      <c r="D26" s="417"/>
      <c r="E26" s="417"/>
      <c r="F26" s="421" t="s">
        <v>284</v>
      </c>
      <c r="G26" s="417"/>
    </row>
    <row r="27" spans="4:7" ht="19.5" customHeight="1">
      <c r="D27" s="417"/>
      <c r="E27" s="417"/>
      <c r="F27" s="421" t="s">
        <v>285</v>
      </c>
      <c r="G27" s="417"/>
    </row>
    <row r="28" spans="4:7" ht="19.5" customHeight="1">
      <c r="D28" s="417"/>
      <c r="E28" s="417"/>
      <c r="F28" s="421" t="s">
        <v>286</v>
      </c>
      <c r="G28" s="417"/>
    </row>
    <row r="29" spans="4:7" ht="19.5" customHeight="1">
      <c r="D29" s="417"/>
      <c r="E29" s="417"/>
      <c r="F29" s="421" t="s">
        <v>287</v>
      </c>
      <c r="G29" s="417"/>
    </row>
    <row r="30" spans="4:7" ht="19.5" customHeight="1">
      <c r="D30" s="417"/>
      <c r="E30" s="417"/>
      <c r="F30" s="421" t="s">
        <v>288</v>
      </c>
      <c r="G30" s="417"/>
    </row>
    <row r="31" spans="4:7" ht="19.5" customHeight="1">
      <c r="D31" s="417"/>
      <c r="E31" s="417"/>
      <c r="F31" s="421" t="s">
        <v>289</v>
      </c>
      <c r="G31" s="417"/>
    </row>
    <row r="32" spans="4:7" ht="19.5" customHeight="1">
      <c r="D32" s="417"/>
      <c r="E32" s="417"/>
      <c r="F32" s="421" t="s">
        <v>290</v>
      </c>
      <c r="G32" s="417"/>
    </row>
    <row r="33" spans="3:10" ht="19.5" customHeight="1">
      <c r="D33" s="417"/>
      <c r="E33" s="417"/>
      <c r="F33" s="421" t="s">
        <v>291</v>
      </c>
      <c r="G33" s="417"/>
    </row>
    <row r="34" spans="3:10" ht="19.5" customHeight="1">
      <c r="D34" s="417"/>
      <c r="E34" s="417"/>
      <c r="F34" s="422"/>
      <c r="G34" s="417"/>
    </row>
    <row r="35" spans="3:10" ht="18">
      <c r="D35" s="423"/>
    </row>
    <row r="36" spans="3:10" ht="15.75">
      <c r="E36" s="424"/>
      <c r="F36" s="425"/>
    </row>
    <row r="37" spans="3:10">
      <c r="D37" s="426" t="s">
        <v>8</v>
      </c>
      <c r="E37" s="426"/>
      <c r="F37" s="426"/>
      <c r="G37" s="426"/>
    </row>
    <row r="40" spans="3:10" ht="15.75">
      <c r="E40" s="424"/>
      <c r="F40" s="425"/>
    </row>
    <row r="42" spans="3:10" ht="18">
      <c r="D42" s="423"/>
    </row>
    <row r="43" spans="3:10">
      <c r="C43" s="427"/>
      <c r="D43" s="427"/>
      <c r="E43" s="427"/>
      <c r="F43" s="427"/>
      <c r="G43" s="427"/>
      <c r="H43" s="427"/>
      <c r="I43" s="427"/>
      <c r="J43" s="427"/>
    </row>
    <row r="47" spans="3:10" ht="18">
      <c r="D47" s="423"/>
    </row>
  </sheetData>
  <mergeCells count="2">
    <mergeCell ref="D8:G8"/>
    <mergeCell ref="D37:G37"/>
  </mergeCells>
  <hyperlinks>
    <hyperlink ref="F12" location="'Alojados por municipio'!A1" tooltip="Alojados por municipio y tipología" display="Alojados por municipio y tipología"/>
    <hyperlink ref="F15" location="'pernocta municipio y catego'!A1" tooltip="Pernoctaciones por municipio y categoría" display="Pernoctaciones por municipio y categoría"/>
    <hyperlink ref="F14" location="'Pernoctaciones munic y tipologí'!A1" tooltip="Pernoctaciones por municipio y tipología" display="Pernoctaciones por municipio y tipología"/>
    <hyperlink ref="F13" location="'Alojados tipología y categoría'!A1" tooltip="Alojados por municipio y categoría" display="Alojados por municipio y categoría"/>
    <hyperlink ref="F16" location="'IO municipio y Tipología'!A1" tooltip="Indices de ocupación por municipio y tipología" display="Indices de ocupación por municipio y tipología"/>
    <hyperlink ref="F17" location="'IO municipio y catego'!A1" tooltip="Indices de ocupación por municipio y categoría" display="Indices de ocupación por municipio y categoría"/>
    <hyperlink ref="F18" location="'EM MUNICIPIO y tipología'!A1" tooltip="Estancia media por municipio y tipología" display="Estancia media por municipio y tipología"/>
    <hyperlink ref="F19" location="'EM municipio y catego'!A1" tooltip="Estancia media por municipio y categoría" display="Estancia media por municipio y categoría"/>
    <hyperlink ref="F26" location="'Gráfica alojados municipio'!A1" tooltip="Alojados por municipio y tipología" display="Alojados por municipio y tipología"/>
    <hyperlink ref="F29" location="'Gráfico pernocta munic y cate'!A1" tooltip="Pernoctaciones por municipio y categoría" display="Pernoctaciones por municipio y categoría"/>
    <hyperlink ref="F28" location="'Gráfica pernoct munic tipología'!A1" tooltip="Pernoctaciones por municipio y tipología" display="Pernoctaciones por municipio y tipología"/>
    <hyperlink ref="F27" location="'Gráfico aloj tipolog y categorí'!A1" tooltip="Alojados por municipio y categoría" display="Alojados por municipio y categoría"/>
    <hyperlink ref="F30" location="'gráfica IO MUNICIPI y tipología'!A1" tooltip="Indices de ocupación por municipio y tipología" display="Indices de ocupación por municipio y tipología"/>
    <hyperlink ref="F31" location="'Gráfico IOa munic y ca '!A1" tooltip="Indices de ocupación por municipio y categoría" display="Indices de ocupación por municipio y categoría"/>
    <hyperlink ref="F32" location="'gráfico EM MUNICIPI y tipología'!A1" tooltip="Estancia media por municipio y tipología" display="Estancia media por municipio y tipología"/>
    <hyperlink ref="F33" location="'Gráfico EM munic y ca '!A1" tooltip="Estancia media por municipio y categoría" display="Estancia media por municipio y categoría"/>
    <hyperlink ref="F20" location="'Nacionalidad-Zona (datos)'!A1" tooltip="Alojados por nacionalidad y municipio" display="Alojados por nacionalidad y municipio"/>
    <hyperlink ref="F21" location="'evolucion nac zonas'!A1" tooltip="Evolución de turistas alojados por nacionalidad y municipio" display="Evolución de turistas alojados por nacionalidad y municipio"/>
    <hyperlink ref="F22" location="'Nacionalidad-Zona'!A1" tooltip="Distribución por nacionalidad según municipio" display="Distribución por nacionalidad según municipio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63">
    <tabColor rgb="FF000099"/>
    <pageSetUpPr fitToPage="1"/>
  </sheetPr>
  <dimension ref="B6:L30"/>
  <sheetViews>
    <sheetView showGridLines="0" showRowColHeaders="0" zoomScaleNormal="100" workbookViewId="0">
      <selection activeCell="I13" sqref="I13"/>
    </sheetView>
  </sheetViews>
  <sheetFormatPr baseColWidth="10" defaultRowHeight="12.75"/>
  <cols>
    <col min="1" max="1" width="11.42578125" style="425"/>
    <col min="2" max="2" width="26.85546875" style="425" bestFit="1" customWidth="1"/>
    <col min="3" max="7" width="11.7109375" style="425" customWidth="1"/>
    <col min="8" max="8" width="10.7109375" style="425" customWidth="1"/>
    <col min="9" max="15" width="11.42578125" style="425"/>
    <col min="16" max="16" width="13.85546875" style="425" customWidth="1"/>
    <col min="17" max="257" width="11.42578125" style="425"/>
    <col min="258" max="258" width="26.85546875" style="425" bestFit="1" customWidth="1"/>
    <col min="259" max="263" width="11.7109375" style="425" customWidth="1"/>
    <col min="264" max="264" width="10.7109375" style="425" customWidth="1"/>
    <col min="265" max="271" width="11.42578125" style="425"/>
    <col min="272" max="272" width="13.85546875" style="425" customWidth="1"/>
    <col min="273" max="513" width="11.42578125" style="425"/>
    <col min="514" max="514" width="26.85546875" style="425" bestFit="1" customWidth="1"/>
    <col min="515" max="519" width="11.7109375" style="425" customWidth="1"/>
    <col min="520" max="520" width="10.7109375" style="425" customWidth="1"/>
    <col min="521" max="527" width="11.42578125" style="425"/>
    <col min="528" max="528" width="13.85546875" style="425" customWidth="1"/>
    <col min="529" max="769" width="11.42578125" style="425"/>
    <col min="770" max="770" width="26.85546875" style="425" bestFit="1" customWidth="1"/>
    <col min="771" max="775" width="11.7109375" style="425" customWidth="1"/>
    <col min="776" max="776" width="10.7109375" style="425" customWidth="1"/>
    <col min="777" max="783" width="11.42578125" style="425"/>
    <col min="784" max="784" width="13.85546875" style="425" customWidth="1"/>
    <col min="785" max="1025" width="11.42578125" style="425"/>
    <col min="1026" max="1026" width="26.85546875" style="425" bestFit="1" customWidth="1"/>
    <col min="1027" max="1031" width="11.7109375" style="425" customWidth="1"/>
    <col min="1032" max="1032" width="10.7109375" style="425" customWidth="1"/>
    <col min="1033" max="1039" width="11.42578125" style="425"/>
    <col min="1040" max="1040" width="13.85546875" style="425" customWidth="1"/>
    <col min="1041" max="1281" width="11.42578125" style="425"/>
    <col min="1282" max="1282" width="26.85546875" style="425" bestFit="1" customWidth="1"/>
    <col min="1283" max="1287" width="11.7109375" style="425" customWidth="1"/>
    <col min="1288" max="1288" width="10.7109375" style="425" customWidth="1"/>
    <col min="1289" max="1295" width="11.42578125" style="425"/>
    <col min="1296" max="1296" width="13.85546875" style="425" customWidth="1"/>
    <col min="1297" max="1537" width="11.42578125" style="425"/>
    <col min="1538" max="1538" width="26.85546875" style="425" bestFit="1" customWidth="1"/>
    <col min="1539" max="1543" width="11.7109375" style="425" customWidth="1"/>
    <col min="1544" max="1544" width="10.7109375" style="425" customWidth="1"/>
    <col min="1545" max="1551" width="11.42578125" style="425"/>
    <col min="1552" max="1552" width="13.85546875" style="425" customWidth="1"/>
    <col min="1553" max="1793" width="11.42578125" style="425"/>
    <col min="1794" max="1794" width="26.85546875" style="425" bestFit="1" customWidth="1"/>
    <col min="1795" max="1799" width="11.7109375" style="425" customWidth="1"/>
    <col min="1800" max="1800" width="10.7109375" style="425" customWidth="1"/>
    <col min="1801" max="1807" width="11.42578125" style="425"/>
    <col min="1808" max="1808" width="13.85546875" style="425" customWidth="1"/>
    <col min="1809" max="2049" width="11.42578125" style="425"/>
    <col min="2050" max="2050" width="26.85546875" style="425" bestFit="1" customWidth="1"/>
    <col min="2051" max="2055" width="11.7109375" style="425" customWidth="1"/>
    <col min="2056" max="2056" width="10.7109375" style="425" customWidth="1"/>
    <col min="2057" max="2063" width="11.42578125" style="425"/>
    <col min="2064" max="2064" width="13.85546875" style="425" customWidth="1"/>
    <col min="2065" max="2305" width="11.42578125" style="425"/>
    <col min="2306" max="2306" width="26.85546875" style="425" bestFit="1" customWidth="1"/>
    <col min="2307" max="2311" width="11.7109375" style="425" customWidth="1"/>
    <col min="2312" max="2312" width="10.7109375" style="425" customWidth="1"/>
    <col min="2313" max="2319" width="11.42578125" style="425"/>
    <col min="2320" max="2320" width="13.85546875" style="425" customWidth="1"/>
    <col min="2321" max="2561" width="11.42578125" style="425"/>
    <col min="2562" max="2562" width="26.85546875" style="425" bestFit="1" customWidth="1"/>
    <col min="2563" max="2567" width="11.7109375" style="425" customWidth="1"/>
    <col min="2568" max="2568" width="10.7109375" style="425" customWidth="1"/>
    <col min="2569" max="2575" width="11.42578125" style="425"/>
    <col min="2576" max="2576" width="13.85546875" style="425" customWidth="1"/>
    <col min="2577" max="2817" width="11.42578125" style="425"/>
    <col min="2818" max="2818" width="26.85546875" style="425" bestFit="1" customWidth="1"/>
    <col min="2819" max="2823" width="11.7109375" style="425" customWidth="1"/>
    <col min="2824" max="2824" width="10.7109375" style="425" customWidth="1"/>
    <col min="2825" max="2831" width="11.42578125" style="425"/>
    <col min="2832" max="2832" width="13.85546875" style="425" customWidth="1"/>
    <col min="2833" max="3073" width="11.42578125" style="425"/>
    <col min="3074" max="3074" width="26.85546875" style="425" bestFit="1" customWidth="1"/>
    <col min="3075" max="3079" width="11.7109375" style="425" customWidth="1"/>
    <col min="3080" max="3080" width="10.7109375" style="425" customWidth="1"/>
    <col min="3081" max="3087" width="11.42578125" style="425"/>
    <col min="3088" max="3088" width="13.85546875" style="425" customWidth="1"/>
    <col min="3089" max="3329" width="11.42578125" style="425"/>
    <col min="3330" max="3330" width="26.85546875" style="425" bestFit="1" customWidth="1"/>
    <col min="3331" max="3335" width="11.7109375" style="425" customWidth="1"/>
    <col min="3336" max="3336" width="10.7109375" style="425" customWidth="1"/>
    <col min="3337" max="3343" width="11.42578125" style="425"/>
    <col min="3344" max="3344" width="13.85546875" style="425" customWidth="1"/>
    <col min="3345" max="3585" width="11.42578125" style="425"/>
    <col min="3586" max="3586" width="26.85546875" style="425" bestFit="1" customWidth="1"/>
    <col min="3587" max="3591" width="11.7109375" style="425" customWidth="1"/>
    <col min="3592" max="3592" width="10.7109375" style="425" customWidth="1"/>
    <col min="3593" max="3599" width="11.42578125" style="425"/>
    <col min="3600" max="3600" width="13.85546875" style="425" customWidth="1"/>
    <col min="3601" max="3841" width="11.42578125" style="425"/>
    <col min="3842" max="3842" width="26.85546875" style="425" bestFit="1" customWidth="1"/>
    <col min="3843" max="3847" width="11.7109375" style="425" customWidth="1"/>
    <col min="3848" max="3848" width="10.7109375" style="425" customWidth="1"/>
    <col min="3849" max="3855" width="11.42578125" style="425"/>
    <col min="3856" max="3856" width="13.85546875" style="425" customWidth="1"/>
    <col min="3857" max="4097" width="11.42578125" style="425"/>
    <col min="4098" max="4098" width="26.85546875" style="425" bestFit="1" customWidth="1"/>
    <col min="4099" max="4103" width="11.7109375" style="425" customWidth="1"/>
    <col min="4104" max="4104" width="10.7109375" style="425" customWidth="1"/>
    <col min="4105" max="4111" width="11.42578125" style="425"/>
    <col min="4112" max="4112" width="13.85546875" style="425" customWidth="1"/>
    <col min="4113" max="4353" width="11.42578125" style="425"/>
    <col min="4354" max="4354" width="26.85546875" style="425" bestFit="1" customWidth="1"/>
    <col min="4355" max="4359" width="11.7109375" style="425" customWidth="1"/>
    <col min="4360" max="4360" width="10.7109375" style="425" customWidth="1"/>
    <col min="4361" max="4367" width="11.42578125" style="425"/>
    <col min="4368" max="4368" width="13.85546875" style="425" customWidth="1"/>
    <col min="4369" max="4609" width="11.42578125" style="425"/>
    <col min="4610" max="4610" width="26.85546875" style="425" bestFit="1" customWidth="1"/>
    <col min="4611" max="4615" width="11.7109375" style="425" customWidth="1"/>
    <col min="4616" max="4616" width="10.7109375" style="425" customWidth="1"/>
    <col min="4617" max="4623" width="11.42578125" style="425"/>
    <col min="4624" max="4624" width="13.85546875" style="425" customWidth="1"/>
    <col min="4625" max="4865" width="11.42578125" style="425"/>
    <col min="4866" max="4866" width="26.85546875" style="425" bestFit="1" customWidth="1"/>
    <col min="4867" max="4871" width="11.7109375" style="425" customWidth="1"/>
    <col min="4872" max="4872" width="10.7109375" style="425" customWidth="1"/>
    <col min="4873" max="4879" width="11.42578125" style="425"/>
    <col min="4880" max="4880" width="13.85546875" style="425" customWidth="1"/>
    <col min="4881" max="5121" width="11.42578125" style="425"/>
    <col min="5122" max="5122" width="26.85546875" style="425" bestFit="1" customWidth="1"/>
    <col min="5123" max="5127" width="11.7109375" style="425" customWidth="1"/>
    <col min="5128" max="5128" width="10.7109375" style="425" customWidth="1"/>
    <col min="5129" max="5135" width="11.42578125" style="425"/>
    <col min="5136" max="5136" width="13.85546875" style="425" customWidth="1"/>
    <col min="5137" max="5377" width="11.42578125" style="425"/>
    <col min="5378" max="5378" width="26.85546875" style="425" bestFit="1" customWidth="1"/>
    <col min="5379" max="5383" width="11.7109375" style="425" customWidth="1"/>
    <col min="5384" max="5384" width="10.7109375" style="425" customWidth="1"/>
    <col min="5385" max="5391" width="11.42578125" style="425"/>
    <col min="5392" max="5392" width="13.85546875" style="425" customWidth="1"/>
    <col min="5393" max="5633" width="11.42578125" style="425"/>
    <col min="5634" max="5634" width="26.85546875" style="425" bestFit="1" customWidth="1"/>
    <col min="5635" max="5639" width="11.7109375" style="425" customWidth="1"/>
    <col min="5640" max="5640" width="10.7109375" style="425" customWidth="1"/>
    <col min="5641" max="5647" width="11.42578125" style="425"/>
    <col min="5648" max="5648" width="13.85546875" style="425" customWidth="1"/>
    <col min="5649" max="5889" width="11.42578125" style="425"/>
    <col min="5890" max="5890" width="26.85546875" style="425" bestFit="1" customWidth="1"/>
    <col min="5891" max="5895" width="11.7109375" style="425" customWidth="1"/>
    <col min="5896" max="5896" width="10.7109375" style="425" customWidth="1"/>
    <col min="5897" max="5903" width="11.42578125" style="425"/>
    <col min="5904" max="5904" width="13.85546875" style="425" customWidth="1"/>
    <col min="5905" max="6145" width="11.42578125" style="425"/>
    <col min="6146" max="6146" width="26.85546875" style="425" bestFit="1" customWidth="1"/>
    <col min="6147" max="6151" width="11.7109375" style="425" customWidth="1"/>
    <col min="6152" max="6152" width="10.7109375" style="425" customWidth="1"/>
    <col min="6153" max="6159" width="11.42578125" style="425"/>
    <col min="6160" max="6160" width="13.85546875" style="425" customWidth="1"/>
    <col min="6161" max="6401" width="11.42578125" style="425"/>
    <col min="6402" max="6402" width="26.85546875" style="425" bestFit="1" customWidth="1"/>
    <col min="6403" max="6407" width="11.7109375" style="425" customWidth="1"/>
    <col min="6408" max="6408" width="10.7109375" style="425" customWidth="1"/>
    <col min="6409" max="6415" width="11.42578125" style="425"/>
    <col min="6416" max="6416" width="13.85546875" style="425" customWidth="1"/>
    <col min="6417" max="6657" width="11.42578125" style="425"/>
    <col min="6658" max="6658" width="26.85546875" style="425" bestFit="1" customWidth="1"/>
    <col min="6659" max="6663" width="11.7109375" style="425" customWidth="1"/>
    <col min="6664" max="6664" width="10.7109375" style="425" customWidth="1"/>
    <col min="6665" max="6671" width="11.42578125" style="425"/>
    <col min="6672" max="6672" width="13.85546875" style="425" customWidth="1"/>
    <col min="6673" max="6913" width="11.42578125" style="425"/>
    <col min="6914" max="6914" width="26.85546875" style="425" bestFit="1" customWidth="1"/>
    <col min="6915" max="6919" width="11.7109375" style="425" customWidth="1"/>
    <col min="6920" max="6920" width="10.7109375" style="425" customWidth="1"/>
    <col min="6921" max="6927" width="11.42578125" style="425"/>
    <col min="6928" max="6928" width="13.85546875" style="425" customWidth="1"/>
    <col min="6929" max="7169" width="11.42578125" style="425"/>
    <col min="7170" max="7170" width="26.85546875" style="425" bestFit="1" customWidth="1"/>
    <col min="7171" max="7175" width="11.7109375" style="425" customWidth="1"/>
    <col min="7176" max="7176" width="10.7109375" style="425" customWidth="1"/>
    <col min="7177" max="7183" width="11.42578125" style="425"/>
    <col min="7184" max="7184" width="13.85546875" style="425" customWidth="1"/>
    <col min="7185" max="7425" width="11.42578125" style="425"/>
    <col min="7426" max="7426" width="26.85546875" style="425" bestFit="1" customWidth="1"/>
    <col min="7427" max="7431" width="11.7109375" style="425" customWidth="1"/>
    <col min="7432" max="7432" width="10.7109375" style="425" customWidth="1"/>
    <col min="7433" max="7439" width="11.42578125" style="425"/>
    <col min="7440" max="7440" width="13.85546875" style="425" customWidth="1"/>
    <col min="7441" max="7681" width="11.42578125" style="425"/>
    <col min="7682" max="7682" width="26.85546875" style="425" bestFit="1" customWidth="1"/>
    <col min="7683" max="7687" width="11.7109375" style="425" customWidth="1"/>
    <col min="7688" max="7688" width="10.7109375" style="425" customWidth="1"/>
    <col min="7689" max="7695" width="11.42578125" style="425"/>
    <col min="7696" max="7696" width="13.85546875" style="425" customWidth="1"/>
    <col min="7697" max="7937" width="11.42578125" style="425"/>
    <col min="7938" max="7938" width="26.85546875" style="425" bestFit="1" customWidth="1"/>
    <col min="7939" max="7943" width="11.7109375" style="425" customWidth="1"/>
    <col min="7944" max="7944" width="10.7109375" style="425" customWidth="1"/>
    <col min="7945" max="7951" width="11.42578125" style="425"/>
    <col min="7952" max="7952" width="13.85546875" style="425" customWidth="1"/>
    <col min="7953" max="8193" width="11.42578125" style="425"/>
    <col min="8194" max="8194" width="26.85546875" style="425" bestFit="1" customWidth="1"/>
    <col min="8195" max="8199" width="11.7109375" style="425" customWidth="1"/>
    <col min="8200" max="8200" width="10.7109375" style="425" customWidth="1"/>
    <col min="8201" max="8207" width="11.42578125" style="425"/>
    <col min="8208" max="8208" width="13.85546875" style="425" customWidth="1"/>
    <col min="8209" max="8449" width="11.42578125" style="425"/>
    <col min="8450" max="8450" width="26.85546875" style="425" bestFit="1" customWidth="1"/>
    <col min="8451" max="8455" width="11.7109375" style="425" customWidth="1"/>
    <col min="8456" max="8456" width="10.7109375" style="425" customWidth="1"/>
    <col min="8457" max="8463" width="11.42578125" style="425"/>
    <col min="8464" max="8464" width="13.85546875" style="425" customWidth="1"/>
    <col min="8465" max="8705" width="11.42578125" style="425"/>
    <col min="8706" max="8706" width="26.85546875" style="425" bestFit="1" customWidth="1"/>
    <col min="8707" max="8711" width="11.7109375" style="425" customWidth="1"/>
    <col min="8712" max="8712" width="10.7109375" style="425" customWidth="1"/>
    <col min="8713" max="8719" width="11.42578125" style="425"/>
    <col min="8720" max="8720" width="13.85546875" style="425" customWidth="1"/>
    <col min="8721" max="8961" width="11.42578125" style="425"/>
    <col min="8962" max="8962" width="26.85546875" style="425" bestFit="1" customWidth="1"/>
    <col min="8963" max="8967" width="11.7109375" style="425" customWidth="1"/>
    <col min="8968" max="8968" width="10.7109375" style="425" customWidth="1"/>
    <col min="8969" max="8975" width="11.42578125" style="425"/>
    <col min="8976" max="8976" width="13.85546875" style="425" customWidth="1"/>
    <col min="8977" max="9217" width="11.42578125" style="425"/>
    <col min="9218" max="9218" width="26.85546875" style="425" bestFit="1" customWidth="1"/>
    <col min="9219" max="9223" width="11.7109375" style="425" customWidth="1"/>
    <col min="9224" max="9224" width="10.7109375" style="425" customWidth="1"/>
    <col min="9225" max="9231" width="11.42578125" style="425"/>
    <col min="9232" max="9232" width="13.85546875" style="425" customWidth="1"/>
    <col min="9233" max="9473" width="11.42578125" style="425"/>
    <col min="9474" max="9474" width="26.85546875" style="425" bestFit="1" customWidth="1"/>
    <col min="9475" max="9479" width="11.7109375" style="425" customWidth="1"/>
    <col min="9480" max="9480" width="10.7109375" style="425" customWidth="1"/>
    <col min="9481" max="9487" width="11.42578125" style="425"/>
    <col min="9488" max="9488" width="13.85546875" style="425" customWidth="1"/>
    <col min="9489" max="9729" width="11.42578125" style="425"/>
    <col min="9730" max="9730" width="26.85546875" style="425" bestFit="1" customWidth="1"/>
    <col min="9731" max="9735" width="11.7109375" style="425" customWidth="1"/>
    <col min="9736" max="9736" width="10.7109375" style="425" customWidth="1"/>
    <col min="9737" max="9743" width="11.42578125" style="425"/>
    <col min="9744" max="9744" width="13.85546875" style="425" customWidth="1"/>
    <col min="9745" max="9985" width="11.42578125" style="425"/>
    <col min="9986" max="9986" width="26.85546875" style="425" bestFit="1" customWidth="1"/>
    <col min="9987" max="9991" width="11.7109375" style="425" customWidth="1"/>
    <col min="9992" max="9992" width="10.7109375" style="425" customWidth="1"/>
    <col min="9993" max="9999" width="11.42578125" style="425"/>
    <col min="10000" max="10000" width="13.85546875" style="425" customWidth="1"/>
    <col min="10001" max="10241" width="11.42578125" style="425"/>
    <col min="10242" max="10242" width="26.85546875" style="425" bestFit="1" customWidth="1"/>
    <col min="10243" max="10247" width="11.7109375" style="425" customWidth="1"/>
    <col min="10248" max="10248" width="10.7109375" style="425" customWidth="1"/>
    <col min="10249" max="10255" width="11.42578125" style="425"/>
    <col min="10256" max="10256" width="13.85546875" style="425" customWidth="1"/>
    <col min="10257" max="10497" width="11.42578125" style="425"/>
    <col min="10498" max="10498" width="26.85546875" style="425" bestFit="1" customWidth="1"/>
    <col min="10499" max="10503" width="11.7109375" style="425" customWidth="1"/>
    <col min="10504" max="10504" width="10.7109375" style="425" customWidth="1"/>
    <col min="10505" max="10511" width="11.42578125" style="425"/>
    <col min="10512" max="10512" width="13.85546875" style="425" customWidth="1"/>
    <col min="10513" max="10753" width="11.42578125" style="425"/>
    <col min="10754" max="10754" width="26.85546875" style="425" bestFit="1" customWidth="1"/>
    <col min="10755" max="10759" width="11.7109375" style="425" customWidth="1"/>
    <col min="10760" max="10760" width="10.7109375" style="425" customWidth="1"/>
    <col min="10761" max="10767" width="11.42578125" style="425"/>
    <col min="10768" max="10768" width="13.85546875" style="425" customWidth="1"/>
    <col min="10769" max="11009" width="11.42578125" style="425"/>
    <col min="11010" max="11010" width="26.85546875" style="425" bestFit="1" customWidth="1"/>
    <col min="11011" max="11015" width="11.7109375" style="425" customWidth="1"/>
    <col min="11016" max="11016" width="10.7109375" style="425" customWidth="1"/>
    <col min="11017" max="11023" width="11.42578125" style="425"/>
    <col min="11024" max="11024" width="13.85546875" style="425" customWidth="1"/>
    <col min="11025" max="11265" width="11.42578125" style="425"/>
    <col min="11266" max="11266" width="26.85546875" style="425" bestFit="1" customWidth="1"/>
    <col min="11267" max="11271" width="11.7109375" style="425" customWidth="1"/>
    <col min="11272" max="11272" width="10.7109375" style="425" customWidth="1"/>
    <col min="11273" max="11279" width="11.42578125" style="425"/>
    <col min="11280" max="11280" width="13.85546875" style="425" customWidth="1"/>
    <col min="11281" max="11521" width="11.42578125" style="425"/>
    <col min="11522" max="11522" width="26.85546875" style="425" bestFit="1" customWidth="1"/>
    <col min="11523" max="11527" width="11.7109375" style="425" customWidth="1"/>
    <col min="11528" max="11528" width="10.7109375" style="425" customWidth="1"/>
    <col min="11529" max="11535" width="11.42578125" style="425"/>
    <col min="11536" max="11536" width="13.85546875" style="425" customWidth="1"/>
    <col min="11537" max="11777" width="11.42578125" style="425"/>
    <col min="11778" max="11778" width="26.85546875" style="425" bestFit="1" customWidth="1"/>
    <col min="11779" max="11783" width="11.7109375" style="425" customWidth="1"/>
    <col min="11784" max="11784" width="10.7109375" style="425" customWidth="1"/>
    <col min="11785" max="11791" width="11.42578125" style="425"/>
    <col min="11792" max="11792" width="13.85546875" style="425" customWidth="1"/>
    <col min="11793" max="12033" width="11.42578125" style="425"/>
    <col min="12034" max="12034" width="26.85546875" style="425" bestFit="1" customWidth="1"/>
    <col min="12035" max="12039" width="11.7109375" style="425" customWidth="1"/>
    <col min="12040" max="12040" width="10.7109375" style="425" customWidth="1"/>
    <col min="12041" max="12047" width="11.42578125" style="425"/>
    <col min="12048" max="12048" width="13.85546875" style="425" customWidth="1"/>
    <col min="12049" max="12289" width="11.42578125" style="425"/>
    <col min="12290" max="12290" width="26.85546875" style="425" bestFit="1" customWidth="1"/>
    <col min="12291" max="12295" width="11.7109375" style="425" customWidth="1"/>
    <col min="12296" max="12296" width="10.7109375" style="425" customWidth="1"/>
    <col min="12297" max="12303" width="11.42578125" style="425"/>
    <col min="12304" max="12304" width="13.85546875" style="425" customWidth="1"/>
    <col min="12305" max="12545" width="11.42578125" style="425"/>
    <col min="12546" max="12546" width="26.85546875" style="425" bestFit="1" customWidth="1"/>
    <col min="12547" max="12551" width="11.7109375" style="425" customWidth="1"/>
    <col min="12552" max="12552" width="10.7109375" style="425" customWidth="1"/>
    <col min="12553" max="12559" width="11.42578125" style="425"/>
    <col min="12560" max="12560" width="13.85546875" style="425" customWidth="1"/>
    <col min="12561" max="12801" width="11.42578125" style="425"/>
    <col min="12802" max="12802" width="26.85546875" style="425" bestFit="1" customWidth="1"/>
    <col min="12803" max="12807" width="11.7109375" style="425" customWidth="1"/>
    <col min="12808" max="12808" width="10.7109375" style="425" customWidth="1"/>
    <col min="12809" max="12815" width="11.42578125" style="425"/>
    <col min="12816" max="12816" width="13.85546875" style="425" customWidth="1"/>
    <col min="12817" max="13057" width="11.42578125" style="425"/>
    <col min="13058" max="13058" width="26.85546875" style="425" bestFit="1" customWidth="1"/>
    <col min="13059" max="13063" width="11.7109375" style="425" customWidth="1"/>
    <col min="13064" max="13064" width="10.7109375" style="425" customWidth="1"/>
    <col min="13065" max="13071" width="11.42578125" style="425"/>
    <col min="13072" max="13072" width="13.85546875" style="425" customWidth="1"/>
    <col min="13073" max="13313" width="11.42578125" style="425"/>
    <col min="13314" max="13314" width="26.85546875" style="425" bestFit="1" customWidth="1"/>
    <col min="13315" max="13319" width="11.7109375" style="425" customWidth="1"/>
    <col min="13320" max="13320" width="10.7109375" style="425" customWidth="1"/>
    <col min="13321" max="13327" width="11.42578125" style="425"/>
    <col min="13328" max="13328" width="13.85546875" style="425" customWidth="1"/>
    <col min="13329" max="13569" width="11.42578125" style="425"/>
    <col min="13570" max="13570" width="26.85546875" style="425" bestFit="1" customWidth="1"/>
    <col min="13571" max="13575" width="11.7109375" style="425" customWidth="1"/>
    <col min="13576" max="13576" width="10.7109375" style="425" customWidth="1"/>
    <col min="13577" max="13583" width="11.42578125" style="425"/>
    <col min="13584" max="13584" width="13.85546875" style="425" customWidth="1"/>
    <col min="13585" max="13825" width="11.42578125" style="425"/>
    <col min="13826" max="13826" width="26.85546875" style="425" bestFit="1" customWidth="1"/>
    <col min="13827" max="13831" width="11.7109375" style="425" customWidth="1"/>
    <col min="13832" max="13832" width="10.7109375" style="425" customWidth="1"/>
    <col min="13833" max="13839" width="11.42578125" style="425"/>
    <col min="13840" max="13840" width="13.85546875" style="425" customWidth="1"/>
    <col min="13841" max="14081" width="11.42578125" style="425"/>
    <col min="14082" max="14082" width="26.85546875" style="425" bestFit="1" customWidth="1"/>
    <col min="14083" max="14087" width="11.7109375" style="425" customWidth="1"/>
    <col min="14088" max="14088" width="10.7109375" style="425" customWidth="1"/>
    <col min="14089" max="14095" width="11.42578125" style="425"/>
    <col min="14096" max="14096" width="13.85546875" style="425" customWidth="1"/>
    <col min="14097" max="14337" width="11.42578125" style="425"/>
    <col min="14338" max="14338" width="26.85546875" style="425" bestFit="1" customWidth="1"/>
    <col min="14339" max="14343" width="11.7109375" style="425" customWidth="1"/>
    <col min="14344" max="14344" width="10.7109375" style="425" customWidth="1"/>
    <col min="14345" max="14351" width="11.42578125" style="425"/>
    <col min="14352" max="14352" width="13.85546875" style="425" customWidth="1"/>
    <col min="14353" max="14593" width="11.42578125" style="425"/>
    <col min="14594" max="14594" width="26.85546875" style="425" bestFit="1" customWidth="1"/>
    <col min="14595" max="14599" width="11.7109375" style="425" customWidth="1"/>
    <col min="14600" max="14600" width="10.7109375" style="425" customWidth="1"/>
    <col min="14601" max="14607" width="11.42578125" style="425"/>
    <col min="14608" max="14608" width="13.85546875" style="425" customWidth="1"/>
    <col min="14609" max="14849" width="11.42578125" style="425"/>
    <col min="14850" max="14850" width="26.85546875" style="425" bestFit="1" customWidth="1"/>
    <col min="14851" max="14855" width="11.7109375" style="425" customWidth="1"/>
    <col min="14856" max="14856" width="10.7109375" style="425" customWidth="1"/>
    <col min="14857" max="14863" width="11.42578125" style="425"/>
    <col min="14864" max="14864" width="13.85546875" style="425" customWidth="1"/>
    <col min="14865" max="15105" width="11.42578125" style="425"/>
    <col min="15106" max="15106" width="26.85546875" style="425" bestFit="1" customWidth="1"/>
    <col min="15107" max="15111" width="11.7109375" style="425" customWidth="1"/>
    <col min="15112" max="15112" width="10.7109375" style="425" customWidth="1"/>
    <col min="15113" max="15119" width="11.42578125" style="425"/>
    <col min="15120" max="15120" width="13.85546875" style="425" customWidth="1"/>
    <col min="15121" max="15361" width="11.42578125" style="425"/>
    <col min="15362" max="15362" width="26.85546875" style="425" bestFit="1" customWidth="1"/>
    <col min="15363" max="15367" width="11.7109375" style="425" customWidth="1"/>
    <col min="15368" max="15368" width="10.7109375" style="425" customWidth="1"/>
    <col min="15369" max="15375" width="11.42578125" style="425"/>
    <col min="15376" max="15376" width="13.85546875" style="425" customWidth="1"/>
    <col min="15377" max="15617" width="11.42578125" style="425"/>
    <col min="15618" max="15618" width="26.85546875" style="425" bestFit="1" customWidth="1"/>
    <col min="15619" max="15623" width="11.7109375" style="425" customWidth="1"/>
    <col min="15624" max="15624" width="10.7109375" style="425" customWidth="1"/>
    <col min="15625" max="15631" width="11.42578125" style="425"/>
    <col min="15632" max="15632" width="13.85546875" style="425" customWidth="1"/>
    <col min="15633" max="15873" width="11.42578125" style="425"/>
    <col min="15874" max="15874" width="26.85546875" style="425" bestFit="1" customWidth="1"/>
    <col min="15875" max="15879" width="11.7109375" style="425" customWidth="1"/>
    <col min="15880" max="15880" width="10.7109375" style="425" customWidth="1"/>
    <col min="15881" max="15887" width="11.42578125" style="425"/>
    <col min="15888" max="15888" width="13.85546875" style="425" customWidth="1"/>
    <col min="15889" max="16129" width="11.42578125" style="425"/>
    <col min="16130" max="16130" width="26.85546875" style="425" bestFit="1" customWidth="1"/>
    <col min="16131" max="16135" width="11.7109375" style="425" customWidth="1"/>
    <col min="16136" max="16136" width="10.7109375" style="425" customWidth="1"/>
    <col min="16137" max="16143" width="11.42578125" style="425"/>
    <col min="16144" max="16144" width="13.85546875" style="425" customWidth="1"/>
    <col min="16145" max="16384" width="11.42578125" style="425"/>
  </cols>
  <sheetData>
    <row r="6" spans="2:7" ht="20.25" customHeight="1">
      <c r="B6" s="428" t="s">
        <v>295</v>
      </c>
      <c r="C6" s="429"/>
      <c r="D6" s="429"/>
      <c r="E6" s="429"/>
      <c r="F6" s="429"/>
      <c r="G6" s="430"/>
    </row>
    <row r="7" spans="2:7" ht="25.5">
      <c r="B7" s="431" t="s">
        <v>262</v>
      </c>
      <c r="C7" s="432" t="s">
        <v>296</v>
      </c>
      <c r="D7" s="433" t="s">
        <v>27</v>
      </c>
      <c r="E7" s="432" t="s">
        <v>297</v>
      </c>
      <c r="F7" s="433" t="s">
        <v>27</v>
      </c>
      <c r="G7" s="433" t="s">
        <v>28</v>
      </c>
    </row>
    <row r="8" spans="2:7" ht="15" customHeight="1">
      <c r="B8" s="434" t="s">
        <v>263</v>
      </c>
      <c r="C8" s="435"/>
      <c r="D8" s="435"/>
      <c r="E8" s="435"/>
      <c r="F8" s="435"/>
      <c r="G8" s="436"/>
    </row>
    <row r="9" spans="2:7">
      <c r="B9" s="437" t="s">
        <v>298</v>
      </c>
      <c r="C9" s="438">
        <f>GETPIVOTDATA("Suma de TOTAL GENERAL",'[1]tabla dinámica municipios'!$G$4,"PAIS/INDICADOR","TOTAL","AÑO",2009)</f>
        <v>2728596</v>
      </c>
      <c r="D9" s="439">
        <f>C9/C9</f>
        <v>1</v>
      </c>
      <c r="E9" s="438">
        <f>GETPIVOTDATA("Suma de TOTAL GENERAL",'[1]tabla dinámica municipios'!$G$4,"PAIS/INDICADOR","TOTAL","AÑO",2010)</f>
        <v>2766193</v>
      </c>
      <c r="F9" s="439">
        <f>E9/E9</f>
        <v>1</v>
      </c>
      <c r="G9" s="439">
        <f>(E9-C9)/C9</f>
        <v>1.3778881153530974E-2</v>
      </c>
    </row>
    <row r="10" spans="2:7">
      <c r="B10" s="440" t="s">
        <v>299</v>
      </c>
      <c r="C10" s="441">
        <f>GETPIVOTDATA("Suma de TOTAL HOTELERO",'[1]tabla dinámica municipios'!$G$4,"PAIS/INDICADOR","TOTAL","AÑO",2009)</f>
        <v>1605820</v>
      </c>
      <c r="D10" s="442">
        <f>C10/C9</f>
        <v>0.58851511913086441</v>
      </c>
      <c r="E10" s="441">
        <f>GETPIVOTDATA("Suma de TOTAL HOTELERO",'[1]tabla dinámica municipios'!$G$4,"PAIS/INDICADOR","TOTAL","AÑO",2010)</f>
        <v>1677828</v>
      </c>
      <c r="F10" s="442">
        <f>E10/E9</f>
        <v>0.60654769931093022</v>
      </c>
      <c r="G10" s="442">
        <f>(E10-C10)/C10</f>
        <v>4.48418876337323E-2</v>
      </c>
    </row>
    <row r="11" spans="2:7">
      <c r="B11" s="443" t="s">
        <v>300</v>
      </c>
      <c r="C11" s="444">
        <f>GETPIVOTDATA("Suma de Extrahoteleros",'[1]tabla dinámica municipios'!$G$4,"PAIS/INDICADOR","TOTAL","AÑO",2009)</f>
        <v>1122776</v>
      </c>
      <c r="D11" s="442">
        <f>C11/C9</f>
        <v>0.41148488086913565</v>
      </c>
      <c r="E11" s="444">
        <f>GETPIVOTDATA("Suma de Extrahoteleros",'[1]tabla dinámica municipios'!$G$4,"PAIS/INDICADOR","TOTAL","AÑO",2010)</f>
        <v>1088365</v>
      </c>
      <c r="F11" s="445">
        <f>E11/E9</f>
        <v>0.39345230068906978</v>
      </c>
      <c r="G11" s="445">
        <f>(E11-C11)/C11</f>
        <v>-3.0648143529965016E-2</v>
      </c>
    </row>
    <row r="12" spans="2:7" ht="15" customHeight="1">
      <c r="B12" s="434" t="s">
        <v>301</v>
      </c>
      <c r="C12" s="446"/>
      <c r="D12" s="446"/>
      <c r="E12" s="446"/>
      <c r="F12" s="446"/>
      <c r="G12" s="447"/>
    </row>
    <row r="13" spans="2:7">
      <c r="B13" s="448" t="s">
        <v>298</v>
      </c>
      <c r="C13" s="449">
        <f>GETPIVOTDATA("dato",'[1]tabla dinámica municipios'!$A$4,"indicador","TOTAL","categoría","TOTAL","municipio","ADEJE","año",2009)</f>
        <v>945838</v>
      </c>
      <c r="D13" s="450">
        <f>C13/C13</f>
        <v>1</v>
      </c>
      <c r="E13" s="449">
        <f>GETPIVOTDATA("dato",'[1]tabla dinámica municipios'!$A$4,"indicador","TOTAL","categoría","TOTAL","municipio","ADEJE","año",2010)</f>
        <v>978683</v>
      </c>
      <c r="F13" s="450">
        <f>E13/E13</f>
        <v>1</v>
      </c>
      <c r="G13" s="451">
        <f>(E13-C13)/C13</f>
        <v>3.472581985498574E-2</v>
      </c>
    </row>
    <row r="14" spans="2:7">
      <c r="B14" s="452" t="s">
        <v>299</v>
      </c>
      <c r="C14" s="453">
        <f>GETPIVOTDATA("dato",'[1]tabla dinámica municipios'!$A$4,"indicador","TOTAL","categoría","Hoteleros","municipio","ADEJE","año",2009)</f>
        <v>605398</v>
      </c>
      <c r="D14" s="454">
        <f>C14/C13</f>
        <v>0.64006521201305089</v>
      </c>
      <c r="E14" s="453">
        <f>GETPIVOTDATA("dato",'[1]tabla dinámica municipios'!$A$4,"indicador","TOTAL","categoría","Hoteleros","municipio","ADEJE","año",2010)</f>
        <v>644123</v>
      </c>
      <c r="F14" s="454">
        <f>E14/E13</f>
        <v>0.6581528441793717</v>
      </c>
      <c r="G14" s="455">
        <f>(E14-C14)/C14</f>
        <v>6.3966184229217807E-2</v>
      </c>
    </row>
    <row r="15" spans="2:7">
      <c r="B15" s="452" t="s">
        <v>300</v>
      </c>
      <c r="C15" s="453">
        <f>GETPIVOTDATA("dato",'[1]tabla dinámica municipios'!$A$4,"indicador","TOTAL","categoría","Extrahoteleros","municipio","ADEJE","año",2009)</f>
        <v>340440</v>
      </c>
      <c r="D15" s="454">
        <f>C15/C13</f>
        <v>0.35993478798694911</v>
      </c>
      <c r="E15" s="453">
        <f>GETPIVOTDATA("dato",'[1]tabla dinámica municipios'!$A$4,"indicador","TOTAL","categoría","Extrahoteleros","municipio","ADEJE","año",2010)</f>
        <v>334560</v>
      </c>
      <c r="F15" s="454">
        <f>E15/E13</f>
        <v>0.34184715582062836</v>
      </c>
      <c r="G15" s="455">
        <f>(E15-C15)/C15</f>
        <v>-1.7271765949947126E-2</v>
      </c>
    </row>
    <row r="16" spans="2:7" ht="15" customHeight="1">
      <c r="B16" s="434" t="s">
        <v>302</v>
      </c>
      <c r="C16" s="446"/>
      <c r="D16" s="446"/>
      <c r="E16" s="446"/>
      <c r="F16" s="446"/>
      <c r="G16" s="447"/>
    </row>
    <row r="17" spans="2:12">
      <c r="B17" s="452" t="s">
        <v>298</v>
      </c>
      <c r="C17" s="449">
        <f>GETPIVOTDATA("dato",'[1]tabla dinámica municipios'!$A$4,"indicador","TOTAL","categoría","TOTAL","municipio","ARONA","año",2009)</f>
        <v>808683</v>
      </c>
      <c r="D17" s="450">
        <f>C17/C17</f>
        <v>1</v>
      </c>
      <c r="E17" s="449">
        <f>GETPIVOTDATA("dato",'[1]tabla dinámica municipios'!$A$4,"indicador","TOTAL","categoría","TOTAL","municipio","ARONA","año",2010)</f>
        <v>818429</v>
      </c>
      <c r="F17" s="450">
        <f>E17/E17</f>
        <v>1</v>
      </c>
      <c r="G17" s="451">
        <f>(E17-C17)/C17</f>
        <v>1.2051693927039395E-2</v>
      </c>
    </row>
    <row r="18" spans="2:12">
      <c r="B18" s="452" t="s">
        <v>299</v>
      </c>
      <c r="C18" s="453">
        <f>GETPIVOTDATA("dato",'[1]tabla dinámica municipios'!$A$4,"indicador","TOTAL","categoría","Hoteleros","municipio","ARONA","año",2009)</f>
        <v>343639</v>
      </c>
      <c r="D18" s="454">
        <f>C18/C17</f>
        <v>0.42493659443811727</v>
      </c>
      <c r="E18" s="453">
        <f>GETPIVOTDATA("dato",'[1]tabla dinámica municipios'!$A$4,"indicador","TOTAL","categoría","Hoteleros","municipio","ARONA","año",2010)</f>
        <v>372354</v>
      </c>
      <c r="F18" s="454">
        <f>E18/E17</f>
        <v>0.45496188429295636</v>
      </c>
      <c r="G18" s="455">
        <f>(E18-C18)/C18</f>
        <v>8.3561528231661714E-2</v>
      </c>
    </row>
    <row r="19" spans="2:12">
      <c r="B19" s="452" t="s">
        <v>300</v>
      </c>
      <c r="C19" s="456">
        <f>GETPIVOTDATA("dato",'[1]tabla dinámica municipios'!$A$4,"indicador","TOTAL","categoría","Extrahoteleros","municipio","ARONA","año",2009)</f>
        <v>465044</v>
      </c>
      <c r="D19" s="457">
        <f>C19/C17</f>
        <v>0.57506340556188273</v>
      </c>
      <c r="E19" s="456">
        <f>GETPIVOTDATA("dato",'[1]tabla dinámica municipios'!$A$4,"indicador","TOTAL","categoría","Extrahoteleros","municipio","ARONA","año",2010)</f>
        <v>446075</v>
      </c>
      <c r="F19" s="457">
        <f>E19/E17</f>
        <v>0.54503811570704364</v>
      </c>
      <c r="G19" s="455">
        <f>(E19-C19)/C19</f>
        <v>-4.0789688717626719E-2</v>
      </c>
    </row>
    <row r="20" spans="2:12" ht="15" customHeight="1">
      <c r="B20" s="434" t="s">
        <v>303</v>
      </c>
      <c r="C20" s="446"/>
      <c r="D20" s="446"/>
      <c r="E20" s="446"/>
      <c r="F20" s="446"/>
      <c r="G20" s="447"/>
    </row>
    <row r="21" spans="2:12">
      <c r="B21" s="452" t="s">
        <v>298</v>
      </c>
      <c r="C21" s="449">
        <f>GETPIVOTDATA("dato",'[1]tabla dinámica municipios'!$A$4,"indicador","TOTAL","categoría","TOTAL","municipio","Puerto de la Cruz","año",2009)</f>
        <v>443574</v>
      </c>
      <c r="D21" s="450">
        <f>C21/C21</f>
        <v>1</v>
      </c>
      <c r="E21" s="449">
        <f>GETPIVOTDATA("dato",'[1]tabla dinámica municipios'!$A$4,"indicador","TOTAL","categoría","TOTAL","municipio","Puerto de la Cruz","año",2010)</f>
        <v>415019</v>
      </c>
      <c r="F21" s="450">
        <f>E21/E21</f>
        <v>1</v>
      </c>
      <c r="G21" s="451">
        <f>(E21-C21)/C21</f>
        <v>-6.4374828100835488E-2</v>
      </c>
    </row>
    <row r="22" spans="2:12">
      <c r="B22" s="452" t="s">
        <v>299</v>
      </c>
      <c r="C22" s="453">
        <f>GETPIVOTDATA("dato",'[1]tabla dinámica municipios'!$A$4,"indicador","TOTAL","categoría","Hoteleros","municipio","Puerto de la Cruz","año",2009)</f>
        <v>292166</v>
      </c>
      <c r="D22" s="454">
        <f>C22/C21</f>
        <v>0.65866349244996325</v>
      </c>
      <c r="E22" s="453">
        <f>GETPIVOTDATA("dato",'[1]tabla dinámica municipios'!$A$4,"indicador","TOTAL","categoría","Hoteleros","municipio","Puerto de la Cruz","año",2010)</f>
        <v>284310</v>
      </c>
      <c r="F22" s="454">
        <f>E22/E21</f>
        <v>0.68505297347832272</v>
      </c>
      <c r="G22" s="455">
        <f>(E22-C22)/C22</f>
        <v>-2.6888823477064408E-2</v>
      </c>
    </row>
    <row r="23" spans="2:12">
      <c r="B23" s="452" t="s">
        <v>300</v>
      </c>
      <c r="C23" s="456">
        <f>GETPIVOTDATA("dato",'[1]tabla dinámica municipios'!$A$4,"indicador","TOTAL","categoría","Extrahoteleros","municipio","Puerto de la Cruz","año",2009)</f>
        <v>151408</v>
      </c>
      <c r="D23" s="457">
        <f>C23/C21</f>
        <v>0.34133650755003675</v>
      </c>
      <c r="E23" s="456">
        <f>GETPIVOTDATA("dato",'[1]tabla dinámica municipios'!$A$4,"indicador","TOTAL","categoría","Extrahoteleros","municipio","Puerto de la Cruz","año",2010)</f>
        <v>130709</v>
      </c>
      <c r="F23" s="457">
        <f>E23/E21</f>
        <v>0.31494702652167733</v>
      </c>
      <c r="G23" s="455">
        <f>(E23-C23)/C23</f>
        <v>-0.13671008136954454</v>
      </c>
    </row>
    <row r="24" spans="2:12" ht="15" customHeight="1">
      <c r="B24" s="434" t="s">
        <v>89</v>
      </c>
      <c r="C24" s="446"/>
      <c r="D24" s="446"/>
      <c r="E24" s="446"/>
      <c r="F24" s="446"/>
      <c r="G24" s="447"/>
    </row>
    <row r="25" spans="2:12">
      <c r="B25" s="452" t="s">
        <v>298</v>
      </c>
      <c r="C25" s="449">
        <f>GETPIVOTDATA("dato",'[1]tabla dinámica municipios'!$A$4,"indicador","TOTAL","categoría","TOTAL","municipio","SANTA CRUZ","año",2009)</f>
        <v>95588</v>
      </c>
      <c r="D25" s="450">
        <f>C25/C25</f>
        <v>1</v>
      </c>
      <c r="E25" s="449">
        <f>GETPIVOTDATA("dato",'[1]tabla dinámica municipios'!$A$4,"indicador","TOTAL","categoría","TOTAL","municipio","SANTA CRUZ","año",2010)</f>
        <v>92816</v>
      </c>
      <c r="F25" s="450">
        <f>E25/E25</f>
        <v>1</v>
      </c>
      <c r="G25" s="450">
        <f>(E25-C25)/C25</f>
        <v>-2.8999455998660918E-2</v>
      </c>
    </row>
    <row r="26" spans="2:12">
      <c r="B26" s="452" t="s">
        <v>299</v>
      </c>
      <c r="C26" s="453">
        <f>GETPIVOTDATA("dato",'[1]tabla dinámica municipios'!$A$4,"indicador","TOTAL","categoría","Hoteleros","municipio","SANTA CRUZ","año",2009)</f>
        <v>95588</v>
      </c>
      <c r="D26" s="454">
        <f>C26/C25</f>
        <v>1</v>
      </c>
      <c r="E26" s="453">
        <f>GETPIVOTDATA("dato",'[1]tabla dinámica municipios'!$A$4,"indicador","TOTAL","categoría","Hoteleros","municipio","SANTA CRUZ","año",2010)</f>
        <v>92816</v>
      </c>
      <c r="F26" s="454">
        <f>E26/E25</f>
        <v>1</v>
      </c>
      <c r="G26" s="454">
        <f>(E26-C26)/C26</f>
        <v>-2.8999455998660918E-2</v>
      </c>
    </row>
    <row r="27" spans="2:12">
      <c r="B27" s="452" t="s">
        <v>300</v>
      </c>
      <c r="C27" s="456">
        <f>GETPIVOTDATA("dato",'[1]tabla dinámica municipios'!$A$4,"indicador","TOTAL","categoría","Extrahoteleros","municipio","SANTA CRUZ","año",2009)</f>
        <v>0</v>
      </c>
      <c r="D27" s="457">
        <f>C27/C25</f>
        <v>0</v>
      </c>
      <c r="E27" s="456">
        <f>GETPIVOTDATA("dato",'[1]tabla dinámica municipios'!$A$4,"indicador","TOTAL","categoría","Extrahoteleros","municipio","SANTA CRUZ","año",2010)</f>
        <v>0</v>
      </c>
      <c r="F27" s="457">
        <f>E27/E25</f>
        <v>0</v>
      </c>
      <c r="G27" s="454" t="str">
        <f>IFERROR((E27-C27)/C27,"-")</f>
        <v>-</v>
      </c>
    </row>
    <row r="28" spans="2:12" ht="14.25" customHeight="1">
      <c r="B28" s="458" t="s">
        <v>33</v>
      </c>
      <c r="C28" s="459"/>
      <c r="D28" s="459"/>
      <c r="E28" s="459"/>
      <c r="F28" s="459"/>
      <c r="G28" s="460"/>
    </row>
    <row r="29" spans="2:12" ht="15" customHeight="1" thickBot="1"/>
    <row r="30" spans="2:12" ht="30" customHeight="1" thickBot="1">
      <c r="B30" s="461"/>
      <c r="C30" s="461"/>
      <c r="D30" s="461"/>
      <c r="E30" s="461"/>
      <c r="F30" s="461"/>
      <c r="G30" s="60" t="s">
        <v>50</v>
      </c>
      <c r="H30" s="461"/>
      <c r="I30" s="461"/>
      <c r="J30" s="461"/>
      <c r="K30" s="461"/>
      <c r="L30" s="461"/>
    </row>
  </sheetData>
  <mergeCells count="2">
    <mergeCell ref="B6:G6"/>
    <mergeCell ref="B28:G28"/>
  </mergeCells>
  <hyperlinks>
    <hyperlink ref="G30" location="'Gráfica alojados municipi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24">
    <tabColor rgb="FF000099"/>
    <pageSetUpPr autoPageBreaks="0" fitToPage="1"/>
  </sheetPr>
  <dimension ref="B27:L31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8.5703125" style="425" customWidth="1"/>
    <col min="2" max="8" width="11.42578125" style="425"/>
    <col min="9" max="9" width="12.85546875" style="425" customWidth="1"/>
    <col min="10" max="33" width="11.42578125" style="425"/>
    <col min="34" max="34" width="13.85546875" style="425" customWidth="1"/>
    <col min="35" max="264" width="11.42578125" style="425"/>
    <col min="265" max="265" width="12.85546875" style="425" customWidth="1"/>
    <col min="266" max="289" width="11.42578125" style="425"/>
    <col min="290" max="290" width="13.85546875" style="425" customWidth="1"/>
    <col min="291" max="520" width="11.42578125" style="425"/>
    <col min="521" max="521" width="12.85546875" style="425" customWidth="1"/>
    <col min="522" max="545" width="11.42578125" style="425"/>
    <col min="546" max="546" width="13.85546875" style="425" customWidth="1"/>
    <col min="547" max="776" width="11.42578125" style="425"/>
    <col min="777" max="777" width="12.85546875" style="425" customWidth="1"/>
    <col min="778" max="801" width="11.42578125" style="425"/>
    <col min="802" max="802" width="13.85546875" style="425" customWidth="1"/>
    <col min="803" max="1032" width="11.42578125" style="425"/>
    <col min="1033" max="1033" width="12.85546875" style="425" customWidth="1"/>
    <col min="1034" max="1057" width="11.42578125" style="425"/>
    <col min="1058" max="1058" width="13.85546875" style="425" customWidth="1"/>
    <col min="1059" max="1288" width="11.42578125" style="425"/>
    <col min="1289" max="1289" width="12.85546875" style="425" customWidth="1"/>
    <col min="1290" max="1313" width="11.42578125" style="425"/>
    <col min="1314" max="1314" width="13.85546875" style="425" customWidth="1"/>
    <col min="1315" max="1544" width="11.42578125" style="425"/>
    <col min="1545" max="1545" width="12.85546875" style="425" customWidth="1"/>
    <col min="1546" max="1569" width="11.42578125" style="425"/>
    <col min="1570" max="1570" width="13.85546875" style="425" customWidth="1"/>
    <col min="1571" max="1800" width="11.42578125" style="425"/>
    <col min="1801" max="1801" width="12.85546875" style="425" customWidth="1"/>
    <col min="1802" max="1825" width="11.42578125" style="425"/>
    <col min="1826" max="1826" width="13.85546875" style="425" customWidth="1"/>
    <col min="1827" max="2056" width="11.42578125" style="425"/>
    <col min="2057" max="2057" width="12.85546875" style="425" customWidth="1"/>
    <col min="2058" max="2081" width="11.42578125" style="425"/>
    <col min="2082" max="2082" width="13.85546875" style="425" customWidth="1"/>
    <col min="2083" max="2312" width="11.42578125" style="425"/>
    <col min="2313" max="2313" width="12.85546875" style="425" customWidth="1"/>
    <col min="2314" max="2337" width="11.42578125" style="425"/>
    <col min="2338" max="2338" width="13.85546875" style="425" customWidth="1"/>
    <col min="2339" max="2568" width="11.42578125" style="425"/>
    <col min="2569" max="2569" width="12.85546875" style="425" customWidth="1"/>
    <col min="2570" max="2593" width="11.42578125" style="425"/>
    <col min="2594" max="2594" width="13.85546875" style="425" customWidth="1"/>
    <col min="2595" max="2824" width="11.42578125" style="425"/>
    <col min="2825" max="2825" width="12.85546875" style="425" customWidth="1"/>
    <col min="2826" max="2849" width="11.42578125" style="425"/>
    <col min="2850" max="2850" width="13.85546875" style="425" customWidth="1"/>
    <col min="2851" max="3080" width="11.42578125" style="425"/>
    <col min="3081" max="3081" width="12.85546875" style="425" customWidth="1"/>
    <col min="3082" max="3105" width="11.42578125" style="425"/>
    <col min="3106" max="3106" width="13.85546875" style="425" customWidth="1"/>
    <col min="3107" max="3336" width="11.42578125" style="425"/>
    <col min="3337" max="3337" width="12.85546875" style="425" customWidth="1"/>
    <col min="3338" max="3361" width="11.42578125" style="425"/>
    <col min="3362" max="3362" width="13.85546875" style="425" customWidth="1"/>
    <col min="3363" max="3592" width="11.42578125" style="425"/>
    <col min="3593" max="3593" width="12.85546875" style="425" customWidth="1"/>
    <col min="3594" max="3617" width="11.42578125" style="425"/>
    <col min="3618" max="3618" width="13.85546875" style="425" customWidth="1"/>
    <col min="3619" max="3848" width="11.42578125" style="425"/>
    <col min="3849" max="3849" width="12.85546875" style="425" customWidth="1"/>
    <col min="3850" max="3873" width="11.42578125" style="425"/>
    <col min="3874" max="3874" width="13.85546875" style="425" customWidth="1"/>
    <col min="3875" max="4104" width="11.42578125" style="425"/>
    <col min="4105" max="4105" width="12.85546875" style="425" customWidth="1"/>
    <col min="4106" max="4129" width="11.42578125" style="425"/>
    <col min="4130" max="4130" width="13.85546875" style="425" customWidth="1"/>
    <col min="4131" max="4360" width="11.42578125" style="425"/>
    <col min="4361" max="4361" width="12.85546875" style="425" customWidth="1"/>
    <col min="4362" max="4385" width="11.42578125" style="425"/>
    <col min="4386" max="4386" width="13.85546875" style="425" customWidth="1"/>
    <col min="4387" max="4616" width="11.42578125" style="425"/>
    <col min="4617" max="4617" width="12.85546875" style="425" customWidth="1"/>
    <col min="4618" max="4641" width="11.42578125" style="425"/>
    <col min="4642" max="4642" width="13.85546875" style="425" customWidth="1"/>
    <col min="4643" max="4872" width="11.42578125" style="425"/>
    <col min="4873" max="4873" width="12.85546875" style="425" customWidth="1"/>
    <col min="4874" max="4897" width="11.42578125" style="425"/>
    <col min="4898" max="4898" width="13.85546875" style="425" customWidth="1"/>
    <col min="4899" max="5128" width="11.42578125" style="425"/>
    <col min="5129" max="5129" width="12.85546875" style="425" customWidth="1"/>
    <col min="5130" max="5153" width="11.42578125" style="425"/>
    <col min="5154" max="5154" width="13.85546875" style="425" customWidth="1"/>
    <col min="5155" max="5384" width="11.42578125" style="425"/>
    <col min="5385" max="5385" width="12.85546875" style="425" customWidth="1"/>
    <col min="5386" max="5409" width="11.42578125" style="425"/>
    <col min="5410" max="5410" width="13.85546875" style="425" customWidth="1"/>
    <col min="5411" max="5640" width="11.42578125" style="425"/>
    <col min="5641" max="5641" width="12.85546875" style="425" customWidth="1"/>
    <col min="5642" max="5665" width="11.42578125" style="425"/>
    <col min="5666" max="5666" width="13.85546875" style="425" customWidth="1"/>
    <col min="5667" max="5896" width="11.42578125" style="425"/>
    <col min="5897" max="5897" width="12.85546875" style="425" customWidth="1"/>
    <col min="5898" max="5921" width="11.42578125" style="425"/>
    <col min="5922" max="5922" width="13.85546875" style="425" customWidth="1"/>
    <col min="5923" max="6152" width="11.42578125" style="425"/>
    <col min="6153" max="6153" width="12.85546875" style="425" customWidth="1"/>
    <col min="6154" max="6177" width="11.42578125" style="425"/>
    <col min="6178" max="6178" width="13.85546875" style="425" customWidth="1"/>
    <col min="6179" max="6408" width="11.42578125" style="425"/>
    <col min="6409" max="6409" width="12.85546875" style="425" customWidth="1"/>
    <col min="6410" max="6433" width="11.42578125" style="425"/>
    <col min="6434" max="6434" width="13.85546875" style="425" customWidth="1"/>
    <col min="6435" max="6664" width="11.42578125" style="425"/>
    <col min="6665" max="6665" width="12.85546875" style="425" customWidth="1"/>
    <col min="6666" max="6689" width="11.42578125" style="425"/>
    <col min="6690" max="6690" width="13.85546875" style="425" customWidth="1"/>
    <col min="6691" max="6920" width="11.42578125" style="425"/>
    <col min="6921" max="6921" width="12.85546875" style="425" customWidth="1"/>
    <col min="6922" max="6945" width="11.42578125" style="425"/>
    <col min="6946" max="6946" width="13.85546875" style="425" customWidth="1"/>
    <col min="6947" max="7176" width="11.42578125" style="425"/>
    <col min="7177" max="7177" width="12.85546875" style="425" customWidth="1"/>
    <col min="7178" max="7201" width="11.42578125" style="425"/>
    <col min="7202" max="7202" width="13.85546875" style="425" customWidth="1"/>
    <col min="7203" max="7432" width="11.42578125" style="425"/>
    <col min="7433" max="7433" width="12.85546875" style="425" customWidth="1"/>
    <col min="7434" max="7457" width="11.42578125" style="425"/>
    <col min="7458" max="7458" width="13.85546875" style="425" customWidth="1"/>
    <col min="7459" max="7688" width="11.42578125" style="425"/>
    <col min="7689" max="7689" width="12.85546875" style="425" customWidth="1"/>
    <col min="7690" max="7713" width="11.42578125" style="425"/>
    <col min="7714" max="7714" width="13.85546875" style="425" customWidth="1"/>
    <col min="7715" max="7944" width="11.42578125" style="425"/>
    <col min="7945" max="7945" width="12.85546875" style="425" customWidth="1"/>
    <col min="7946" max="7969" width="11.42578125" style="425"/>
    <col min="7970" max="7970" width="13.85546875" style="425" customWidth="1"/>
    <col min="7971" max="8200" width="11.42578125" style="425"/>
    <col min="8201" max="8201" width="12.85546875" style="425" customWidth="1"/>
    <col min="8202" max="8225" width="11.42578125" style="425"/>
    <col min="8226" max="8226" width="13.85546875" style="425" customWidth="1"/>
    <col min="8227" max="8456" width="11.42578125" style="425"/>
    <col min="8457" max="8457" width="12.85546875" style="425" customWidth="1"/>
    <col min="8458" max="8481" width="11.42578125" style="425"/>
    <col min="8482" max="8482" width="13.85546875" style="425" customWidth="1"/>
    <col min="8483" max="8712" width="11.42578125" style="425"/>
    <col min="8713" max="8713" width="12.85546875" style="425" customWidth="1"/>
    <col min="8714" max="8737" width="11.42578125" style="425"/>
    <col min="8738" max="8738" width="13.85546875" style="425" customWidth="1"/>
    <col min="8739" max="8968" width="11.42578125" style="425"/>
    <col min="8969" max="8969" width="12.85546875" style="425" customWidth="1"/>
    <col min="8970" max="8993" width="11.42578125" style="425"/>
    <col min="8994" max="8994" width="13.85546875" style="425" customWidth="1"/>
    <col min="8995" max="9224" width="11.42578125" style="425"/>
    <col min="9225" max="9225" width="12.85546875" style="425" customWidth="1"/>
    <col min="9226" max="9249" width="11.42578125" style="425"/>
    <col min="9250" max="9250" width="13.85546875" style="425" customWidth="1"/>
    <col min="9251" max="9480" width="11.42578125" style="425"/>
    <col min="9481" max="9481" width="12.85546875" style="425" customWidth="1"/>
    <col min="9482" max="9505" width="11.42578125" style="425"/>
    <col min="9506" max="9506" width="13.85546875" style="425" customWidth="1"/>
    <col min="9507" max="9736" width="11.42578125" style="425"/>
    <col min="9737" max="9737" width="12.85546875" style="425" customWidth="1"/>
    <col min="9738" max="9761" width="11.42578125" style="425"/>
    <col min="9762" max="9762" width="13.85546875" style="425" customWidth="1"/>
    <col min="9763" max="9992" width="11.42578125" style="425"/>
    <col min="9993" max="9993" width="12.85546875" style="425" customWidth="1"/>
    <col min="9994" max="10017" width="11.42578125" style="425"/>
    <col min="10018" max="10018" width="13.85546875" style="425" customWidth="1"/>
    <col min="10019" max="10248" width="11.42578125" style="425"/>
    <col min="10249" max="10249" width="12.85546875" style="425" customWidth="1"/>
    <col min="10250" max="10273" width="11.42578125" style="425"/>
    <col min="10274" max="10274" width="13.85546875" style="425" customWidth="1"/>
    <col min="10275" max="10504" width="11.42578125" style="425"/>
    <col min="10505" max="10505" width="12.85546875" style="425" customWidth="1"/>
    <col min="10506" max="10529" width="11.42578125" style="425"/>
    <col min="10530" max="10530" width="13.85546875" style="425" customWidth="1"/>
    <col min="10531" max="10760" width="11.42578125" style="425"/>
    <col min="10761" max="10761" width="12.85546875" style="425" customWidth="1"/>
    <col min="10762" max="10785" width="11.42578125" style="425"/>
    <col min="10786" max="10786" width="13.85546875" style="425" customWidth="1"/>
    <col min="10787" max="11016" width="11.42578125" style="425"/>
    <col min="11017" max="11017" width="12.85546875" style="425" customWidth="1"/>
    <col min="11018" max="11041" width="11.42578125" style="425"/>
    <col min="11042" max="11042" width="13.85546875" style="425" customWidth="1"/>
    <col min="11043" max="11272" width="11.42578125" style="425"/>
    <col min="11273" max="11273" width="12.85546875" style="425" customWidth="1"/>
    <col min="11274" max="11297" width="11.42578125" style="425"/>
    <col min="11298" max="11298" width="13.85546875" style="425" customWidth="1"/>
    <col min="11299" max="11528" width="11.42578125" style="425"/>
    <col min="11529" max="11529" width="12.85546875" style="425" customWidth="1"/>
    <col min="11530" max="11553" width="11.42578125" style="425"/>
    <col min="11554" max="11554" width="13.85546875" style="425" customWidth="1"/>
    <col min="11555" max="11784" width="11.42578125" style="425"/>
    <col min="11785" max="11785" width="12.85546875" style="425" customWidth="1"/>
    <col min="11786" max="11809" width="11.42578125" style="425"/>
    <col min="11810" max="11810" width="13.85546875" style="425" customWidth="1"/>
    <col min="11811" max="12040" width="11.42578125" style="425"/>
    <col min="12041" max="12041" width="12.85546875" style="425" customWidth="1"/>
    <col min="12042" max="12065" width="11.42578125" style="425"/>
    <col min="12066" max="12066" width="13.85546875" style="425" customWidth="1"/>
    <col min="12067" max="12296" width="11.42578125" style="425"/>
    <col min="12297" max="12297" width="12.85546875" style="425" customWidth="1"/>
    <col min="12298" max="12321" width="11.42578125" style="425"/>
    <col min="12322" max="12322" width="13.85546875" style="425" customWidth="1"/>
    <col min="12323" max="12552" width="11.42578125" style="425"/>
    <col min="12553" max="12553" width="12.85546875" style="425" customWidth="1"/>
    <col min="12554" max="12577" width="11.42578125" style="425"/>
    <col min="12578" max="12578" width="13.85546875" style="425" customWidth="1"/>
    <col min="12579" max="12808" width="11.42578125" style="425"/>
    <col min="12809" max="12809" width="12.85546875" style="425" customWidth="1"/>
    <col min="12810" max="12833" width="11.42578125" style="425"/>
    <col min="12834" max="12834" width="13.85546875" style="425" customWidth="1"/>
    <col min="12835" max="13064" width="11.42578125" style="425"/>
    <col min="13065" max="13065" width="12.85546875" style="425" customWidth="1"/>
    <col min="13066" max="13089" width="11.42578125" style="425"/>
    <col min="13090" max="13090" width="13.85546875" style="425" customWidth="1"/>
    <col min="13091" max="13320" width="11.42578125" style="425"/>
    <col min="13321" max="13321" width="12.85546875" style="425" customWidth="1"/>
    <col min="13322" max="13345" width="11.42578125" style="425"/>
    <col min="13346" max="13346" width="13.85546875" style="425" customWidth="1"/>
    <col min="13347" max="13576" width="11.42578125" style="425"/>
    <col min="13577" max="13577" width="12.85546875" style="425" customWidth="1"/>
    <col min="13578" max="13601" width="11.42578125" style="425"/>
    <col min="13602" max="13602" width="13.85546875" style="425" customWidth="1"/>
    <col min="13603" max="13832" width="11.42578125" style="425"/>
    <col min="13833" max="13833" width="12.85546875" style="425" customWidth="1"/>
    <col min="13834" max="13857" width="11.42578125" style="425"/>
    <col min="13858" max="13858" width="13.85546875" style="425" customWidth="1"/>
    <col min="13859" max="14088" width="11.42578125" style="425"/>
    <col min="14089" max="14089" width="12.85546875" style="425" customWidth="1"/>
    <col min="14090" max="14113" width="11.42578125" style="425"/>
    <col min="14114" max="14114" width="13.85546875" style="425" customWidth="1"/>
    <col min="14115" max="14344" width="11.42578125" style="425"/>
    <col min="14345" max="14345" width="12.85546875" style="425" customWidth="1"/>
    <col min="14346" max="14369" width="11.42578125" style="425"/>
    <col min="14370" max="14370" width="13.85546875" style="425" customWidth="1"/>
    <col min="14371" max="14600" width="11.42578125" style="425"/>
    <col min="14601" max="14601" width="12.85546875" style="425" customWidth="1"/>
    <col min="14602" max="14625" width="11.42578125" style="425"/>
    <col min="14626" max="14626" width="13.85546875" style="425" customWidth="1"/>
    <col min="14627" max="14856" width="11.42578125" style="425"/>
    <col min="14857" max="14857" width="12.85546875" style="425" customWidth="1"/>
    <col min="14858" max="14881" width="11.42578125" style="425"/>
    <col min="14882" max="14882" width="13.85546875" style="425" customWidth="1"/>
    <col min="14883" max="15112" width="11.42578125" style="425"/>
    <col min="15113" max="15113" width="12.85546875" style="425" customWidth="1"/>
    <col min="15114" max="15137" width="11.42578125" style="425"/>
    <col min="15138" max="15138" width="13.85546875" style="425" customWidth="1"/>
    <col min="15139" max="15368" width="11.42578125" style="425"/>
    <col min="15369" max="15369" width="12.85546875" style="425" customWidth="1"/>
    <col min="15370" max="15393" width="11.42578125" style="425"/>
    <col min="15394" max="15394" width="13.85546875" style="425" customWidth="1"/>
    <col min="15395" max="15624" width="11.42578125" style="425"/>
    <col min="15625" max="15625" width="12.85546875" style="425" customWidth="1"/>
    <col min="15626" max="15649" width="11.42578125" style="425"/>
    <col min="15650" max="15650" width="13.85546875" style="425" customWidth="1"/>
    <col min="15651" max="15880" width="11.42578125" style="425"/>
    <col min="15881" max="15881" width="12.85546875" style="425" customWidth="1"/>
    <col min="15882" max="15905" width="11.42578125" style="425"/>
    <col min="15906" max="15906" width="13.85546875" style="425" customWidth="1"/>
    <col min="15907" max="16136" width="11.42578125" style="425"/>
    <col min="16137" max="16137" width="12.85546875" style="425" customWidth="1"/>
    <col min="16138" max="16161" width="11.42578125" style="425"/>
    <col min="16162" max="16162" width="13.85546875" style="425" customWidth="1"/>
    <col min="16163" max="16384" width="11.42578125" style="425"/>
  </cols>
  <sheetData>
    <row r="27" spans="2:12" ht="12.75" customHeight="1"/>
    <row r="28" spans="2:12">
      <c r="B28" s="461"/>
      <c r="C28" s="461"/>
      <c r="D28" s="461"/>
      <c r="E28" s="461"/>
      <c r="F28" s="461"/>
      <c r="G28" s="461"/>
      <c r="H28" s="461"/>
      <c r="I28" s="461"/>
      <c r="J28" s="461"/>
      <c r="K28" s="461"/>
      <c r="L28" s="461"/>
    </row>
    <row r="29" spans="2:12" ht="24.95" customHeight="1">
      <c r="B29" s="461"/>
      <c r="C29" s="461"/>
      <c r="D29" s="461"/>
      <c r="E29" s="461"/>
      <c r="F29" s="461"/>
      <c r="G29" s="461"/>
      <c r="H29" s="461"/>
      <c r="I29" s="461"/>
      <c r="J29" s="461"/>
      <c r="K29" s="461"/>
    </row>
    <row r="30" spans="2:12" ht="15" customHeight="1" thickBot="1"/>
    <row r="31" spans="2:12" ht="30" customHeight="1" thickBot="1">
      <c r="I31" s="60" t="s">
        <v>52</v>
      </c>
    </row>
  </sheetData>
  <hyperlinks>
    <hyperlink ref="I31" location="'Alojados por municipi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14">
    <tabColor rgb="FF000099"/>
    <pageSetUpPr autoPageBreaks="0" fitToPage="1"/>
  </sheetPr>
  <dimension ref="B1:P33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1.42578125" style="425"/>
    <col min="2" max="2" width="28.85546875" style="425" customWidth="1"/>
    <col min="3" max="3" width="12.7109375" style="425" customWidth="1"/>
    <col min="4" max="4" width="10.7109375" style="425" customWidth="1"/>
    <col min="5" max="5" width="12.7109375" style="425" customWidth="1"/>
    <col min="6" max="7" width="10.7109375" style="425" customWidth="1"/>
    <col min="8" max="8" width="11.42578125" style="425"/>
    <col min="9" max="9" width="28.7109375" style="425" customWidth="1"/>
    <col min="10" max="14" width="11.42578125" style="425"/>
    <col min="15" max="15" width="13.28515625" style="425" customWidth="1"/>
    <col min="16" max="257" width="11.42578125" style="425"/>
    <col min="258" max="258" width="36.7109375" style="425" customWidth="1"/>
    <col min="259" max="259" width="12.7109375" style="425" customWidth="1"/>
    <col min="260" max="260" width="10.7109375" style="425" customWidth="1"/>
    <col min="261" max="261" width="12.7109375" style="425" customWidth="1"/>
    <col min="262" max="263" width="10.7109375" style="425" customWidth="1"/>
    <col min="264" max="270" width="11.42578125" style="425"/>
    <col min="271" max="271" width="13.28515625" style="425" customWidth="1"/>
    <col min="272" max="513" width="11.42578125" style="425"/>
    <col min="514" max="514" width="36.7109375" style="425" customWidth="1"/>
    <col min="515" max="515" width="12.7109375" style="425" customWidth="1"/>
    <col min="516" max="516" width="10.7109375" style="425" customWidth="1"/>
    <col min="517" max="517" width="12.7109375" style="425" customWidth="1"/>
    <col min="518" max="519" width="10.7109375" style="425" customWidth="1"/>
    <col min="520" max="526" width="11.42578125" style="425"/>
    <col min="527" max="527" width="13.28515625" style="425" customWidth="1"/>
    <col min="528" max="769" width="11.42578125" style="425"/>
    <col min="770" max="770" width="36.7109375" style="425" customWidth="1"/>
    <col min="771" max="771" width="12.7109375" style="425" customWidth="1"/>
    <col min="772" max="772" width="10.7109375" style="425" customWidth="1"/>
    <col min="773" max="773" width="12.7109375" style="425" customWidth="1"/>
    <col min="774" max="775" width="10.7109375" style="425" customWidth="1"/>
    <col min="776" max="782" width="11.42578125" style="425"/>
    <col min="783" max="783" width="13.28515625" style="425" customWidth="1"/>
    <col min="784" max="1025" width="11.42578125" style="425"/>
    <col min="1026" max="1026" width="36.7109375" style="425" customWidth="1"/>
    <col min="1027" max="1027" width="12.7109375" style="425" customWidth="1"/>
    <col min="1028" max="1028" width="10.7109375" style="425" customWidth="1"/>
    <col min="1029" max="1029" width="12.7109375" style="425" customWidth="1"/>
    <col min="1030" max="1031" width="10.7109375" style="425" customWidth="1"/>
    <col min="1032" max="1038" width="11.42578125" style="425"/>
    <col min="1039" max="1039" width="13.28515625" style="425" customWidth="1"/>
    <col min="1040" max="1281" width="11.42578125" style="425"/>
    <col min="1282" max="1282" width="36.7109375" style="425" customWidth="1"/>
    <col min="1283" max="1283" width="12.7109375" style="425" customWidth="1"/>
    <col min="1284" max="1284" width="10.7109375" style="425" customWidth="1"/>
    <col min="1285" max="1285" width="12.7109375" style="425" customWidth="1"/>
    <col min="1286" max="1287" width="10.7109375" style="425" customWidth="1"/>
    <col min="1288" max="1294" width="11.42578125" style="425"/>
    <col min="1295" max="1295" width="13.28515625" style="425" customWidth="1"/>
    <col min="1296" max="1537" width="11.42578125" style="425"/>
    <col min="1538" max="1538" width="36.7109375" style="425" customWidth="1"/>
    <col min="1539" max="1539" width="12.7109375" style="425" customWidth="1"/>
    <col min="1540" max="1540" width="10.7109375" style="425" customWidth="1"/>
    <col min="1541" max="1541" width="12.7109375" style="425" customWidth="1"/>
    <col min="1542" max="1543" width="10.7109375" style="425" customWidth="1"/>
    <col min="1544" max="1550" width="11.42578125" style="425"/>
    <col min="1551" max="1551" width="13.28515625" style="425" customWidth="1"/>
    <col min="1552" max="1793" width="11.42578125" style="425"/>
    <col min="1794" max="1794" width="36.7109375" style="425" customWidth="1"/>
    <col min="1795" max="1795" width="12.7109375" style="425" customWidth="1"/>
    <col min="1796" max="1796" width="10.7109375" style="425" customWidth="1"/>
    <col min="1797" max="1797" width="12.7109375" style="425" customWidth="1"/>
    <col min="1798" max="1799" width="10.7109375" style="425" customWidth="1"/>
    <col min="1800" max="1806" width="11.42578125" style="425"/>
    <col min="1807" max="1807" width="13.28515625" style="425" customWidth="1"/>
    <col min="1808" max="2049" width="11.42578125" style="425"/>
    <col min="2050" max="2050" width="36.7109375" style="425" customWidth="1"/>
    <col min="2051" max="2051" width="12.7109375" style="425" customWidth="1"/>
    <col min="2052" max="2052" width="10.7109375" style="425" customWidth="1"/>
    <col min="2053" max="2053" width="12.7109375" style="425" customWidth="1"/>
    <col min="2054" max="2055" width="10.7109375" style="425" customWidth="1"/>
    <col min="2056" max="2062" width="11.42578125" style="425"/>
    <col min="2063" max="2063" width="13.28515625" style="425" customWidth="1"/>
    <col min="2064" max="2305" width="11.42578125" style="425"/>
    <col min="2306" max="2306" width="36.7109375" style="425" customWidth="1"/>
    <col min="2307" max="2307" width="12.7109375" style="425" customWidth="1"/>
    <col min="2308" max="2308" width="10.7109375" style="425" customWidth="1"/>
    <col min="2309" max="2309" width="12.7109375" style="425" customWidth="1"/>
    <col min="2310" max="2311" width="10.7109375" style="425" customWidth="1"/>
    <col min="2312" max="2318" width="11.42578125" style="425"/>
    <col min="2319" max="2319" width="13.28515625" style="425" customWidth="1"/>
    <col min="2320" max="2561" width="11.42578125" style="425"/>
    <col min="2562" max="2562" width="36.7109375" style="425" customWidth="1"/>
    <col min="2563" max="2563" width="12.7109375" style="425" customWidth="1"/>
    <col min="2564" max="2564" width="10.7109375" style="425" customWidth="1"/>
    <col min="2565" max="2565" width="12.7109375" style="425" customWidth="1"/>
    <col min="2566" max="2567" width="10.7109375" style="425" customWidth="1"/>
    <col min="2568" max="2574" width="11.42578125" style="425"/>
    <col min="2575" max="2575" width="13.28515625" style="425" customWidth="1"/>
    <col min="2576" max="2817" width="11.42578125" style="425"/>
    <col min="2818" max="2818" width="36.7109375" style="425" customWidth="1"/>
    <col min="2819" max="2819" width="12.7109375" style="425" customWidth="1"/>
    <col min="2820" max="2820" width="10.7109375" style="425" customWidth="1"/>
    <col min="2821" max="2821" width="12.7109375" style="425" customWidth="1"/>
    <col min="2822" max="2823" width="10.7109375" style="425" customWidth="1"/>
    <col min="2824" max="2830" width="11.42578125" style="425"/>
    <col min="2831" max="2831" width="13.28515625" style="425" customWidth="1"/>
    <col min="2832" max="3073" width="11.42578125" style="425"/>
    <col min="3074" max="3074" width="36.7109375" style="425" customWidth="1"/>
    <col min="3075" max="3075" width="12.7109375" style="425" customWidth="1"/>
    <col min="3076" max="3076" width="10.7109375" style="425" customWidth="1"/>
    <col min="3077" max="3077" width="12.7109375" style="425" customWidth="1"/>
    <col min="3078" max="3079" width="10.7109375" style="425" customWidth="1"/>
    <col min="3080" max="3086" width="11.42578125" style="425"/>
    <col min="3087" max="3087" width="13.28515625" style="425" customWidth="1"/>
    <col min="3088" max="3329" width="11.42578125" style="425"/>
    <col min="3330" max="3330" width="36.7109375" style="425" customWidth="1"/>
    <col min="3331" max="3331" width="12.7109375" style="425" customWidth="1"/>
    <col min="3332" max="3332" width="10.7109375" style="425" customWidth="1"/>
    <col min="3333" max="3333" width="12.7109375" style="425" customWidth="1"/>
    <col min="3334" max="3335" width="10.7109375" style="425" customWidth="1"/>
    <col min="3336" max="3342" width="11.42578125" style="425"/>
    <col min="3343" max="3343" width="13.28515625" style="425" customWidth="1"/>
    <col min="3344" max="3585" width="11.42578125" style="425"/>
    <col min="3586" max="3586" width="36.7109375" style="425" customWidth="1"/>
    <col min="3587" max="3587" width="12.7109375" style="425" customWidth="1"/>
    <col min="3588" max="3588" width="10.7109375" style="425" customWidth="1"/>
    <col min="3589" max="3589" width="12.7109375" style="425" customWidth="1"/>
    <col min="3590" max="3591" width="10.7109375" style="425" customWidth="1"/>
    <col min="3592" max="3598" width="11.42578125" style="425"/>
    <col min="3599" max="3599" width="13.28515625" style="425" customWidth="1"/>
    <col min="3600" max="3841" width="11.42578125" style="425"/>
    <col min="3842" max="3842" width="36.7109375" style="425" customWidth="1"/>
    <col min="3843" max="3843" width="12.7109375" style="425" customWidth="1"/>
    <col min="3844" max="3844" width="10.7109375" style="425" customWidth="1"/>
    <col min="3845" max="3845" width="12.7109375" style="425" customWidth="1"/>
    <col min="3846" max="3847" width="10.7109375" style="425" customWidth="1"/>
    <col min="3848" max="3854" width="11.42578125" style="425"/>
    <col min="3855" max="3855" width="13.28515625" style="425" customWidth="1"/>
    <col min="3856" max="4097" width="11.42578125" style="425"/>
    <col min="4098" max="4098" width="36.7109375" style="425" customWidth="1"/>
    <col min="4099" max="4099" width="12.7109375" style="425" customWidth="1"/>
    <col min="4100" max="4100" width="10.7109375" style="425" customWidth="1"/>
    <col min="4101" max="4101" width="12.7109375" style="425" customWidth="1"/>
    <col min="4102" max="4103" width="10.7109375" style="425" customWidth="1"/>
    <col min="4104" max="4110" width="11.42578125" style="425"/>
    <col min="4111" max="4111" width="13.28515625" style="425" customWidth="1"/>
    <col min="4112" max="4353" width="11.42578125" style="425"/>
    <col min="4354" max="4354" width="36.7109375" style="425" customWidth="1"/>
    <col min="4355" max="4355" width="12.7109375" style="425" customWidth="1"/>
    <col min="4356" max="4356" width="10.7109375" style="425" customWidth="1"/>
    <col min="4357" max="4357" width="12.7109375" style="425" customWidth="1"/>
    <col min="4358" max="4359" width="10.7109375" style="425" customWidth="1"/>
    <col min="4360" max="4366" width="11.42578125" style="425"/>
    <col min="4367" max="4367" width="13.28515625" style="425" customWidth="1"/>
    <col min="4368" max="4609" width="11.42578125" style="425"/>
    <col min="4610" max="4610" width="36.7109375" style="425" customWidth="1"/>
    <col min="4611" max="4611" width="12.7109375" style="425" customWidth="1"/>
    <col min="4612" max="4612" width="10.7109375" style="425" customWidth="1"/>
    <col min="4613" max="4613" width="12.7109375" style="425" customWidth="1"/>
    <col min="4614" max="4615" width="10.7109375" style="425" customWidth="1"/>
    <col min="4616" max="4622" width="11.42578125" style="425"/>
    <col min="4623" max="4623" width="13.28515625" style="425" customWidth="1"/>
    <col min="4624" max="4865" width="11.42578125" style="425"/>
    <col min="4866" max="4866" width="36.7109375" style="425" customWidth="1"/>
    <col min="4867" max="4867" width="12.7109375" style="425" customWidth="1"/>
    <col min="4868" max="4868" width="10.7109375" style="425" customWidth="1"/>
    <col min="4869" max="4869" width="12.7109375" style="425" customWidth="1"/>
    <col min="4870" max="4871" width="10.7109375" style="425" customWidth="1"/>
    <col min="4872" max="4878" width="11.42578125" style="425"/>
    <col min="4879" max="4879" width="13.28515625" style="425" customWidth="1"/>
    <col min="4880" max="5121" width="11.42578125" style="425"/>
    <col min="5122" max="5122" width="36.7109375" style="425" customWidth="1"/>
    <col min="5123" max="5123" width="12.7109375" style="425" customWidth="1"/>
    <col min="5124" max="5124" width="10.7109375" style="425" customWidth="1"/>
    <col min="5125" max="5125" width="12.7109375" style="425" customWidth="1"/>
    <col min="5126" max="5127" width="10.7109375" style="425" customWidth="1"/>
    <col min="5128" max="5134" width="11.42578125" style="425"/>
    <col min="5135" max="5135" width="13.28515625" style="425" customWidth="1"/>
    <col min="5136" max="5377" width="11.42578125" style="425"/>
    <col min="5378" max="5378" width="36.7109375" style="425" customWidth="1"/>
    <col min="5379" max="5379" width="12.7109375" style="425" customWidth="1"/>
    <col min="5380" max="5380" width="10.7109375" style="425" customWidth="1"/>
    <col min="5381" max="5381" width="12.7109375" style="425" customWidth="1"/>
    <col min="5382" max="5383" width="10.7109375" style="425" customWidth="1"/>
    <col min="5384" max="5390" width="11.42578125" style="425"/>
    <col min="5391" max="5391" width="13.28515625" style="425" customWidth="1"/>
    <col min="5392" max="5633" width="11.42578125" style="425"/>
    <col min="5634" max="5634" width="36.7109375" style="425" customWidth="1"/>
    <col min="5635" max="5635" width="12.7109375" style="425" customWidth="1"/>
    <col min="5636" max="5636" width="10.7109375" style="425" customWidth="1"/>
    <col min="5637" max="5637" width="12.7109375" style="425" customWidth="1"/>
    <col min="5638" max="5639" width="10.7109375" style="425" customWidth="1"/>
    <col min="5640" max="5646" width="11.42578125" style="425"/>
    <col min="5647" max="5647" width="13.28515625" style="425" customWidth="1"/>
    <col min="5648" max="5889" width="11.42578125" style="425"/>
    <col min="5890" max="5890" width="36.7109375" style="425" customWidth="1"/>
    <col min="5891" max="5891" width="12.7109375" style="425" customWidth="1"/>
    <col min="5892" max="5892" width="10.7109375" style="425" customWidth="1"/>
    <col min="5893" max="5893" width="12.7109375" style="425" customWidth="1"/>
    <col min="5894" max="5895" width="10.7109375" style="425" customWidth="1"/>
    <col min="5896" max="5902" width="11.42578125" style="425"/>
    <col min="5903" max="5903" width="13.28515625" style="425" customWidth="1"/>
    <col min="5904" max="6145" width="11.42578125" style="425"/>
    <col min="6146" max="6146" width="36.7109375" style="425" customWidth="1"/>
    <col min="6147" max="6147" width="12.7109375" style="425" customWidth="1"/>
    <col min="6148" max="6148" width="10.7109375" style="425" customWidth="1"/>
    <col min="6149" max="6149" width="12.7109375" style="425" customWidth="1"/>
    <col min="6150" max="6151" width="10.7109375" style="425" customWidth="1"/>
    <col min="6152" max="6158" width="11.42578125" style="425"/>
    <col min="6159" max="6159" width="13.28515625" style="425" customWidth="1"/>
    <col min="6160" max="6401" width="11.42578125" style="425"/>
    <col min="6402" max="6402" width="36.7109375" style="425" customWidth="1"/>
    <col min="6403" max="6403" width="12.7109375" style="425" customWidth="1"/>
    <col min="6404" max="6404" width="10.7109375" style="425" customWidth="1"/>
    <col min="6405" max="6405" width="12.7109375" style="425" customWidth="1"/>
    <col min="6406" max="6407" width="10.7109375" style="425" customWidth="1"/>
    <col min="6408" max="6414" width="11.42578125" style="425"/>
    <col min="6415" max="6415" width="13.28515625" style="425" customWidth="1"/>
    <col min="6416" max="6657" width="11.42578125" style="425"/>
    <col min="6658" max="6658" width="36.7109375" style="425" customWidth="1"/>
    <col min="6659" max="6659" width="12.7109375" style="425" customWidth="1"/>
    <col min="6660" max="6660" width="10.7109375" style="425" customWidth="1"/>
    <col min="6661" max="6661" width="12.7109375" style="425" customWidth="1"/>
    <col min="6662" max="6663" width="10.7109375" style="425" customWidth="1"/>
    <col min="6664" max="6670" width="11.42578125" style="425"/>
    <col min="6671" max="6671" width="13.28515625" style="425" customWidth="1"/>
    <col min="6672" max="6913" width="11.42578125" style="425"/>
    <col min="6914" max="6914" width="36.7109375" style="425" customWidth="1"/>
    <col min="6915" max="6915" width="12.7109375" style="425" customWidth="1"/>
    <col min="6916" max="6916" width="10.7109375" style="425" customWidth="1"/>
    <col min="6917" max="6917" width="12.7109375" style="425" customWidth="1"/>
    <col min="6918" max="6919" width="10.7109375" style="425" customWidth="1"/>
    <col min="6920" max="6926" width="11.42578125" style="425"/>
    <col min="6927" max="6927" width="13.28515625" style="425" customWidth="1"/>
    <col min="6928" max="7169" width="11.42578125" style="425"/>
    <col min="7170" max="7170" width="36.7109375" style="425" customWidth="1"/>
    <col min="7171" max="7171" width="12.7109375" style="425" customWidth="1"/>
    <col min="7172" max="7172" width="10.7109375" style="425" customWidth="1"/>
    <col min="7173" max="7173" width="12.7109375" style="425" customWidth="1"/>
    <col min="7174" max="7175" width="10.7109375" style="425" customWidth="1"/>
    <col min="7176" max="7182" width="11.42578125" style="425"/>
    <col min="7183" max="7183" width="13.28515625" style="425" customWidth="1"/>
    <col min="7184" max="7425" width="11.42578125" style="425"/>
    <col min="7426" max="7426" width="36.7109375" style="425" customWidth="1"/>
    <col min="7427" max="7427" width="12.7109375" style="425" customWidth="1"/>
    <col min="7428" max="7428" width="10.7109375" style="425" customWidth="1"/>
    <col min="7429" max="7429" width="12.7109375" style="425" customWidth="1"/>
    <col min="7430" max="7431" width="10.7109375" style="425" customWidth="1"/>
    <col min="7432" max="7438" width="11.42578125" style="425"/>
    <col min="7439" max="7439" width="13.28515625" style="425" customWidth="1"/>
    <col min="7440" max="7681" width="11.42578125" style="425"/>
    <col min="7682" max="7682" width="36.7109375" style="425" customWidth="1"/>
    <col min="7683" max="7683" width="12.7109375" style="425" customWidth="1"/>
    <col min="7684" max="7684" width="10.7109375" style="425" customWidth="1"/>
    <col min="7685" max="7685" width="12.7109375" style="425" customWidth="1"/>
    <col min="7686" max="7687" width="10.7109375" style="425" customWidth="1"/>
    <col min="7688" max="7694" width="11.42578125" style="425"/>
    <col min="7695" max="7695" width="13.28515625" style="425" customWidth="1"/>
    <col min="7696" max="7937" width="11.42578125" style="425"/>
    <col min="7938" max="7938" width="36.7109375" style="425" customWidth="1"/>
    <col min="7939" max="7939" width="12.7109375" style="425" customWidth="1"/>
    <col min="7940" max="7940" width="10.7109375" style="425" customWidth="1"/>
    <col min="7941" max="7941" width="12.7109375" style="425" customWidth="1"/>
    <col min="7942" max="7943" width="10.7109375" style="425" customWidth="1"/>
    <col min="7944" max="7950" width="11.42578125" style="425"/>
    <col min="7951" max="7951" width="13.28515625" style="425" customWidth="1"/>
    <col min="7952" max="8193" width="11.42578125" style="425"/>
    <col min="8194" max="8194" width="36.7109375" style="425" customWidth="1"/>
    <col min="8195" max="8195" width="12.7109375" style="425" customWidth="1"/>
    <col min="8196" max="8196" width="10.7109375" style="425" customWidth="1"/>
    <col min="8197" max="8197" width="12.7109375" style="425" customWidth="1"/>
    <col min="8198" max="8199" width="10.7109375" style="425" customWidth="1"/>
    <col min="8200" max="8206" width="11.42578125" style="425"/>
    <col min="8207" max="8207" width="13.28515625" style="425" customWidth="1"/>
    <col min="8208" max="8449" width="11.42578125" style="425"/>
    <col min="8450" max="8450" width="36.7109375" style="425" customWidth="1"/>
    <col min="8451" max="8451" width="12.7109375" style="425" customWidth="1"/>
    <col min="8452" max="8452" width="10.7109375" style="425" customWidth="1"/>
    <col min="8453" max="8453" width="12.7109375" style="425" customWidth="1"/>
    <col min="8454" max="8455" width="10.7109375" style="425" customWidth="1"/>
    <col min="8456" max="8462" width="11.42578125" style="425"/>
    <col min="8463" max="8463" width="13.28515625" style="425" customWidth="1"/>
    <col min="8464" max="8705" width="11.42578125" style="425"/>
    <col min="8706" max="8706" width="36.7109375" style="425" customWidth="1"/>
    <col min="8707" max="8707" width="12.7109375" style="425" customWidth="1"/>
    <col min="8708" max="8708" width="10.7109375" style="425" customWidth="1"/>
    <col min="8709" max="8709" width="12.7109375" style="425" customWidth="1"/>
    <col min="8710" max="8711" width="10.7109375" style="425" customWidth="1"/>
    <col min="8712" max="8718" width="11.42578125" style="425"/>
    <col min="8719" max="8719" width="13.28515625" style="425" customWidth="1"/>
    <col min="8720" max="8961" width="11.42578125" style="425"/>
    <col min="8962" max="8962" width="36.7109375" style="425" customWidth="1"/>
    <col min="8963" max="8963" width="12.7109375" style="425" customWidth="1"/>
    <col min="8964" max="8964" width="10.7109375" style="425" customWidth="1"/>
    <col min="8965" max="8965" width="12.7109375" style="425" customWidth="1"/>
    <col min="8966" max="8967" width="10.7109375" style="425" customWidth="1"/>
    <col min="8968" max="8974" width="11.42578125" style="425"/>
    <col min="8975" max="8975" width="13.28515625" style="425" customWidth="1"/>
    <col min="8976" max="9217" width="11.42578125" style="425"/>
    <col min="9218" max="9218" width="36.7109375" style="425" customWidth="1"/>
    <col min="9219" max="9219" width="12.7109375" style="425" customWidth="1"/>
    <col min="9220" max="9220" width="10.7109375" style="425" customWidth="1"/>
    <col min="9221" max="9221" width="12.7109375" style="425" customWidth="1"/>
    <col min="9222" max="9223" width="10.7109375" style="425" customWidth="1"/>
    <col min="9224" max="9230" width="11.42578125" style="425"/>
    <col min="9231" max="9231" width="13.28515625" style="425" customWidth="1"/>
    <col min="9232" max="9473" width="11.42578125" style="425"/>
    <col min="9474" max="9474" width="36.7109375" style="425" customWidth="1"/>
    <col min="9475" max="9475" width="12.7109375" style="425" customWidth="1"/>
    <col min="9476" max="9476" width="10.7109375" style="425" customWidth="1"/>
    <col min="9477" max="9477" width="12.7109375" style="425" customWidth="1"/>
    <col min="9478" max="9479" width="10.7109375" style="425" customWidth="1"/>
    <col min="9480" max="9486" width="11.42578125" style="425"/>
    <col min="9487" max="9487" width="13.28515625" style="425" customWidth="1"/>
    <col min="9488" max="9729" width="11.42578125" style="425"/>
    <col min="9730" max="9730" width="36.7109375" style="425" customWidth="1"/>
    <col min="9731" max="9731" width="12.7109375" style="425" customWidth="1"/>
    <col min="9732" max="9732" width="10.7109375" style="425" customWidth="1"/>
    <col min="9733" max="9733" width="12.7109375" style="425" customWidth="1"/>
    <col min="9734" max="9735" width="10.7109375" style="425" customWidth="1"/>
    <col min="9736" max="9742" width="11.42578125" style="425"/>
    <col min="9743" max="9743" width="13.28515625" style="425" customWidth="1"/>
    <col min="9744" max="9985" width="11.42578125" style="425"/>
    <col min="9986" max="9986" width="36.7109375" style="425" customWidth="1"/>
    <col min="9987" max="9987" width="12.7109375" style="425" customWidth="1"/>
    <col min="9988" max="9988" width="10.7109375" style="425" customWidth="1"/>
    <col min="9989" max="9989" width="12.7109375" style="425" customWidth="1"/>
    <col min="9990" max="9991" width="10.7109375" style="425" customWidth="1"/>
    <col min="9992" max="9998" width="11.42578125" style="425"/>
    <col min="9999" max="9999" width="13.28515625" style="425" customWidth="1"/>
    <col min="10000" max="10241" width="11.42578125" style="425"/>
    <col min="10242" max="10242" width="36.7109375" style="425" customWidth="1"/>
    <col min="10243" max="10243" width="12.7109375" style="425" customWidth="1"/>
    <col min="10244" max="10244" width="10.7109375" style="425" customWidth="1"/>
    <col min="10245" max="10245" width="12.7109375" style="425" customWidth="1"/>
    <col min="10246" max="10247" width="10.7109375" style="425" customWidth="1"/>
    <col min="10248" max="10254" width="11.42578125" style="425"/>
    <col min="10255" max="10255" width="13.28515625" style="425" customWidth="1"/>
    <col min="10256" max="10497" width="11.42578125" style="425"/>
    <col min="10498" max="10498" width="36.7109375" style="425" customWidth="1"/>
    <col min="10499" max="10499" width="12.7109375" style="425" customWidth="1"/>
    <col min="10500" max="10500" width="10.7109375" style="425" customWidth="1"/>
    <col min="10501" max="10501" width="12.7109375" style="425" customWidth="1"/>
    <col min="10502" max="10503" width="10.7109375" style="425" customWidth="1"/>
    <col min="10504" max="10510" width="11.42578125" style="425"/>
    <col min="10511" max="10511" width="13.28515625" style="425" customWidth="1"/>
    <col min="10512" max="10753" width="11.42578125" style="425"/>
    <col min="10754" max="10754" width="36.7109375" style="425" customWidth="1"/>
    <col min="10755" max="10755" width="12.7109375" style="425" customWidth="1"/>
    <col min="10756" max="10756" width="10.7109375" style="425" customWidth="1"/>
    <col min="10757" max="10757" width="12.7109375" style="425" customWidth="1"/>
    <col min="10758" max="10759" width="10.7109375" style="425" customWidth="1"/>
    <col min="10760" max="10766" width="11.42578125" style="425"/>
    <col min="10767" max="10767" width="13.28515625" style="425" customWidth="1"/>
    <col min="10768" max="11009" width="11.42578125" style="425"/>
    <col min="11010" max="11010" width="36.7109375" style="425" customWidth="1"/>
    <col min="11011" max="11011" width="12.7109375" style="425" customWidth="1"/>
    <col min="11012" max="11012" width="10.7109375" style="425" customWidth="1"/>
    <col min="11013" max="11013" width="12.7109375" style="425" customWidth="1"/>
    <col min="11014" max="11015" width="10.7109375" style="425" customWidth="1"/>
    <col min="11016" max="11022" width="11.42578125" style="425"/>
    <col min="11023" max="11023" width="13.28515625" style="425" customWidth="1"/>
    <col min="11024" max="11265" width="11.42578125" style="425"/>
    <col min="11266" max="11266" width="36.7109375" style="425" customWidth="1"/>
    <col min="11267" max="11267" width="12.7109375" style="425" customWidth="1"/>
    <col min="11268" max="11268" width="10.7109375" style="425" customWidth="1"/>
    <col min="11269" max="11269" width="12.7109375" style="425" customWidth="1"/>
    <col min="11270" max="11271" width="10.7109375" style="425" customWidth="1"/>
    <col min="11272" max="11278" width="11.42578125" style="425"/>
    <col min="11279" max="11279" width="13.28515625" style="425" customWidth="1"/>
    <col min="11280" max="11521" width="11.42578125" style="425"/>
    <col min="11522" max="11522" width="36.7109375" style="425" customWidth="1"/>
    <col min="11523" max="11523" width="12.7109375" style="425" customWidth="1"/>
    <col min="11524" max="11524" width="10.7109375" style="425" customWidth="1"/>
    <col min="11525" max="11525" width="12.7109375" style="425" customWidth="1"/>
    <col min="11526" max="11527" width="10.7109375" style="425" customWidth="1"/>
    <col min="11528" max="11534" width="11.42578125" style="425"/>
    <col min="11535" max="11535" width="13.28515625" style="425" customWidth="1"/>
    <col min="11536" max="11777" width="11.42578125" style="425"/>
    <col min="11778" max="11778" width="36.7109375" style="425" customWidth="1"/>
    <col min="11779" max="11779" width="12.7109375" style="425" customWidth="1"/>
    <col min="11780" max="11780" width="10.7109375" style="425" customWidth="1"/>
    <col min="11781" max="11781" width="12.7109375" style="425" customWidth="1"/>
    <col min="11782" max="11783" width="10.7109375" style="425" customWidth="1"/>
    <col min="11784" max="11790" width="11.42578125" style="425"/>
    <col min="11791" max="11791" width="13.28515625" style="425" customWidth="1"/>
    <col min="11792" max="12033" width="11.42578125" style="425"/>
    <col min="12034" max="12034" width="36.7109375" style="425" customWidth="1"/>
    <col min="12035" max="12035" width="12.7109375" style="425" customWidth="1"/>
    <col min="12036" max="12036" width="10.7109375" style="425" customWidth="1"/>
    <col min="12037" max="12037" width="12.7109375" style="425" customWidth="1"/>
    <col min="12038" max="12039" width="10.7109375" style="425" customWidth="1"/>
    <col min="12040" max="12046" width="11.42578125" style="425"/>
    <col min="12047" max="12047" width="13.28515625" style="425" customWidth="1"/>
    <col min="12048" max="12289" width="11.42578125" style="425"/>
    <col min="12290" max="12290" width="36.7109375" style="425" customWidth="1"/>
    <col min="12291" max="12291" width="12.7109375" style="425" customWidth="1"/>
    <col min="12292" max="12292" width="10.7109375" style="425" customWidth="1"/>
    <col min="12293" max="12293" width="12.7109375" style="425" customWidth="1"/>
    <col min="12294" max="12295" width="10.7109375" style="425" customWidth="1"/>
    <col min="12296" max="12302" width="11.42578125" style="425"/>
    <col min="12303" max="12303" width="13.28515625" style="425" customWidth="1"/>
    <col min="12304" max="12545" width="11.42578125" style="425"/>
    <col min="12546" max="12546" width="36.7109375" style="425" customWidth="1"/>
    <col min="12547" max="12547" width="12.7109375" style="425" customWidth="1"/>
    <col min="12548" max="12548" width="10.7109375" style="425" customWidth="1"/>
    <col min="12549" max="12549" width="12.7109375" style="425" customWidth="1"/>
    <col min="12550" max="12551" width="10.7109375" style="425" customWidth="1"/>
    <col min="12552" max="12558" width="11.42578125" style="425"/>
    <col min="12559" max="12559" width="13.28515625" style="425" customWidth="1"/>
    <col min="12560" max="12801" width="11.42578125" style="425"/>
    <col min="12802" max="12802" width="36.7109375" style="425" customWidth="1"/>
    <col min="12803" max="12803" width="12.7109375" style="425" customWidth="1"/>
    <col min="12804" max="12804" width="10.7109375" style="425" customWidth="1"/>
    <col min="12805" max="12805" width="12.7109375" style="425" customWidth="1"/>
    <col min="12806" max="12807" width="10.7109375" style="425" customWidth="1"/>
    <col min="12808" max="12814" width="11.42578125" style="425"/>
    <col min="12815" max="12815" width="13.28515625" style="425" customWidth="1"/>
    <col min="12816" max="13057" width="11.42578125" style="425"/>
    <col min="13058" max="13058" width="36.7109375" style="425" customWidth="1"/>
    <col min="13059" max="13059" width="12.7109375" style="425" customWidth="1"/>
    <col min="13060" max="13060" width="10.7109375" style="425" customWidth="1"/>
    <col min="13061" max="13061" width="12.7109375" style="425" customWidth="1"/>
    <col min="13062" max="13063" width="10.7109375" style="425" customWidth="1"/>
    <col min="13064" max="13070" width="11.42578125" style="425"/>
    <col min="13071" max="13071" width="13.28515625" style="425" customWidth="1"/>
    <col min="13072" max="13313" width="11.42578125" style="425"/>
    <col min="13314" max="13314" width="36.7109375" style="425" customWidth="1"/>
    <col min="13315" max="13315" width="12.7109375" style="425" customWidth="1"/>
    <col min="13316" max="13316" width="10.7109375" style="425" customWidth="1"/>
    <col min="13317" max="13317" width="12.7109375" style="425" customWidth="1"/>
    <col min="13318" max="13319" width="10.7109375" style="425" customWidth="1"/>
    <col min="13320" max="13326" width="11.42578125" style="425"/>
    <col min="13327" max="13327" width="13.28515625" style="425" customWidth="1"/>
    <col min="13328" max="13569" width="11.42578125" style="425"/>
    <col min="13570" max="13570" width="36.7109375" style="425" customWidth="1"/>
    <col min="13571" max="13571" width="12.7109375" style="425" customWidth="1"/>
    <col min="13572" max="13572" width="10.7109375" style="425" customWidth="1"/>
    <col min="13573" max="13573" width="12.7109375" style="425" customWidth="1"/>
    <col min="13574" max="13575" width="10.7109375" style="425" customWidth="1"/>
    <col min="13576" max="13582" width="11.42578125" style="425"/>
    <col min="13583" max="13583" width="13.28515625" style="425" customWidth="1"/>
    <col min="13584" max="13825" width="11.42578125" style="425"/>
    <col min="13826" max="13826" width="36.7109375" style="425" customWidth="1"/>
    <col min="13827" max="13827" width="12.7109375" style="425" customWidth="1"/>
    <col min="13828" max="13828" width="10.7109375" style="425" customWidth="1"/>
    <col min="13829" max="13829" width="12.7109375" style="425" customWidth="1"/>
    <col min="13830" max="13831" width="10.7109375" style="425" customWidth="1"/>
    <col min="13832" max="13838" width="11.42578125" style="425"/>
    <col min="13839" max="13839" width="13.28515625" style="425" customWidth="1"/>
    <col min="13840" max="14081" width="11.42578125" style="425"/>
    <col min="14082" max="14082" width="36.7109375" style="425" customWidth="1"/>
    <col min="14083" max="14083" width="12.7109375" style="425" customWidth="1"/>
    <col min="14084" max="14084" width="10.7109375" style="425" customWidth="1"/>
    <col min="14085" max="14085" width="12.7109375" style="425" customWidth="1"/>
    <col min="14086" max="14087" width="10.7109375" style="425" customWidth="1"/>
    <col min="14088" max="14094" width="11.42578125" style="425"/>
    <col min="14095" max="14095" width="13.28515625" style="425" customWidth="1"/>
    <col min="14096" max="14337" width="11.42578125" style="425"/>
    <col min="14338" max="14338" width="36.7109375" style="425" customWidth="1"/>
    <col min="14339" max="14339" width="12.7109375" style="425" customWidth="1"/>
    <col min="14340" max="14340" width="10.7109375" style="425" customWidth="1"/>
    <col min="14341" max="14341" width="12.7109375" style="425" customWidth="1"/>
    <col min="14342" max="14343" width="10.7109375" style="425" customWidth="1"/>
    <col min="14344" max="14350" width="11.42578125" style="425"/>
    <col min="14351" max="14351" width="13.28515625" style="425" customWidth="1"/>
    <col min="14352" max="14593" width="11.42578125" style="425"/>
    <col min="14594" max="14594" width="36.7109375" style="425" customWidth="1"/>
    <col min="14595" max="14595" width="12.7109375" style="425" customWidth="1"/>
    <col min="14596" max="14596" width="10.7109375" style="425" customWidth="1"/>
    <col min="14597" max="14597" width="12.7109375" style="425" customWidth="1"/>
    <col min="14598" max="14599" width="10.7109375" style="425" customWidth="1"/>
    <col min="14600" max="14606" width="11.42578125" style="425"/>
    <col min="14607" max="14607" width="13.28515625" style="425" customWidth="1"/>
    <col min="14608" max="14849" width="11.42578125" style="425"/>
    <col min="14850" max="14850" width="36.7109375" style="425" customWidth="1"/>
    <col min="14851" max="14851" width="12.7109375" style="425" customWidth="1"/>
    <col min="14852" max="14852" width="10.7109375" style="425" customWidth="1"/>
    <col min="14853" max="14853" width="12.7109375" style="425" customWidth="1"/>
    <col min="14854" max="14855" width="10.7109375" style="425" customWidth="1"/>
    <col min="14856" max="14862" width="11.42578125" style="425"/>
    <col min="14863" max="14863" width="13.28515625" style="425" customWidth="1"/>
    <col min="14864" max="15105" width="11.42578125" style="425"/>
    <col min="15106" max="15106" width="36.7109375" style="425" customWidth="1"/>
    <col min="15107" max="15107" width="12.7109375" style="425" customWidth="1"/>
    <col min="15108" max="15108" width="10.7109375" style="425" customWidth="1"/>
    <col min="15109" max="15109" width="12.7109375" style="425" customWidth="1"/>
    <col min="15110" max="15111" width="10.7109375" style="425" customWidth="1"/>
    <col min="15112" max="15118" width="11.42578125" style="425"/>
    <col min="15119" max="15119" width="13.28515625" style="425" customWidth="1"/>
    <col min="15120" max="15361" width="11.42578125" style="425"/>
    <col min="15362" max="15362" width="36.7109375" style="425" customWidth="1"/>
    <col min="15363" max="15363" width="12.7109375" style="425" customWidth="1"/>
    <col min="15364" max="15364" width="10.7109375" style="425" customWidth="1"/>
    <col min="15365" max="15365" width="12.7109375" style="425" customWidth="1"/>
    <col min="15366" max="15367" width="10.7109375" style="425" customWidth="1"/>
    <col min="15368" max="15374" width="11.42578125" style="425"/>
    <col min="15375" max="15375" width="13.28515625" style="425" customWidth="1"/>
    <col min="15376" max="15617" width="11.42578125" style="425"/>
    <col min="15618" max="15618" width="36.7109375" style="425" customWidth="1"/>
    <col min="15619" max="15619" width="12.7109375" style="425" customWidth="1"/>
    <col min="15620" max="15620" width="10.7109375" style="425" customWidth="1"/>
    <col min="15621" max="15621" width="12.7109375" style="425" customWidth="1"/>
    <col min="15622" max="15623" width="10.7109375" style="425" customWidth="1"/>
    <col min="15624" max="15630" width="11.42578125" style="425"/>
    <col min="15631" max="15631" width="13.28515625" style="425" customWidth="1"/>
    <col min="15632" max="15873" width="11.42578125" style="425"/>
    <col min="15874" max="15874" width="36.7109375" style="425" customWidth="1"/>
    <col min="15875" max="15875" width="12.7109375" style="425" customWidth="1"/>
    <col min="15876" max="15876" width="10.7109375" style="425" customWidth="1"/>
    <col min="15877" max="15877" width="12.7109375" style="425" customWidth="1"/>
    <col min="15878" max="15879" width="10.7109375" style="425" customWidth="1"/>
    <col min="15880" max="15886" width="11.42578125" style="425"/>
    <col min="15887" max="15887" width="13.28515625" style="425" customWidth="1"/>
    <col min="15888" max="16129" width="11.42578125" style="425"/>
    <col min="16130" max="16130" width="36.7109375" style="425" customWidth="1"/>
    <col min="16131" max="16131" width="12.7109375" style="425" customWidth="1"/>
    <col min="16132" max="16132" width="10.7109375" style="425" customWidth="1"/>
    <col min="16133" max="16133" width="12.7109375" style="425" customWidth="1"/>
    <col min="16134" max="16135" width="10.7109375" style="425" customWidth="1"/>
    <col min="16136" max="16142" width="11.42578125" style="425"/>
    <col min="16143" max="16143" width="13.28515625" style="425" customWidth="1"/>
    <col min="16144" max="16384" width="11.42578125" style="425"/>
  </cols>
  <sheetData>
    <row r="1" spans="2:14" ht="26.25">
      <c r="B1" s="462"/>
    </row>
    <row r="7" spans="2:14" ht="33.75" customHeight="1">
      <c r="B7" s="463" t="s">
        <v>304</v>
      </c>
      <c r="C7" s="464"/>
      <c r="D7" s="464"/>
      <c r="E7" s="464"/>
      <c r="F7" s="464"/>
      <c r="G7" s="465"/>
      <c r="I7" s="463" t="s">
        <v>305</v>
      </c>
      <c r="J7" s="464"/>
      <c r="K7" s="464"/>
      <c r="L7" s="464"/>
      <c r="M7" s="464"/>
      <c r="N7" s="465"/>
    </row>
    <row r="8" spans="2:14" ht="41.25" customHeight="1">
      <c r="B8" s="431" t="s">
        <v>237</v>
      </c>
      <c r="C8" s="432" t="s">
        <v>296</v>
      </c>
      <c r="D8" s="433" t="s">
        <v>27</v>
      </c>
      <c r="E8" s="432" t="s">
        <v>297</v>
      </c>
      <c r="F8" s="433" t="s">
        <v>27</v>
      </c>
      <c r="G8" s="433" t="s">
        <v>28</v>
      </c>
      <c r="I8" s="431" t="s">
        <v>237</v>
      </c>
      <c r="J8" s="432" t="s">
        <v>296</v>
      </c>
      <c r="K8" s="433" t="s">
        <v>27</v>
      </c>
      <c r="L8" s="432" t="s">
        <v>297</v>
      </c>
      <c r="M8" s="433" t="s">
        <v>27</v>
      </c>
      <c r="N8" s="433" t="s">
        <v>28</v>
      </c>
    </row>
    <row r="9" spans="2:14">
      <c r="B9" s="434" t="s">
        <v>238</v>
      </c>
      <c r="C9" s="466"/>
      <c r="D9" s="467"/>
      <c r="E9" s="466"/>
      <c r="F9" s="466"/>
      <c r="G9" s="467"/>
      <c r="I9" s="434" t="s">
        <v>238</v>
      </c>
      <c r="J9" s="466"/>
      <c r="K9" s="467"/>
      <c r="L9" s="466"/>
      <c r="M9" s="466"/>
      <c r="N9" s="467"/>
    </row>
    <row r="10" spans="2:14">
      <c r="B10" s="468" t="s">
        <v>29</v>
      </c>
      <c r="C10" s="469">
        <f>GETPIVOTDATA("dato",'[1]tabla dinámica municipios'!$A$4,"indicador","TOTAL","categoría","TOTAL","municipio","ADEJE","año",2009)</f>
        <v>945838</v>
      </c>
      <c r="D10" s="470">
        <f>C10/$C$10</f>
        <v>1</v>
      </c>
      <c r="E10" s="469">
        <f>GETPIVOTDATA("dato",'[1]tabla dinámica municipios'!$A$4,"indicador","TOTAL","categoría","TOTAL","municipio","ADEJE","año",2010)</f>
        <v>978683</v>
      </c>
      <c r="F10" s="470">
        <f>E10/$E$10</f>
        <v>1</v>
      </c>
      <c r="G10" s="470">
        <f>(E10-C10)/C10</f>
        <v>3.472581985498574E-2</v>
      </c>
      <c r="I10" s="468" t="s">
        <v>29</v>
      </c>
      <c r="J10" s="469">
        <f>GETPIVOTDATA("dato",'[1]tabla dinámica municipios'!$A$4,"indicador","TOTAL","categoría","TOTAL","municipio","ARONA","año",2009)</f>
        <v>808683</v>
      </c>
      <c r="K10" s="470">
        <f>J10/$C$10</f>
        <v>0.85499102383283399</v>
      </c>
      <c r="L10" s="469">
        <f>GETPIVOTDATA("dato",'[1]tabla dinámica municipios'!$A$4,"indicador","TOTAL","categoría","TOTAL","municipio","ARONA","año",2010)</f>
        <v>818429</v>
      </c>
      <c r="M10" s="470">
        <f>L10/$E$10</f>
        <v>0.83625545758943398</v>
      </c>
      <c r="N10" s="470">
        <f>(L10-J10)/J10</f>
        <v>1.2051693927039395E-2</v>
      </c>
    </row>
    <row r="11" spans="2:14">
      <c r="B11" s="434" t="s">
        <v>240</v>
      </c>
      <c r="C11" s="466"/>
      <c r="D11" s="435"/>
      <c r="E11" s="466"/>
      <c r="F11" s="471"/>
      <c r="G11" s="472"/>
      <c r="I11" s="434" t="s">
        <v>240</v>
      </c>
      <c r="J11" s="466"/>
      <c r="K11" s="435"/>
      <c r="L11" s="466"/>
      <c r="M11" s="471"/>
      <c r="N11" s="472"/>
    </row>
    <row r="12" spans="2:14">
      <c r="B12" s="452" t="s">
        <v>241</v>
      </c>
      <c r="C12" s="473">
        <f>GETPIVOTDATA("dato",'[1]tabla dinámica municipios'!$A$4,"indicador","TOTAL","categoría","Hoteleros","municipio","ADEJE","año",2009)</f>
        <v>605398</v>
      </c>
      <c r="D12" s="474">
        <f>C12/$C$10</f>
        <v>0.64006521201305089</v>
      </c>
      <c r="E12" s="473">
        <f>GETPIVOTDATA("dato",'[1]tabla dinámica municipios'!$A$4,"indicador","TOTAL","categoría","Hoteleros","municipio","ADEJE","año",2010)</f>
        <v>644123</v>
      </c>
      <c r="F12" s="474">
        <f>E12/$E$10</f>
        <v>0.6581528441793717</v>
      </c>
      <c r="G12" s="475">
        <f>(E12-C12)/C12</f>
        <v>6.3966184229217807E-2</v>
      </c>
      <c r="I12" s="452" t="s">
        <v>241</v>
      </c>
      <c r="J12" s="473">
        <f>GETPIVOTDATA("dato",'[1]tabla dinámica municipios'!$A$4,"indicador","TOTAL","categoría","Hoteleros","municipio","ARONA","año",2009)</f>
        <v>343639</v>
      </c>
      <c r="K12" s="474">
        <f>J12/$C$10</f>
        <v>0.36331697394268364</v>
      </c>
      <c r="L12" s="473">
        <f>GETPIVOTDATA("dato",'[1]tabla dinámica municipios'!$A$4,"indicador","TOTAL","categoría","Hoteleros","municipio","ARONA","año",2010)</f>
        <v>372354</v>
      </c>
      <c r="M12" s="474">
        <f>L12/$E$10</f>
        <v>0.38046435873515733</v>
      </c>
      <c r="N12" s="475">
        <f>(L12-J12)/J12</f>
        <v>8.3561528231661714E-2</v>
      </c>
    </row>
    <row r="13" spans="2:14">
      <c r="B13" s="452" t="s">
        <v>306</v>
      </c>
      <c r="C13" s="476">
        <f>GETPIVOTDATA("dato",'[1]tabla dinámica municipios'!$A$4,"indicador","TOTAL","categoría","5 *","municipio","ADEJE","año",2009)</f>
        <v>82765</v>
      </c>
      <c r="D13" s="477">
        <f>C13/$C$10</f>
        <v>8.7504414075137607E-2</v>
      </c>
      <c r="E13" s="476">
        <f>GETPIVOTDATA("dato",'[1]tabla dinámica municipios'!$A$4,"indicador","TOTAL","categoría","5 *","municipio","ADEJE","año",2010)</f>
        <v>92816</v>
      </c>
      <c r="F13" s="477">
        <f>E13/$E$10</f>
        <v>9.4837654276205885E-2</v>
      </c>
      <c r="G13" s="478">
        <f>(E13-C13)/C13</f>
        <v>0.12144022231619646</v>
      </c>
      <c r="I13" s="452" t="s">
        <v>306</v>
      </c>
      <c r="J13" s="476">
        <f>GETPIVOTDATA("dato",'[1]tabla dinámica municipios'!$A$4,"indicador","TOTAL","categoría","5 *","municipio","ARONA","año",2009)</f>
        <v>40667</v>
      </c>
      <c r="K13" s="477">
        <f>J13/$C$10</f>
        <v>4.2995734999016745E-2</v>
      </c>
      <c r="L13" s="476">
        <f>GETPIVOTDATA("dato",'[1]tabla dinámica municipios'!$A$4,"indicador","TOTAL","categoría","5 *","municipio","ARONA","año",2010)</f>
        <v>43716</v>
      </c>
      <c r="M13" s="477">
        <f>L13/$E$10</f>
        <v>4.466819184557206E-2</v>
      </c>
      <c r="N13" s="478">
        <f>(L13-J13)/J13</f>
        <v>7.4974795288563212E-2</v>
      </c>
    </row>
    <row r="14" spans="2:14">
      <c r="B14" s="452" t="s">
        <v>307</v>
      </c>
      <c r="C14" s="476">
        <f>GETPIVOTDATA("dato",'[1]tabla dinámica municipios'!$A$4,"indicador","TOTAL","categoría","4 *","municipio","ADEJE","año",2009)</f>
        <v>401480</v>
      </c>
      <c r="D14" s="477">
        <f>C14/$C$10</f>
        <v>0.42447015239396174</v>
      </c>
      <c r="E14" s="476">
        <f>GETPIVOTDATA("dato",'[1]tabla dinámica municipios'!$A$4,"indicador","TOTAL","categoría","4 *","municipio","ADEJE","año",2010)</f>
        <v>441530</v>
      </c>
      <c r="F14" s="477">
        <f>E14/$E$10</f>
        <v>0.45114710279017822</v>
      </c>
      <c r="G14" s="478">
        <f>(E14-C14)/C14</f>
        <v>9.9755903158314244E-2</v>
      </c>
      <c r="I14" s="452" t="s">
        <v>307</v>
      </c>
      <c r="J14" s="476">
        <f>GETPIVOTDATA("dato",'[1]tabla dinámica municipios'!$A$4,"indicador","TOTAL","categoría","4 *","municipio","ARONA","año",2009)</f>
        <v>191184</v>
      </c>
      <c r="K14" s="477">
        <f>J14/$C$10</f>
        <v>0.20213186613352394</v>
      </c>
      <c r="L14" s="476">
        <f>GETPIVOTDATA("dato",'[1]tabla dinámica municipios'!$A$4,"indicador","TOTAL","categoría","4 *","municipio","ARONA","año",2010)</f>
        <v>215077</v>
      </c>
      <c r="M14" s="477">
        <f>L14/$E$10</f>
        <v>0.21976165929110855</v>
      </c>
      <c r="N14" s="478">
        <f>(L14-J14)/J14</f>
        <v>0.12497384718386476</v>
      </c>
    </row>
    <row r="15" spans="2:14">
      <c r="B15" s="452" t="s">
        <v>228</v>
      </c>
      <c r="C15" s="476">
        <f>GETPIVOTDATA("dato",'[1]tabla dinámica municipios'!$A$4,"indicador","TOTAL","categoría","3 *","municipio","ADEJE","año",2009)</f>
        <v>111484</v>
      </c>
      <c r="D15" s="477">
        <f>C15/$C$10</f>
        <v>0.11786796470431511</v>
      </c>
      <c r="E15" s="476">
        <f>GETPIVOTDATA("dato",'[1]tabla dinámica municipios'!$A$4,"indicador","TOTAL","categoría","3 *","municipio","ADEJE","año",2010)</f>
        <v>99829</v>
      </c>
      <c r="F15" s="477">
        <f>E15/$E$10</f>
        <v>0.10200340661889498</v>
      </c>
      <c r="G15" s="478">
        <f>(E15-C15)/C15</f>
        <v>-0.10454414983315992</v>
      </c>
      <c r="I15" s="452" t="s">
        <v>228</v>
      </c>
      <c r="J15" s="476">
        <f>GETPIVOTDATA("dato",'[1]tabla dinámica municipios'!$A$4,"indicador","TOTAL","categoría","3 *","municipio","ARONA","año",2009)</f>
        <v>103848</v>
      </c>
      <c r="K15" s="477">
        <f>J15/$C$10</f>
        <v>0.10979470057240247</v>
      </c>
      <c r="L15" s="476">
        <f>GETPIVOTDATA("dato",'[1]tabla dinámica municipios'!$A$4,"indicador","TOTAL","categoría","3 *","municipio","ARONA","año",2010)</f>
        <v>105461</v>
      </c>
      <c r="M15" s="477">
        <f>L15/$E$10</f>
        <v>0.10775807896939049</v>
      </c>
      <c r="N15" s="478">
        <f>(L15-J15)/J15</f>
        <v>1.5532316462522148E-2</v>
      </c>
    </row>
    <row r="16" spans="2:14">
      <c r="B16" s="452" t="s">
        <v>308</v>
      </c>
      <c r="C16" s="476">
        <f>GETPIVOTDATA("dato",'[1]tabla dinámica municipios'!$A$4,"indicador","TOTAL","categoría","1* y 2 *","municipio","ADEJE","año",2009)</f>
        <v>9669</v>
      </c>
      <c r="D16" s="477">
        <f>C16/$C$10</f>
        <v>1.0222680839636386E-2</v>
      </c>
      <c r="E16" s="476">
        <f>GETPIVOTDATA("dato",'[1]tabla dinámica municipios'!$A$4,"indicador","TOTAL","categoría","1* y 2 *","municipio","ADEJE","año",2010)</f>
        <v>9948</v>
      </c>
      <c r="F16" s="477">
        <f>E16/$E$10</f>
        <v>1.0164680494092571E-2</v>
      </c>
      <c r="G16" s="478">
        <f>(E16-C16)/C16</f>
        <v>2.8855103940428173E-2</v>
      </c>
      <c r="I16" s="452" t="s">
        <v>308</v>
      </c>
      <c r="J16" s="476">
        <f>GETPIVOTDATA("dato",'[1]tabla dinámica municipios'!$A$4,"indicador","TOTAL","categoría","1* y 2 *","municipio","ARONA","año",2009)</f>
        <v>7940</v>
      </c>
      <c r="K16" s="477">
        <f>J16/$C$10</f>
        <v>8.3946722377405015E-3</v>
      </c>
      <c r="L16" s="476">
        <f>GETPIVOTDATA("dato",'[1]tabla dinámica municipios'!$A$4,"indicador","TOTAL","categoría","1* y 2 *","municipio","ARONA","año",2010)</f>
        <v>8100</v>
      </c>
      <c r="M16" s="477">
        <f>L16/$E$10</f>
        <v>8.2764286290862316E-3</v>
      </c>
      <c r="N16" s="478">
        <f>(L16-J16)/J16</f>
        <v>2.0151133501259445E-2</v>
      </c>
    </row>
    <row r="17" spans="2:16">
      <c r="B17" s="434" t="s">
        <v>242</v>
      </c>
      <c r="C17" s="435"/>
      <c r="D17" s="435"/>
      <c r="E17" s="435"/>
      <c r="F17" s="479"/>
      <c r="G17" s="480"/>
      <c r="I17" s="434" t="s">
        <v>242</v>
      </c>
      <c r="J17" s="435"/>
      <c r="K17" s="435"/>
      <c r="L17" s="435"/>
      <c r="M17" s="479"/>
      <c r="N17" s="480"/>
    </row>
    <row r="18" spans="2:16">
      <c r="B18" s="481" t="s">
        <v>243</v>
      </c>
      <c r="C18" s="482">
        <f>GETPIVOTDATA("dato",'[1]tabla dinámica municipios'!$A$4,"indicador","TOTAL","categoría","Extrahoteleros","municipio","ADEJE","año",2009)</f>
        <v>340440</v>
      </c>
      <c r="D18" s="474">
        <f>C18/$C$10</f>
        <v>0.35993478798694911</v>
      </c>
      <c r="E18" s="482">
        <f>GETPIVOTDATA("dato",'[1]tabla dinámica municipios'!$A$4,"indicador","TOTAL","categoría","Extrahoteleros","municipio","ADEJE","año",2010)</f>
        <v>334560</v>
      </c>
      <c r="F18" s="477">
        <f>E18/$E$10</f>
        <v>0.34184715582062836</v>
      </c>
      <c r="G18" s="483">
        <f>(E18-C18)/C18</f>
        <v>-1.7271765949947126E-2</v>
      </c>
      <c r="I18" s="481" t="s">
        <v>243</v>
      </c>
      <c r="J18" s="482">
        <f>GETPIVOTDATA("dato",'[1]tabla dinámica municipios'!$A$4,"indicador","TOTAL","categoría","Extrahoteleros","municipio","ARONA","año",2009)</f>
        <v>465044</v>
      </c>
      <c r="K18" s="474">
        <f>J18/$C$10</f>
        <v>0.49167404989015034</v>
      </c>
      <c r="L18" s="482">
        <f>GETPIVOTDATA("dato",'[1]tabla dinámica municipios'!$A$4,"indicador","TOTAL","categoría","Extrahoteleros","municipio","ARONA","año",2010)</f>
        <v>446075</v>
      </c>
      <c r="M18" s="477">
        <f>L18/$E$10</f>
        <v>0.4557910988542766</v>
      </c>
      <c r="N18" s="483">
        <f>(L18-J18)/J18</f>
        <v>-4.0789688717626719E-2</v>
      </c>
    </row>
    <row r="19" spans="2:16">
      <c r="B19" s="484" t="s">
        <v>90</v>
      </c>
      <c r="C19" s="485"/>
      <c r="D19" s="485"/>
      <c r="E19" s="485"/>
      <c r="F19" s="485"/>
      <c r="G19" s="486"/>
      <c r="I19" s="484" t="s">
        <v>90</v>
      </c>
      <c r="J19" s="485"/>
      <c r="K19" s="485"/>
      <c r="L19" s="485"/>
      <c r="M19" s="485"/>
      <c r="N19" s="486"/>
    </row>
    <row r="20" spans="2:16" ht="20.100000000000001" customHeight="1" thickBot="1"/>
    <row r="21" spans="2:16" ht="38.25" customHeight="1" thickBot="1">
      <c r="B21" s="463" t="s">
        <v>309</v>
      </c>
      <c r="C21" s="464"/>
      <c r="D21" s="464"/>
      <c r="E21" s="464"/>
      <c r="F21" s="464"/>
      <c r="G21" s="465"/>
      <c r="I21" s="463" t="s">
        <v>310</v>
      </c>
      <c r="J21" s="464"/>
      <c r="K21" s="464"/>
      <c r="L21" s="464"/>
      <c r="M21" s="464"/>
      <c r="N21" s="465"/>
      <c r="P21" s="60" t="s">
        <v>50</v>
      </c>
    </row>
    <row r="22" spans="2:16" ht="33.75" customHeight="1">
      <c r="B22" s="431" t="s">
        <v>237</v>
      </c>
      <c r="C22" s="432" t="s">
        <v>296</v>
      </c>
      <c r="D22" s="433" t="s">
        <v>27</v>
      </c>
      <c r="E22" s="432" t="s">
        <v>297</v>
      </c>
      <c r="F22" s="433" t="s">
        <v>27</v>
      </c>
      <c r="G22" s="433" t="s">
        <v>28</v>
      </c>
      <c r="I22" s="431" t="s">
        <v>237</v>
      </c>
      <c r="J22" s="432" t="s">
        <v>296</v>
      </c>
      <c r="K22" s="433" t="s">
        <v>27</v>
      </c>
      <c r="L22" s="432" t="s">
        <v>297</v>
      </c>
      <c r="M22" s="433" t="s">
        <v>27</v>
      </c>
      <c r="N22" s="433" t="s">
        <v>28</v>
      </c>
    </row>
    <row r="23" spans="2:16">
      <c r="B23" s="434" t="s">
        <v>238</v>
      </c>
      <c r="C23" s="466"/>
      <c r="D23" s="467"/>
      <c r="E23" s="466"/>
      <c r="F23" s="466"/>
      <c r="G23" s="467"/>
      <c r="I23" s="434" t="s">
        <v>238</v>
      </c>
      <c r="J23" s="466"/>
      <c r="K23" s="467"/>
      <c r="L23" s="466"/>
      <c r="M23" s="466"/>
      <c r="N23" s="467"/>
    </row>
    <row r="24" spans="2:16">
      <c r="B24" s="468" t="s">
        <v>29</v>
      </c>
      <c r="C24" s="469">
        <f>GETPIVOTDATA("dato",'[1]tabla dinámica municipios'!$A$4,"indicador","TOTAL","categoría","TOTAL","municipio","PUERTO DE LA CRUZ","año",2009)</f>
        <v>443574</v>
      </c>
      <c r="D24" s="470">
        <f>C24/$C$10</f>
        <v>0.46897460241605854</v>
      </c>
      <c r="E24" s="469">
        <f>GETPIVOTDATA("dato",'[1]tabla dinámica municipios'!$A$4,"indicador","TOTAL","categoría","TOTAL","municipio","PUERTO DE LA CRUZ","año",2010)</f>
        <v>415019</v>
      </c>
      <c r="F24" s="470">
        <f>E24/$E$10</f>
        <v>0.42405865842157264</v>
      </c>
      <c r="G24" s="470">
        <f>(E24-C24)/C24</f>
        <v>-6.4374828100835488E-2</v>
      </c>
      <c r="I24" s="468" t="s">
        <v>29</v>
      </c>
      <c r="J24" s="469">
        <f>GETPIVOTDATA("dato",'[1]tabla dinámica municipios'!$A$4,"indicador","TOTAL","categoría","TOTAL","municipio","SANTA CRUZ","año",2009)</f>
        <v>95588</v>
      </c>
      <c r="K24" s="470">
        <f>J24/$C$10</f>
        <v>0.10106170401273791</v>
      </c>
      <c r="L24" s="469">
        <f>GETPIVOTDATA("dato",'[1]tabla dinámica municipios'!$A$4,"indicador","TOTAL","categoría","TOTAL","municipio","SANTA CRUZ","año",2010)</f>
        <v>92816</v>
      </c>
      <c r="M24" s="470">
        <f>L24/$E$10</f>
        <v>9.4837654276205885E-2</v>
      </c>
      <c r="N24" s="470">
        <f>(L24-J24)/J24</f>
        <v>-2.8999455998660918E-2</v>
      </c>
    </row>
    <row r="25" spans="2:16">
      <c r="B25" s="434" t="s">
        <v>240</v>
      </c>
      <c r="C25" s="466"/>
      <c r="D25" s="435"/>
      <c r="E25" s="466"/>
      <c r="F25" s="471"/>
      <c r="G25" s="472"/>
      <c r="I25" s="434" t="s">
        <v>240</v>
      </c>
      <c r="J25" s="466"/>
      <c r="K25" s="435"/>
      <c r="L25" s="466"/>
      <c r="M25" s="471"/>
      <c r="N25" s="472"/>
    </row>
    <row r="26" spans="2:16">
      <c r="B26" s="452" t="s">
        <v>241</v>
      </c>
      <c r="C26" s="473">
        <f>GETPIVOTDATA("dato",'[1]tabla dinámica municipios'!$A$4,"indicador","TOTAL","categoría","Hoteleros","municipio","PUERTO DE LA CRUZ","año",2009)</f>
        <v>292166</v>
      </c>
      <c r="D26" s="474">
        <f>C26/$C$10</f>
        <v>0.30889644949769413</v>
      </c>
      <c r="E26" s="473">
        <f>GETPIVOTDATA("dato",'[1]tabla dinámica municipios'!$A$4,"indicador","TOTAL","categoría","Hoteleros","municipio","PUERTO DE LA CRUZ","año",2010)</f>
        <v>284310</v>
      </c>
      <c r="F26" s="474">
        <f>E26/$E$10</f>
        <v>0.2905026448809267</v>
      </c>
      <c r="G26" s="475">
        <f>(E26-C26)/C26</f>
        <v>-2.6888823477064408E-2</v>
      </c>
      <c r="I26" s="452" t="s">
        <v>241</v>
      </c>
      <c r="J26" s="473">
        <f>GETPIVOTDATA("dato",'[1]tabla dinámica municipios'!$A$4,"indicador","TOTAL","categoría","Hoteleros","municipio","SANTA CRUZ","año",2009)</f>
        <v>95588</v>
      </c>
      <c r="K26" s="474">
        <f>J26/$C$10</f>
        <v>0.10106170401273791</v>
      </c>
      <c r="L26" s="473">
        <f>GETPIVOTDATA("dato",'[1]tabla dinámica municipios'!$A$4,"indicador","TOTAL","categoría","Hoteleros","municipio","SANTA CRUZ","año",2010)</f>
        <v>92816</v>
      </c>
      <c r="M26" s="474">
        <f>L26/$E$10</f>
        <v>9.4837654276205885E-2</v>
      </c>
      <c r="N26" s="475">
        <f>(L26-J26)/J26</f>
        <v>-2.8999455998660918E-2</v>
      </c>
    </row>
    <row r="27" spans="2:16">
      <c r="B27" s="452" t="s">
        <v>229</v>
      </c>
      <c r="C27" s="476">
        <f>GETPIVOTDATA("dato",'[1]tabla dinámica municipios'!$A$4,"indicador","TOTAL","categoría","4* Y 5*","municipio","PUERTO DE LA CRUZ","año",2009)</f>
        <v>235840</v>
      </c>
      <c r="D27" s="477">
        <f>C27/$C$10</f>
        <v>0.24934502525802515</v>
      </c>
      <c r="E27" s="476">
        <f>GETPIVOTDATA("dato",'[1]tabla dinámica municipios'!$A$4,"indicador","TOTAL","categoría","4* Y 5*","municipio","PUERTO DE LA CRUZ","año",2010)</f>
        <v>235506</v>
      </c>
      <c r="F27" s="477">
        <f>E27/$E$10</f>
        <v>0.24063562971871383</v>
      </c>
      <c r="G27" s="478">
        <f>(E27-C27)/C27</f>
        <v>-1.4162143826322931E-3</v>
      </c>
      <c r="I27" s="452" t="s">
        <v>229</v>
      </c>
      <c r="J27" s="476">
        <f>GETPIVOTDATA("dato",'[1]tabla dinámica municipios'!$A$4,"indicador","TOTAL","categoría","4* Y 5*","municipio","SANTA CRUZ","año",2009)</f>
        <v>32115</v>
      </c>
      <c r="K27" s="477">
        <f>J27/$C$10</f>
        <v>3.3954017495596497E-2</v>
      </c>
      <c r="L27" s="476">
        <f>GETPIVOTDATA("dato",'[1]tabla dinámica municipios'!$A$4,"indicador","TOTAL","categoría","4* Y 5*","municipio","SANTA CRUZ","año",2010)</f>
        <v>30405</v>
      </c>
      <c r="M27" s="477">
        <f>L27/$E$10</f>
        <v>3.1067260798440351E-2</v>
      </c>
      <c r="N27" s="478">
        <f>(L27-J27)/J27</f>
        <v>-5.3246146660439045E-2</v>
      </c>
    </row>
    <row r="28" spans="2:16">
      <c r="B28" s="452" t="s">
        <v>228</v>
      </c>
      <c r="C28" s="476">
        <f>GETPIVOTDATA("dato",'[1]tabla dinámica municipios'!$A$4,"indicador","TOTAL","categoría","3 *","municipio","PUERTO DE LA CRUZ","año",2009)</f>
        <v>50916</v>
      </c>
      <c r="D28" s="477">
        <f>C28/$C$10</f>
        <v>5.3831628672140475E-2</v>
      </c>
      <c r="E28" s="476">
        <f>GETPIVOTDATA("dato",'[1]tabla dinámica municipios'!$A$4,"indicador","TOTAL","categoría","3 *","municipio","PUERTO DE LA CRUZ","año",2010)</f>
        <v>43093</v>
      </c>
      <c r="F28" s="477">
        <f>E28/$E$10</f>
        <v>4.4031622088050983E-2</v>
      </c>
      <c r="G28" s="478">
        <f>(E28-C28)/C28</f>
        <v>-0.15364521957734306</v>
      </c>
      <c r="I28" s="452" t="s">
        <v>228</v>
      </c>
      <c r="J28" s="476">
        <f>GETPIVOTDATA("dato",'[1]tabla dinámica municipios'!$A$4,"indicador","TOTAL","categoría","3 *","municipio","SANTA CRUZ","año",2009)</f>
        <v>26495</v>
      </c>
      <c r="K28" s="477">
        <f>J28/$C$10</f>
        <v>2.8012196591805361E-2</v>
      </c>
      <c r="L28" s="476">
        <f>GETPIVOTDATA("dato",'[1]tabla dinámica municipios'!$A$4,"indicador","TOTAL","categoría","3 *","municipio","SANTA CRUZ","año",2010)</f>
        <v>27640</v>
      </c>
      <c r="M28" s="477">
        <f>L28/$E$10</f>
        <v>2.8242035470116472E-2</v>
      </c>
      <c r="N28" s="478">
        <f>(L28-J28)/J28</f>
        <v>4.3215701075674656E-2</v>
      </c>
    </row>
    <row r="29" spans="2:16">
      <c r="B29" s="452" t="s">
        <v>308</v>
      </c>
      <c r="C29" s="476">
        <f>GETPIVOTDATA("dato",'[1]tabla dinámica municipios'!$A$4,"indicador","TOTAL","categoría","1* Y 2 *","municipio","PUERTO DE LA CRUZ","año",2009)</f>
        <v>5410</v>
      </c>
      <c r="D29" s="477">
        <f>C29/$C$10</f>
        <v>5.7197955675284771E-3</v>
      </c>
      <c r="E29" s="476">
        <f>GETPIVOTDATA("dato",'[1]tabla dinámica municipios'!$A$4,"indicador","TOTAL","categoría","1* Y 2 *","municipio","PUERTO DE LA CRUZ","año",2010)</f>
        <v>5711</v>
      </c>
      <c r="F29" s="477">
        <f>E29/$E$10</f>
        <v>5.8353930741619096E-3</v>
      </c>
      <c r="G29" s="478">
        <f>(E29-C29)/C29</f>
        <v>5.5637707948243992E-2</v>
      </c>
      <c r="I29" s="452" t="s">
        <v>227</v>
      </c>
      <c r="J29" s="476">
        <f>GETPIVOTDATA("dato",'[1]tabla dinámica municipios'!$A$4,"indicador","TOTAL","categoría","2*","municipio","SANTA CRUZ","año",2009)</f>
        <v>30073</v>
      </c>
      <c r="K29" s="477">
        <f>J29/$C$10</f>
        <v>3.1795085416318654E-2</v>
      </c>
      <c r="L29" s="476">
        <f>GETPIVOTDATA("dato",'[1]tabla dinámica municipios'!$A$4,"indicador","TOTAL","categoría","2*","municipio","SANTA CRUZ","año",2010)</f>
        <v>29823</v>
      </c>
      <c r="M29" s="477">
        <f>L29/$E$10</f>
        <v>3.0472584074720824E-2</v>
      </c>
      <c r="N29" s="478">
        <f>(L29-J29)/J29</f>
        <v>-8.3131047783726267E-3</v>
      </c>
    </row>
    <row r="30" spans="2:16">
      <c r="B30" s="434" t="s">
        <v>242</v>
      </c>
      <c r="C30" s="435"/>
      <c r="D30" s="435"/>
      <c r="E30" s="435"/>
      <c r="F30" s="479"/>
      <c r="G30" s="480"/>
      <c r="I30" s="452" t="s">
        <v>226</v>
      </c>
      <c r="J30" s="476">
        <f>GETPIVOTDATA("dato",'[1]tabla dinámica municipios'!$A$4,"indicador","TOTAL","categoría","1*","municipio","SANTA CRUZ","año",2009)</f>
        <v>6905</v>
      </c>
      <c r="K30" s="477">
        <f>J30/$C$10</f>
        <v>7.3004045090174002E-3</v>
      </c>
      <c r="L30" s="476">
        <f>GETPIVOTDATA("dato",'[1]tabla dinámica municipios'!$A$4,"indicador","TOTAL","categoría","1*","municipio","SANTA CRUZ","año",2010)</f>
        <v>4948</v>
      </c>
      <c r="M30" s="477">
        <f>L30/$E$10</f>
        <v>5.0557739329282307E-3</v>
      </c>
      <c r="N30" s="478">
        <f>(L30-J30)/J30</f>
        <v>-0.28341781317885589</v>
      </c>
    </row>
    <row r="31" spans="2:16">
      <c r="B31" s="481" t="s">
        <v>243</v>
      </c>
      <c r="C31" s="482">
        <f>GETPIVOTDATA("dato",'[1]tabla dinámica municipios'!$A$4,"indicador","TOTAL","categoría","Extrahoteleros","municipio","PUERTO DE LA CRUZ","año",2009)</f>
        <v>151408</v>
      </c>
      <c r="D31" s="474">
        <f>C31/$C$10</f>
        <v>0.16007815291836447</v>
      </c>
      <c r="E31" s="482">
        <f>GETPIVOTDATA("dato",'[1]tabla dinámica municipios'!$A$4,"indicador","TOTAL","categoría","Extrahoteleros","municipio","PUERTO DE LA CRUZ","año",2010)</f>
        <v>130709</v>
      </c>
      <c r="F31" s="477">
        <f>E31/$E$10</f>
        <v>0.13355601354064595</v>
      </c>
      <c r="G31" s="483">
        <f>(E31-C31)/C31</f>
        <v>-0.13671008136954454</v>
      </c>
      <c r="I31" s="434" t="s">
        <v>242</v>
      </c>
      <c r="J31" s="435"/>
      <c r="K31" s="435"/>
      <c r="L31" s="435"/>
      <c r="M31" s="479"/>
      <c r="N31" s="480"/>
    </row>
    <row r="32" spans="2:16">
      <c r="B32" s="484" t="s">
        <v>90</v>
      </c>
      <c r="C32" s="485"/>
      <c r="D32" s="485"/>
      <c r="E32" s="485"/>
      <c r="F32" s="485"/>
      <c r="G32" s="486"/>
      <c r="I32" s="481" t="s">
        <v>243</v>
      </c>
      <c r="J32" s="482">
        <f>GETPIVOTDATA("dato",'[1]tabla dinámica municipios'!$A$4,"indicador","TOTAL","categoría","Extrahoteleros","municipio","SANTA CRUZ","año",2009)</f>
        <v>0</v>
      </c>
      <c r="K32" s="474">
        <f>J32/$C$10</f>
        <v>0</v>
      </c>
      <c r="L32" s="482">
        <f>GETPIVOTDATA("dato",'[1]tabla dinámica municipios'!$A$4,"indicador","TOTAL","categoría","Extrahoteleros","municipio","SANTA CRUZ","año",2010)</f>
        <v>0</v>
      </c>
      <c r="M32" s="477">
        <f>L32/$E$10</f>
        <v>0</v>
      </c>
      <c r="N32" s="457" t="str">
        <f>IFERROR((L32-J32)/J32,"-")</f>
        <v>-</v>
      </c>
    </row>
    <row r="33" spans="9:14">
      <c r="I33" s="484" t="s">
        <v>90</v>
      </c>
      <c r="J33" s="485"/>
      <c r="K33" s="485"/>
      <c r="L33" s="485"/>
      <c r="M33" s="485"/>
      <c r="N33" s="486"/>
    </row>
  </sheetData>
  <mergeCells count="8">
    <mergeCell ref="B32:G32"/>
    <mergeCell ref="I33:N33"/>
    <mergeCell ref="B7:G7"/>
    <mergeCell ref="I7:N7"/>
    <mergeCell ref="B19:G19"/>
    <mergeCell ref="I19:N19"/>
    <mergeCell ref="B21:G21"/>
    <mergeCell ref="I21:N21"/>
  </mergeCells>
  <hyperlinks>
    <hyperlink ref="P21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1">
    <tabColor rgb="FF000099"/>
    <pageSetUpPr autoPageBreaks="0" fitToPage="1"/>
  </sheetPr>
  <dimension ref="B6:S44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5" style="194" customWidth="1"/>
    <col min="2" max="8" width="12.42578125" style="194" customWidth="1"/>
    <col min="9" max="9" width="11.42578125" style="194"/>
    <col min="10" max="10" width="11.85546875" style="194" customWidth="1"/>
    <col min="11" max="11" width="3.7109375" style="194" customWidth="1"/>
    <col min="12" max="16" width="11.42578125" style="194"/>
    <col min="17" max="17" width="16.42578125" style="194" customWidth="1"/>
    <col min="18" max="265" width="11.42578125" style="194"/>
    <col min="266" max="266" width="11.85546875" style="194" customWidth="1"/>
    <col min="267" max="267" width="3.7109375" style="194" customWidth="1"/>
    <col min="268" max="521" width="11.42578125" style="194"/>
    <col min="522" max="522" width="11.85546875" style="194" customWidth="1"/>
    <col min="523" max="523" width="3.7109375" style="194" customWidth="1"/>
    <col min="524" max="777" width="11.42578125" style="194"/>
    <col min="778" max="778" width="11.85546875" style="194" customWidth="1"/>
    <col min="779" max="779" width="3.7109375" style="194" customWidth="1"/>
    <col min="780" max="1033" width="11.42578125" style="194"/>
    <col min="1034" max="1034" width="11.85546875" style="194" customWidth="1"/>
    <col min="1035" max="1035" width="3.7109375" style="194" customWidth="1"/>
    <col min="1036" max="1289" width="11.42578125" style="194"/>
    <col min="1290" max="1290" width="11.85546875" style="194" customWidth="1"/>
    <col min="1291" max="1291" width="3.7109375" style="194" customWidth="1"/>
    <col min="1292" max="1545" width="11.42578125" style="194"/>
    <col min="1546" max="1546" width="11.85546875" style="194" customWidth="1"/>
    <col min="1547" max="1547" width="3.7109375" style="194" customWidth="1"/>
    <col min="1548" max="1801" width="11.42578125" style="194"/>
    <col min="1802" max="1802" width="11.85546875" style="194" customWidth="1"/>
    <col min="1803" max="1803" width="3.7109375" style="194" customWidth="1"/>
    <col min="1804" max="2057" width="11.42578125" style="194"/>
    <col min="2058" max="2058" width="11.85546875" style="194" customWidth="1"/>
    <col min="2059" max="2059" width="3.7109375" style="194" customWidth="1"/>
    <col min="2060" max="2313" width="11.42578125" style="194"/>
    <col min="2314" max="2314" width="11.85546875" style="194" customWidth="1"/>
    <col min="2315" max="2315" width="3.7109375" style="194" customWidth="1"/>
    <col min="2316" max="2569" width="11.42578125" style="194"/>
    <col min="2570" max="2570" width="11.85546875" style="194" customWidth="1"/>
    <col min="2571" max="2571" width="3.7109375" style="194" customWidth="1"/>
    <col min="2572" max="2825" width="11.42578125" style="194"/>
    <col min="2826" max="2826" width="11.85546875" style="194" customWidth="1"/>
    <col min="2827" max="2827" width="3.7109375" style="194" customWidth="1"/>
    <col min="2828" max="3081" width="11.42578125" style="194"/>
    <col min="3082" max="3082" width="11.85546875" style="194" customWidth="1"/>
    <col min="3083" max="3083" width="3.7109375" style="194" customWidth="1"/>
    <col min="3084" max="3337" width="11.42578125" style="194"/>
    <col min="3338" max="3338" width="11.85546875" style="194" customWidth="1"/>
    <col min="3339" max="3339" width="3.7109375" style="194" customWidth="1"/>
    <col min="3340" max="3593" width="11.42578125" style="194"/>
    <col min="3594" max="3594" width="11.85546875" style="194" customWidth="1"/>
    <col min="3595" max="3595" width="3.7109375" style="194" customWidth="1"/>
    <col min="3596" max="3849" width="11.42578125" style="194"/>
    <col min="3850" max="3850" width="11.85546875" style="194" customWidth="1"/>
    <col min="3851" max="3851" width="3.7109375" style="194" customWidth="1"/>
    <col min="3852" max="4105" width="11.42578125" style="194"/>
    <col min="4106" max="4106" width="11.85546875" style="194" customWidth="1"/>
    <col min="4107" max="4107" width="3.7109375" style="194" customWidth="1"/>
    <col min="4108" max="4361" width="11.42578125" style="194"/>
    <col min="4362" max="4362" width="11.85546875" style="194" customWidth="1"/>
    <col min="4363" max="4363" width="3.7109375" style="194" customWidth="1"/>
    <col min="4364" max="4617" width="11.42578125" style="194"/>
    <col min="4618" max="4618" width="11.85546875" style="194" customWidth="1"/>
    <col min="4619" max="4619" width="3.7109375" style="194" customWidth="1"/>
    <col min="4620" max="4873" width="11.42578125" style="194"/>
    <col min="4874" max="4874" width="11.85546875" style="194" customWidth="1"/>
    <col min="4875" max="4875" width="3.7109375" style="194" customWidth="1"/>
    <col min="4876" max="5129" width="11.42578125" style="194"/>
    <col min="5130" max="5130" width="11.85546875" style="194" customWidth="1"/>
    <col min="5131" max="5131" width="3.7109375" style="194" customWidth="1"/>
    <col min="5132" max="5385" width="11.42578125" style="194"/>
    <col min="5386" max="5386" width="11.85546875" style="194" customWidth="1"/>
    <col min="5387" max="5387" width="3.7109375" style="194" customWidth="1"/>
    <col min="5388" max="5641" width="11.42578125" style="194"/>
    <col min="5642" max="5642" width="11.85546875" style="194" customWidth="1"/>
    <col min="5643" max="5643" width="3.7109375" style="194" customWidth="1"/>
    <col min="5644" max="5897" width="11.42578125" style="194"/>
    <col min="5898" max="5898" width="11.85546875" style="194" customWidth="1"/>
    <col min="5899" max="5899" width="3.7109375" style="194" customWidth="1"/>
    <col min="5900" max="6153" width="11.42578125" style="194"/>
    <col min="6154" max="6154" width="11.85546875" style="194" customWidth="1"/>
    <col min="6155" max="6155" width="3.7109375" style="194" customWidth="1"/>
    <col min="6156" max="6409" width="11.42578125" style="194"/>
    <col min="6410" max="6410" width="11.85546875" style="194" customWidth="1"/>
    <col min="6411" max="6411" width="3.7109375" style="194" customWidth="1"/>
    <col min="6412" max="6665" width="11.42578125" style="194"/>
    <col min="6666" max="6666" width="11.85546875" style="194" customWidth="1"/>
    <col min="6667" max="6667" width="3.7109375" style="194" customWidth="1"/>
    <col min="6668" max="6921" width="11.42578125" style="194"/>
    <col min="6922" max="6922" width="11.85546875" style="194" customWidth="1"/>
    <col min="6923" max="6923" width="3.7109375" style="194" customWidth="1"/>
    <col min="6924" max="7177" width="11.42578125" style="194"/>
    <col min="7178" max="7178" width="11.85546875" style="194" customWidth="1"/>
    <col min="7179" max="7179" width="3.7109375" style="194" customWidth="1"/>
    <col min="7180" max="7433" width="11.42578125" style="194"/>
    <col min="7434" max="7434" width="11.85546875" style="194" customWidth="1"/>
    <col min="7435" max="7435" width="3.7109375" style="194" customWidth="1"/>
    <col min="7436" max="7689" width="11.42578125" style="194"/>
    <col min="7690" max="7690" width="11.85546875" style="194" customWidth="1"/>
    <col min="7691" max="7691" width="3.7109375" style="194" customWidth="1"/>
    <col min="7692" max="7945" width="11.42578125" style="194"/>
    <col min="7946" max="7946" width="11.85546875" style="194" customWidth="1"/>
    <col min="7947" max="7947" width="3.7109375" style="194" customWidth="1"/>
    <col min="7948" max="8201" width="11.42578125" style="194"/>
    <col min="8202" max="8202" width="11.85546875" style="194" customWidth="1"/>
    <col min="8203" max="8203" width="3.7109375" style="194" customWidth="1"/>
    <col min="8204" max="8457" width="11.42578125" style="194"/>
    <col min="8458" max="8458" width="11.85546875" style="194" customWidth="1"/>
    <col min="8459" max="8459" width="3.7109375" style="194" customWidth="1"/>
    <col min="8460" max="8713" width="11.42578125" style="194"/>
    <col min="8714" max="8714" width="11.85546875" style="194" customWidth="1"/>
    <col min="8715" max="8715" width="3.7109375" style="194" customWidth="1"/>
    <col min="8716" max="8969" width="11.42578125" style="194"/>
    <col min="8970" max="8970" width="11.85546875" style="194" customWidth="1"/>
    <col min="8971" max="8971" width="3.7109375" style="194" customWidth="1"/>
    <col min="8972" max="9225" width="11.42578125" style="194"/>
    <col min="9226" max="9226" width="11.85546875" style="194" customWidth="1"/>
    <col min="9227" max="9227" width="3.7109375" style="194" customWidth="1"/>
    <col min="9228" max="9481" width="11.42578125" style="194"/>
    <col min="9482" max="9482" width="11.85546875" style="194" customWidth="1"/>
    <col min="9483" max="9483" width="3.7109375" style="194" customWidth="1"/>
    <col min="9484" max="9737" width="11.42578125" style="194"/>
    <col min="9738" max="9738" width="11.85546875" style="194" customWidth="1"/>
    <col min="9739" max="9739" width="3.7109375" style="194" customWidth="1"/>
    <col min="9740" max="9993" width="11.42578125" style="194"/>
    <col min="9994" max="9994" width="11.85546875" style="194" customWidth="1"/>
    <col min="9995" max="9995" width="3.7109375" style="194" customWidth="1"/>
    <col min="9996" max="10249" width="11.42578125" style="194"/>
    <col min="10250" max="10250" width="11.85546875" style="194" customWidth="1"/>
    <col min="10251" max="10251" width="3.7109375" style="194" customWidth="1"/>
    <col min="10252" max="10505" width="11.42578125" style="194"/>
    <col min="10506" max="10506" width="11.85546875" style="194" customWidth="1"/>
    <col min="10507" max="10507" width="3.7109375" style="194" customWidth="1"/>
    <col min="10508" max="10761" width="11.42578125" style="194"/>
    <col min="10762" max="10762" width="11.85546875" style="194" customWidth="1"/>
    <col min="10763" max="10763" width="3.7109375" style="194" customWidth="1"/>
    <col min="10764" max="11017" width="11.42578125" style="194"/>
    <col min="11018" max="11018" width="11.85546875" style="194" customWidth="1"/>
    <col min="11019" max="11019" width="3.7109375" style="194" customWidth="1"/>
    <col min="11020" max="11273" width="11.42578125" style="194"/>
    <col min="11274" max="11274" width="11.85546875" style="194" customWidth="1"/>
    <col min="11275" max="11275" width="3.7109375" style="194" customWidth="1"/>
    <col min="11276" max="11529" width="11.42578125" style="194"/>
    <col min="11530" max="11530" width="11.85546875" style="194" customWidth="1"/>
    <col min="11531" max="11531" width="3.7109375" style="194" customWidth="1"/>
    <col min="11532" max="11785" width="11.42578125" style="194"/>
    <col min="11786" max="11786" width="11.85546875" style="194" customWidth="1"/>
    <col min="11787" max="11787" width="3.7109375" style="194" customWidth="1"/>
    <col min="11788" max="12041" width="11.42578125" style="194"/>
    <col min="12042" max="12042" width="11.85546875" style="194" customWidth="1"/>
    <col min="12043" max="12043" width="3.7109375" style="194" customWidth="1"/>
    <col min="12044" max="12297" width="11.42578125" style="194"/>
    <col min="12298" max="12298" width="11.85546875" style="194" customWidth="1"/>
    <col min="12299" max="12299" width="3.7109375" style="194" customWidth="1"/>
    <col min="12300" max="12553" width="11.42578125" style="194"/>
    <col min="12554" max="12554" width="11.85546875" style="194" customWidth="1"/>
    <col min="12555" max="12555" width="3.7109375" style="194" customWidth="1"/>
    <col min="12556" max="12809" width="11.42578125" style="194"/>
    <col min="12810" max="12810" width="11.85546875" style="194" customWidth="1"/>
    <col min="12811" max="12811" width="3.7109375" style="194" customWidth="1"/>
    <col min="12812" max="13065" width="11.42578125" style="194"/>
    <col min="13066" max="13066" width="11.85546875" style="194" customWidth="1"/>
    <col min="13067" max="13067" width="3.7109375" style="194" customWidth="1"/>
    <col min="13068" max="13321" width="11.42578125" style="194"/>
    <col min="13322" max="13322" width="11.85546875" style="194" customWidth="1"/>
    <col min="13323" max="13323" width="3.7109375" style="194" customWidth="1"/>
    <col min="13324" max="13577" width="11.42578125" style="194"/>
    <col min="13578" max="13578" width="11.85546875" style="194" customWidth="1"/>
    <col min="13579" max="13579" width="3.7109375" style="194" customWidth="1"/>
    <col min="13580" max="13833" width="11.42578125" style="194"/>
    <col min="13834" max="13834" width="11.85546875" style="194" customWidth="1"/>
    <col min="13835" max="13835" width="3.7109375" style="194" customWidth="1"/>
    <col min="13836" max="14089" width="11.42578125" style="194"/>
    <col min="14090" max="14090" width="11.85546875" style="194" customWidth="1"/>
    <col min="14091" max="14091" width="3.7109375" style="194" customWidth="1"/>
    <col min="14092" max="14345" width="11.42578125" style="194"/>
    <col min="14346" max="14346" width="11.85546875" style="194" customWidth="1"/>
    <col min="14347" max="14347" width="3.7109375" style="194" customWidth="1"/>
    <col min="14348" max="14601" width="11.42578125" style="194"/>
    <col min="14602" max="14602" width="11.85546875" style="194" customWidth="1"/>
    <col min="14603" max="14603" width="3.7109375" style="194" customWidth="1"/>
    <col min="14604" max="14857" width="11.42578125" style="194"/>
    <col min="14858" max="14858" width="11.85546875" style="194" customWidth="1"/>
    <col min="14859" max="14859" width="3.7109375" style="194" customWidth="1"/>
    <col min="14860" max="15113" width="11.42578125" style="194"/>
    <col min="15114" max="15114" width="11.85546875" style="194" customWidth="1"/>
    <col min="15115" max="15115" width="3.7109375" style="194" customWidth="1"/>
    <col min="15116" max="15369" width="11.42578125" style="194"/>
    <col min="15370" max="15370" width="11.85546875" style="194" customWidth="1"/>
    <col min="15371" max="15371" width="3.7109375" style="194" customWidth="1"/>
    <col min="15372" max="15625" width="11.42578125" style="194"/>
    <col min="15626" max="15626" width="11.85546875" style="194" customWidth="1"/>
    <col min="15627" max="15627" width="3.7109375" style="194" customWidth="1"/>
    <col min="15628" max="15881" width="11.42578125" style="194"/>
    <col min="15882" max="15882" width="11.85546875" style="194" customWidth="1"/>
    <col min="15883" max="15883" width="3.7109375" style="194" customWidth="1"/>
    <col min="15884" max="16137" width="11.42578125" style="194"/>
    <col min="16138" max="16138" width="11.85546875" style="194" customWidth="1"/>
    <col min="16139" max="16139" width="3.7109375" style="194" customWidth="1"/>
    <col min="16140" max="16384" width="11.42578125" style="194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0" t="s">
        <v>52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7">
    <tabColor rgb="FF000099"/>
    <pageSetUpPr autoPageBreaks="0" fitToPage="1"/>
  </sheetPr>
  <dimension ref="B6:L30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1.42578125" style="425"/>
    <col min="2" max="2" width="26.85546875" style="425" bestFit="1" customWidth="1"/>
    <col min="3" max="7" width="11.7109375" style="425" customWidth="1"/>
    <col min="8" max="8" width="10.7109375" style="425" customWidth="1"/>
    <col min="9" max="15" width="11.42578125" style="425"/>
    <col min="16" max="16" width="13.85546875" style="425" customWidth="1"/>
    <col min="17" max="257" width="11.42578125" style="425"/>
    <col min="258" max="258" width="26.85546875" style="425" bestFit="1" customWidth="1"/>
    <col min="259" max="263" width="11.7109375" style="425" customWidth="1"/>
    <col min="264" max="264" width="10.7109375" style="425" customWidth="1"/>
    <col min="265" max="271" width="11.42578125" style="425"/>
    <col min="272" max="272" width="13.85546875" style="425" customWidth="1"/>
    <col min="273" max="513" width="11.42578125" style="425"/>
    <col min="514" max="514" width="26.85546875" style="425" bestFit="1" customWidth="1"/>
    <col min="515" max="519" width="11.7109375" style="425" customWidth="1"/>
    <col min="520" max="520" width="10.7109375" style="425" customWidth="1"/>
    <col min="521" max="527" width="11.42578125" style="425"/>
    <col min="528" max="528" width="13.85546875" style="425" customWidth="1"/>
    <col min="529" max="769" width="11.42578125" style="425"/>
    <col min="770" max="770" width="26.85546875" style="425" bestFit="1" customWidth="1"/>
    <col min="771" max="775" width="11.7109375" style="425" customWidth="1"/>
    <col min="776" max="776" width="10.7109375" style="425" customWidth="1"/>
    <col min="777" max="783" width="11.42578125" style="425"/>
    <col min="784" max="784" width="13.85546875" style="425" customWidth="1"/>
    <col min="785" max="1025" width="11.42578125" style="425"/>
    <col min="1026" max="1026" width="26.85546875" style="425" bestFit="1" customWidth="1"/>
    <col min="1027" max="1031" width="11.7109375" style="425" customWidth="1"/>
    <col min="1032" max="1032" width="10.7109375" style="425" customWidth="1"/>
    <col min="1033" max="1039" width="11.42578125" style="425"/>
    <col min="1040" max="1040" width="13.85546875" style="425" customWidth="1"/>
    <col min="1041" max="1281" width="11.42578125" style="425"/>
    <col min="1282" max="1282" width="26.85546875" style="425" bestFit="1" customWidth="1"/>
    <col min="1283" max="1287" width="11.7109375" style="425" customWidth="1"/>
    <col min="1288" max="1288" width="10.7109375" style="425" customWidth="1"/>
    <col min="1289" max="1295" width="11.42578125" style="425"/>
    <col min="1296" max="1296" width="13.85546875" style="425" customWidth="1"/>
    <col min="1297" max="1537" width="11.42578125" style="425"/>
    <col min="1538" max="1538" width="26.85546875" style="425" bestFit="1" customWidth="1"/>
    <col min="1539" max="1543" width="11.7109375" style="425" customWidth="1"/>
    <col min="1544" max="1544" width="10.7109375" style="425" customWidth="1"/>
    <col min="1545" max="1551" width="11.42578125" style="425"/>
    <col min="1552" max="1552" width="13.85546875" style="425" customWidth="1"/>
    <col min="1553" max="1793" width="11.42578125" style="425"/>
    <col min="1794" max="1794" width="26.85546875" style="425" bestFit="1" customWidth="1"/>
    <col min="1795" max="1799" width="11.7109375" style="425" customWidth="1"/>
    <col min="1800" max="1800" width="10.7109375" style="425" customWidth="1"/>
    <col min="1801" max="1807" width="11.42578125" style="425"/>
    <col min="1808" max="1808" width="13.85546875" style="425" customWidth="1"/>
    <col min="1809" max="2049" width="11.42578125" style="425"/>
    <col min="2050" max="2050" width="26.85546875" style="425" bestFit="1" customWidth="1"/>
    <col min="2051" max="2055" width="11.7109375" style="425" customWidth="1"/>
    <col min="2056" max="2056" width="10.7109375" style="425" customWidth="1"/>
    <col min="2057" max="2063" width="11.42578125" style="425"/>
    <col min="2064" max="2064" width="13.85546875" style="425" customWidth="1"/>
    <col min="2065" max="2305" width="11.42578125" style="425"/>
    <col min="2306" max="2306" width="26.85546875" style="425" bestFit="1" customWidth="1"/>
    <col min="2307" max="2311" width="11.7109375" style="425" customWidth="1"/>
    <col min="2312" max="2312" width="10.7109375" style="425" customWidth="1"/>
    <col min="2313" max="2319" width="11.42578125" style="425"/>
    <col min="2320" max="2320" width="13.85546875" style="425" customWidth="1"/>
    <col min="2321" max="2561" width="11.42578125" style="425"/>
    <col min="2562" max="2562" width="26.85546875" style="425" bestFit="1" customWidth="1"/>
    <col min="2563" max="2567" width="11.7109375" style="425" customWidth="1"/>
    <col min="2568" max="2568" width="10.7109375" style="425" customWidth="1"/>
    <col min="2569" max="2575" width="11.42578125" style="425"/>
    <col min="2576" max="2576" width="13.85546875" style="425" customWidth="1"/>
    <col min="2577" max="2817" width="11.42578125" style="425"/>
    <col min="2818" max="2818" width="26.85546875" style="425" bestFit="1" customWidth="1"/>
    <col min="2819" max="2823" width="11.7109375" style="425" customWidth="1"/>
    <col min="2824" max="2824" width="10.7109375" style="425" customWidth="1"/>
    <col min="2825" max="2831" width="11.42578125" style="425"/>
    <col min="2832" max="2832" width="13.85546875" style="425" customWidth="1"/>
    <col min="2833" max="3073" width="11.42578125" style="425"/>
    <col min="3074" max="3074" width="26.85546875" style="425" bestFit="1" customWidth="1"/>
    <col min="3075" max="3079" width="11.7109375" style="425" customWidth="1"/>
    <col min="3080" max="3080" width="10.7109375" style="425" customWidth="1"/>
    <col min="3081" max="3087" width="11.42578125" style="425"/>
    <col min="3088" max="3088" width="13.85546875" style="425" customWidth="1"/>
    <col min="3089" max="3329" width="11.42578125" style="425"/>
    <col min="3330" max="3330" width="26.85546875" style="425" bestFit="1" customWidth="1"/>
    <col min="3331" max="3335" width="11.7109375" style="425" customWidth="1"/>
    <col min="3336" max="3336" width="10.7109375" style="425" customWidth="1"/>
    <col min="3337" max="3343" width="11.42578125" style="425"/>
    <col min="3344" max="3344" width="13.85546875" style="425" customWidth="1"/>
    <col min="3345" max="3585" width="11.42578125" style="425"/>
    <col min="3586" max="3586" width="26.85546875" style="425" bestFit="1" customWidth="1"/>
    <col min="3587" max="3591" width="11.7109375" style="425" customWidth="1"/>
    <col min="3592" max="3592" width="10.7109375" style="425" customWidth="1"/>
    <col min="3593" max="3599" width="11.42578125" style="425"/>
    <col min="3600" max="3600" width="13.85546875" style="425" customWidth="1"/>
    <col min="3601" max="3841" width="11.42578125" style="425"/>
    <col min="3842" max="3842" width="26.85546875" style="425" bestFit="1" customWidth="1"/>
    <col min="3843" max="3847" width="11.7109375" style="425" customWidth="1"/>
    <col min="3848" max="3848" width="10.7109375" style="425" customWidth="1"/>
    <col min="3849" max="3855" width="11.42578125" style="425"/>
    <col min="3856" max="3856" width="13.85546875" style="425" customWidth="1"/>
    <col min="3857" max="4097" width="11.42578125" style="425"/>
    <col min="4098" max="4098" width="26.85546875" style="425" bestFit="1" customWidth="1"/>
    <col min="4099" max="4103" width="11.7109375" style="425" customWidth="1"/>
    <col min="4104" max="4104" width="10.7109375" style="425" customWidth="1"/>
    <col min="4105" max="4111" width="11.42578125" style="425"/>
    <col min="4112" max="4112" width="13.85546875" style="425" customWidth="1"/>
    <col min="4113" max="4353" width="11.42578125" style="425"/>
    <col min="4354" max="4354" width="26.85546875" style="425" bestFit="1" customWidth="1"/>
    <col min="4355" max="4359" width="11.7109375" style="425" customWidth="1"/>
    <col min="4360" max="4360" width="10.7109375" style="425" customWidth="1"/>
    <col min="4361" max="4367" width="11.42578125" style="425"/>
    <col min="4368" max="4368" width="13.85546875" style="425" customWidth="1"/>
    <col min="4369" max="4609" width="11.42578125" style="425"/>
    <col min="4610" max="4610" width="26.85546875" style="425" bestFit="1" customWidth="1"/>
    <col min="4611" max="4615" width="11.7109375" style="425" customWidth="1"/>
    <col min="4616" max="4616" width="10.7109375" style="425" customWidth="1"/>
    <col min="4617" max="4623" width="11.42578125" style="425"/>
    <col min="4624" max="4624" width="13.85546875" style="425" customWidth="1"/>
    <col min="4625" max="4865" width="11.42578125" style="425"/>
    <col min="4866" max="4866" width="26.85546875" style="425" bestFit="1" customWidth="1"/>
    <col min="4867" max="4871" width="11.7109375" style="425" customWidth="1"/>
    <col min="4872" max="4872" width="10.7109375" style="425" customWidth="1"/>
    <col min="4873" max="4879" width="11.42578125" style="425"/>
    <col min="4880" max="4880" width="13.85546875" style="425" customWidth="1"/>
    <col min="4881" max="5121" width="11.42578125" style="425"/>
    <col min="5122" max="5122" width="26.85546875" style="425" bestFit="1" customWidth="1"/>
    <col min="5123" max="5127" width="11.7109375" style="425" customWidth="1"/>
    <col min="5128" max="5128" width="10.7109375" style="425" customWidth="1"/>
    <col min="5129" max="5135" width="11.42578125" style="425"/>
    <col min="5136" max="5136" width="13.85546875" style="425" customWidth="1"/>
    <col min="5137" max="5377" width="11.42578125" style="425"/>
    <col min="5378" max="5378" width="26.85546875" style="425" bestFit="1" customWidth="1"/>
    <col min="5379" max="5383" width="11.7109375" style="425" customWidth="1"/>
    <col min="5384" max="5384" width="10.7109375" style="425" customWidth="1"/>
    <col min="5385" max="5391" width="11.42578125" style="425"/>
    <col min="5392" max="5392" width="13.85546875" style="425" customWidth="1"/>
    <col min="5393" max="5633" width="11.42578125" style="425"/>
    <col min="5634" max="5634" width="26.85546875" style="425" bestFit="1" customWidth="1"/>
    <col min="5635" max="5639" width="11.7109375" style="425" customWidth="1"/>
    <col min="5640" max="5640" width="10.7109375" style="425" customWidth="1"/>
    <col min="5641" max="5647" width="11.42578125" style="425"/>
    <col min="5648" max="5648" width="13.85546875" style="425" customWidth="1"/>
    <col min="5649" max="5889" width="11.42578125" style="425"/>
    <col min="5890" max="5890" width="26.85546875" style="425" bestFit="1" customWidth="1"/>
    <col min="5891" max="5895" width="11.7109375" style="425" customWidth="1"/>
    <col min="5896" max="5896" width="10.7109375" style="425" customWidth="1"/>
    <col min="5897" max="5903" width="11.42578125" style="425"/>
    <col min="5904" max="5904" width="13.85546875" style="425" customWidth="1"/>
    <col min="5905" max="6145" width="11.42578125" style="425"/>
    <col min="6146" max="6146" width="26.85546875" style="425" bestFit="1" customWidth="1"/>
    <col min="6147" max="6151" width="11.7109375" style="425" customWidth="1"/>
    <col min="6152" max="6152" width="10.7109375" style="425" customWidth="1"/>
    <col min="6153" max="6159" width="11.42578125" style="425"/>
    <col min="6160" max="6160" width="13.85546875" style="425" customWidth="1"/>
    <col min="6161" max="6401" width="11.42578125" style="425"/>
    <col min="6402" max="6402" width="26.85546875" style="425" bestFit="1" customWidth="1"/>
    <col min="6403" max="6407" width="11.7109375" style="425" customWidth="1"/>
    <col min="6408" max="6408" width="10.7109375" style="425" customWidth="1"/>
    <col min="6409" max="6415" width="11.42578125" style="425"/>
    <col min="6416" max="6416" width="13.85546875" style="425" customWidth="1"/>
    <col min="6417" max="6657" width="11.42578125" style="425"/>
    <col min="6658" max="6658" width="26.85546875" style="425" bestFit="1" customWidth="1"/>
    <col min="6659" max="6663" width="11.7109375" style="425" customWidth="1"/>
    <col min="6664" max="6664" width="10.7109375" style="425" customWidth="1"/>
    <col min="6665" max="6671" width="11.42578125" style="425"/>
    <col min="6672" max="6672" width="13.85546875" style="425" customWidth="1"/>
    <col min="6673" max="6913" width="11.42578125" style="425"/>
    <col min="6914" max="6914" width="26.85546875" style="425" bestFit="1" customWidth="1"/>
    <col min="6915" max="6919" width="11.7109375" style="425" customWidth="1"/>
    <col min="6920" max="6920" width="10.7109375" style="425" customWidth="1"/>
    <col min="6921" max="6927" width="11.42578125" style="425"/>
    <col min="6928" max="6928" width="13.85546875" style="425" customWidth="1"/>
    <col min="6929" max="7169" width="11.42578125" style="425"/>
    <col min="7170" max="7170" width="26.85546875" style="425" bestFit="1" customWidth="1"/>
    <col min="7171" max="7175" width="11.7109375" style="425" customWidth="1"/>
    <col min="7176" max="7176" width="10.7109375" style="425" customWidth="1"/>
    <col min="7177" max="7183" width="11.42578125" style="425"/>
    <col min="7184" max="7184" width="13.85546875" style="425" customWidth="1"/>
    <col min="7185" max="7425" width="11.42578125" style="425"/>
    <col min="7426" max="7426" width="26.85546875" style="425" bestFit="1" customWidth="1"/>
    <col min="7427" max="7431" width="11.7109375" style="425" customWidth="1"/>
    <col min="7432" max="7432" width="10.7109375" style="425" customWidth="1"/>
    <col min="7433" max="7439" width="11.42578125" style="425"/>
    <col min="7440" max="7440" width="13.85546875" style="425" customWidth="1"/>
    <col min="7441" max="7681" width="11.42578125" style="425"/>
    <col min="7682" max="7682" width="26.85546875" style="425" bestFit="1" customWidth="1"/>
    <col min="7683" max="7687" width="11.7109375" style="425" customWidth="1"/>
    <col min="7688" max="7688" width="10.7109375" style="425" customWidth="1"/>
    <col min="7689" max="7695" width="11.42578125" style="425"/>
    <col min="7696" max="7696" width="13.85546875" style="425" customWidth="1"/>
    <col min="7697" max="7937" width="11.42578125" style="425"/>
    <col min="7938" max="7938" width="26.85546875" style="425" bestFit="1" customWidth="1"/>
    <col min="7939" max="7943" width="11.7109375" style="425" customWidth="1"/>
    <col min="7944" max="7944" width="10.7109375" style="425" customWidth="1"/>
    <col min="7945" max="7951" width="11.42578125" style="425"/>
    <col min="7952" max="7952" width="13.85546875" style="425" customWidth="1"/>
    <col min="7953" max="8193" width="11.42578125" style="425"/>
    <col min="8194" max="8194" width="26.85546875" style="425" bestFit="1" customWidth="1"/>
    <col min="8195" max="8199" width="11.7109375" style="425" customWidth="1"/>
    <col min="8200" max="8200" width="10.7109375" style="425" customWidth="1"/>
    <col min="8201" max="8207" width="11.42578125" style="425"/>
    <col min="8208" max="8208" width="13.85546875" style="425" customWidth="1"/>
    <col min="8209" max="8449" width="11.42578125" style="425"/>
    <col min="8450" max="8450" width="26.85546875" style="425" bestFit="1" customWidth="1"/>
    <col min="8451" max="8455" width="11.7109375" style="425" customWidth="1"/>
    <col min="8456" max="8456" width="10.7109375" style="425" customWidth="1"/>
    <col min="8457" max="8463" width="11.42578125" style="425"/>
    <col min="8464" max="8464" width="13.85546875" style="425" customWidth="1"/>
    <col min="8465" max="8705" width="11.42578125" style="425"/>
    <col min="8706" max="8706" width="26.85546875" style="425" bestFit="1" customWidth="1"/>
    <col min="8707" max="8711" width="11.7109375" style="425" customWidth="1"/>
    <col min="8712" max="8712" width="10.7109375" style="425" customWidth="1"/>
    <col min="8713" max="8719" width="11.42578125" style="425"/>
    <col min="8720" max="8720" width="13.85546875" style="425" customWidth="1"/>
    <col min="8721" max="8961" width="11.42578125" style="425"/>
    <col min="8962" max="8962" width="26.85546875" style="425" bestFit="1" customWidth="1"/>
    <col min="8963" max="8967" width="11.7109375" style="425" customWidth="1"/>
    <col min="8968" max="8968" width="10.7109375" style="425" customWidth="1"/>
    <col min="8969" max="8975" width="11.42578125" style="425"/>
    <col min="8976" max="8976" width="13.85546875" style="425" customWidth="1"/>
    <col min="8977" max="9217" width="11.42578125" style="425"/>
    <col min="9218" max="9218" width="26.85546875" style="425" bestFit="1" customWidth="1"/>
    <col min="9219" max="9223" width="11.7109375" style="425" customWidth="1"/>
    <col min="9224" max="9224" width="10.7109375" style="425" customWidth="1"/>
    <col min="9225" max="9231" width="11.42578125" style="425"/>
    <col min="9232" max="9232" width="13.85546875" style="425" customWidth="1"/>
    <col min="9233" max="9473" width="11.42578125" style="425"/>
    <col min="9474" max="9474" width="26.85546875" style="425" bestFit="1" customWidth="1"/>
    <col min="9475" max="9479" width="11.7109375" style="425" customWidth="1"/>
    <col min="9480" max="9480" width="10.7109375" style="425" customWidth="1"/>
    <col min="9481" max="9487" width="11.42578125" style="425"/>
    <col min="9488" max="9488" width="13.85546875" style="425" customWidth="1"/>
    <col min="9489" max="9729" width="11.42578125" style="425"/>
    <col min="9730" max="9730" width="26.85546875" style="425" bestFit="1" customWidth="1"/>
    <col min="9731" max="9735" width="11.7109375" style="425" customWidth="1"/>
    <col min="9736" max="9736" width="10.7109375" style="425" customWidth="1"/>
    <col min="9737" max="9743" width="11.42578125" style="425"/>
    <col min="9744" max="9744" width="13.85546875" style="425" customWidth="1"/>
    <col min="9745" max="9985" width="11.42578125" style="425"/>
    <col min="9986" max="9986" width="26.85546875" style="425" bestFit="1" customWidth="1"/>
    <col min="9987" max="9991" width="11.7109375" style="425" customWidth="1"/>
    <col min="9992" max="9992" width="10.7109375" style="425" customWidth="1"/>
    <col min="9993" max="9999" width="11.42578125" style="425"/>
    <col min="10000" max="10000" width="13.85546875" style="425" customWidth="1"/>
    <col min="10001" max="10241" width="11.42578125" style="425"/>
    <col min="10242" max="10242" width="26.85546875" style="425" bestFit="1" customWidth="1"/>
    <col min="10243" max="10247" width="11.7109375" style="425" customWidth="1"/>
    <col min="10248" max="10248" width="10.7109375" style="425" customWidth="1"/>
    <col min="10249" max="10255" width="11.42578125" style="425"/>
    <col min="10256" max="10256" width="13.85546875" style="425" customWidth="1"/>
    <col min="10257" max="10497" width="11.42578125" style="425"/>
    <col min="10498" max="10498" width="26.85546875" style="425" bestFit="1" customWidth="1"/>
    <col min="10499" max="10503" width="11.7109375" style="425" customWidth="1"/>
    <col min="10504" max="10504" width="10.7109375" style="425" customWidth="1"/>
    <col min="10505" max="10511" width="11.42578125" style="425"/>
    <col min="10512" max="10512" width="13.85546875" style="425" customWidth="1"/>
    <col min="10513" max="10753" width="11.42578125" style="425"/>
    <col min="10754" max="10754" width="26.85546875" style="425" bestFit="1" customWidth="1"/>
    <col min="10755" max="10759" width="11.7109375" style="425" customWidth="1"/>
    <col min="10760" max="10760" width="10.7109375" style="425" customWidth="1"/>
    <col min="10761" max="10767" width="11.42578125" style="425"/>
    <col min="10768" max="10768" width="13.85546875" style="425" customWidth="1"/>
    <col min="10769" max="11009" width="11.42578125" style="425"/>
    <col min="11010" max="11010" width="26.85546875" style="425" bestFit="1" customWidth="1"/>
    <col min="11011" max="11015" width="11.7109375" style="425" customWidth="1"/>
    <col min="11016" max="11016" width="10.7109375" style="425" customWidth="1"/>
    <col min="11017" max="11023" width="11.42578125" style="425"/>
    <col min="11024" max="11024" width="13.85546875" style="425" customWidth="1"/>
    <col min="11025" max="11265" width="11.42578125" style="425"/>
    <col min="11266" max="11266" width="26.85546875" style="425" bestFit="1" customWidth="1"/>
    <col min="11267" max="11271" width="11.7109375" style="425" customWidth="1"/>
    <col min="11272" max="11272" width="10.7109375" style="425" customWidth="1"/>
    <col min="11273" max="11279" width="11.42578125" style="425"/>
    <col min="11280" max="11280" width="13.85546875" style="425" customWidth="1"/>
    <col min="11281" max="11521" width="11.42578125" style="425"/>
    <col min="11522" max="11522" width="26.85546875" style="425" bestFit="1" customWidth="1"/>
    <col min="11523" max="11527" width="11.7109375" style="425" customWidth="1"/>
    <col min="11528" max="11528" width="10.7109375" style="425" customWidth="1"/>
    <col min="11529" max="11535" width="11.42578125" style="425"/>
    <col min="11536" max="11536" width="13.85546875" style="425" customWidth="1"/>
    <col min="11537" max="11777" width="11.42578125" style="425"/>
    <col min="11778" max="11778" width="26.85546875" style="425" bestFit="1" customWidth="1"/>
    <col min="11779" max="11783" width="11.7109375" style="425" customWidth="1"/>
    <col min="11784" max="11784" width="10.7109375" style="425" customWidth="1"/>
    <col min="11785" max="11791" width="11.42578125" style="425"/>
    <col min="11792" max="11792" width="13.85546875" style="425" customWidth="1"/>
    <col min="11793" max="12033" width="11.42578125" style="425"/>
    <col min="12034" max="12034" width="26.85546875" style="425" bestFit="1" customWidth="1"/>
    <col min="12035" max="12039" width="11.7109375" style="425" customWidth="1"/>
    <col min="12040" max="12040" width="10.7109375" style="425" customWidth="1"/>
    <col min="12041" max="12047" width="11.42578125" style="425"/>
    <col min="12048" max="12048" width="13.85546875" style="425" customWidth="1"/>
    <col min="12049" max="12289" width="11.42578125" style="425"/>
    <col min="12290" max="12290" width="26.85546875" style="425" bestFit="1" customWidth="1"/>
    <col min="12291" max="12295" width="11.7109375" style="425" customWidth="1"/>
    <col min="12296" max="12296" width="10.7109375" style="425" customWidth="1"/>
    <col min="12297" max="12303" width="11.42578125" style="425"/>
    <col min="12304" max="12304" width="13.85546875" style="425" customWidth="1"/>
    <col min="12305" max="12545" width="11.42578125" style="425"/>
    <col min="12546" max="12546" width="26.85546875" style="425" bestFit="1" customWidth="1"/>
    <col min="12547" max="12551" width="11.7109375" style="425" customWidth="1"/>
    <col min="12552" max="12552" width="10.7109375" style="425" customWidth="1"/>
    <col min="12553" max="12559" width="11.42578125" style="425"/>
    <col min="12560" max="12560" width="13.85546875" style="425" customWidth="1"/>
    <col min="12561" max="12801" width="11.42578125" style="425"/>
    <col min="12802" max="12802" width="26.85546875" style="425" bestFit="1" customWidth="1"/>
    <col min="12803" max="12807" width="11.7109375" style="425" customWidth="1"/>
    <col min="12808" max="12808" width="10.7109375" style="425" customWidth="1"/>
    <col min="12809" max="12815" width="11.42578125" style="425"/>
    <col min="12816" max="12816" width="13.85546875" style="425" customWidth="1"/>
    <col min="12817" max="13057" width="11.42578125" style="425"/>
    <col min="13058" max="13058" width="26.85546875" style="425" bestFit="1" customWidth="1"/>
    <col min="13059" max="13063" width="11.7109375" style="425" customWidth="1"/>
    <col min="13064" max="13064" width="10.7109375" style="425" customWidth="1"/>
    <col min="13065" max="13071" width="11.42578125" style="425"/>
    <col min="13072" max="13072" width="13.85546875" style="425" customWidth="1"/>
    <col min="13073" max="13313" width="11.42578125" style="425"/>
    <col min="13314" max="13314" width="26.85546875" style="425" bestFit="1" customWidth="1"/>
    <col min="13315" max="13319" width="11.7109375" style="425" customWidth="1"/>
    <col min="13320" max="13320" width="10.7109375" style="425" customWidth="1"/>
    <col min="13321" max="13327" width="11.42578125" style="425"/>
    <col min="13328" max="13328" width="13.85546875" style="425" customWidth="1"/>
    <col min="13329" max="13569" width="11.42578125" style="425"/>
    <col min="13570" max="13570" width="26.85546875" style="425" bestFit="1" customWidth="1"/>
    <col min="13571" max="13575" width="11.7109375" style="425" customWidth="1"/>
    <col min="13576" max="13576" width="10.7109375" style="425" customWidth="1"/>
    <col min="13577" max="13583" width="11.42578125" style="425"/>
    <col min="13584" max="13584" width="13.85546875" style="425" customWidth="1"/>
    <col min="13585" max="13825" width="11.42578125" style="425"/>
    <col min="13826" max="13826" width="26.85546875" style="425" bestFit="1" customWidth="1"/>
    <col min="13827" max="13831" width="11.7109375" style="425" customWidth="1"/>
    <col min="13832" max="13832" width="10.7109375" style="425" customWidth="1"/>
    <col min="13833" max="13839" width="11.42578125" style="425"/>
    <col min="13840" max="13840" width="13.85546875" style="425" customWidth="1"/>
    <col min="13841" max="14081" width="11.42578125" style="425"/>
    <col min="14082" max="14082" width="26.85546875" style="425" bestFit="1" customWidth="1"/>
    <col min="14083" max="14087" width="11.7109375" style="425" customWidth="1"/>
    <col min="14088" max="14088" width="10.7109375" style="425" customWidth="1"/>
    <col min="14089" max="14095" width="11.42578125" style="425"/>
    <col min="14096" max="14096" width="13.85546875" style="425" customWidth="1"/>
    <col min="14097" max="14337" width="11.42578125" style="425"/>
    <col min="14338" max="14338" width="26.85546875" style="425" bestFit="1" customWidth="1"/>
    <col min="14339" max="14343" width="11.7109375" style="425" customWidth="1"/>
    <col min="14344" max="14344" width="10.7109375" style="425" customWidth="1"/>
    <col min="14345" max="14351" width="11.42578125" style="425"/>
    <col min="14352" max="14352" width="13.85546875" style="425" customWidth="1"/>
    <col min="14353" max="14593" width="11.42578125" style="425"/>
    <col min="14594" max="14594" width="26.85546875" style="425" bestFit="1" customWidth="1"/>
    <col min="14595" max="14599" width="11.7109375" style="425" customWidth="1"/>
    <col min="14600" max="14600" width="10.7109375" style="425" customWidth="1"/>
    <col min="14601" max="14607" width="11.42578125" style="425"/>
    <col min="14608" max="14608" width="13.85546875" style="425" customWidth="1"/>
    <col min="14609" max="14849" width="11.42578125" style="425"/>
    <col min="14850" max="14850" width="26.85546875" style="425" bestFit="1" customWidth="1"/>
    <col min="14851" max="14855" width="11.7109375" style="425" customWidth="1"/>
    <col min="14856" max="14856" width="10.7109375" style="425" customWidth="1"/>
    <col min="14857" max="14863" width="11.42578125" style="425"/>
    <col min="14864" max="14864" width="13.85546875" style="425" customWidth="1"/>
    <col min="14865" max="15105" width="11.42578125" style="425"/>
    <col min="15106" max="15106" width="26.85546875" style="425" bestFit="1" customWidth="1"/>
    <col min="15107" max="15111" width="11.7109375" style="425" customWidth="1"/>
    <col min="15112" max="15112" width="10.7109375" style="425" customWidth="1"/>
    <col min="15113" max="15119" width="11.42578125" style="425"/>
    <col min="15120" max="15120" width="13.85546875" style="425" customWidth="1"/>
    <col min="15121" max="15361" width="11.42578125" style="425"/>
    <col min="15362" max="15362" width="26.85546875" style="425" bestFit="1" customWidth="1"/>
    <col min="15363" max="15367" width="11.7109375" style="425" customWidth="1"/>
    <col min="15368" max="15368" width="10.7109375" style="425" customWidth="1"/>
    <col min="15369" max="15375" width="11.42578125" style="425"/>
    <col min="15376" max="15376" width="13.85546875" style="425" customWidth="1"/>
    <col min="15377" max="15617" width="11.42578125" style="425"/>
    <col min="15618" max="15618" width="26.85546875" style="425" bestFit="1" customWidth="1"/>
    <col min="15619" max="15623" width="11.7109375" style="425" customWidth="1"/>
    <col min="15624" max="15624" width="10.7109375" style="425" customWidth="1"/>
    <col min="15625" max="15631" width="11.42578125" style="425"/>
    <col min="15632" max="15632" width="13.85546875" style="425" customWidth="1"/>
    <col min="15633" max="15873" width="11.42578125" style="425"/>
    <col min="15874" max="15874" width="26.85546875" style="425" bestFit="1" customWidth="1"/>
    <col min="15875" max="15879" width="11.7109375" style="425" customWidth="1"/>
    <col min="15880" max="15880" width="10.7109375" style="425" customWidth="1"/>
    <col min="15881" max="15887" width="11.42578125" style="425"/>
    <col min="15888" max="15888" width="13.85546875" style="425" customWidth="1"/>
    <col min="15889" max="16129" width="11.42578125" style="425"/>
    <col min="16130" max="16130" width="26.85546875" style="425" bestFit="1" customWidth="1"/>
    <col min="16131" max="16135" width="11.7109375" style="425" customWidth="1"/>
    <col min="16136" max="16136" width="10.7109375" style="425" customWidth="1"/>
    <col min="16137" max="16143" width="11.42578125" style="425"/>
    <col min="16144" max="16144" width="13.85546875" style="425" customWidth="1"/>
    <col min="16145" max="16384" width="11.42578125" style="425"/>
  </cols>
  <sheetData>
    <row r="6" spans="2:7" ht="20.25" customHeight="1">
      <c r="B6" s="428" t="s">
        <v>311</v>
      </c>
      <c r="C6" s="429"/>
      <c r="D6" s="429"/>
      <c r="E6" s="429"/>
      <c r="F6" s="429"/>
      <c r="G6" s="430"/>
    </row>
    <row r="7" spans="2:7" ht="25.5">
      <c r="B7" s="431" t="s">
        <v>262</v>
      </c>
      <c r="C7" s="432" t="s">
        <v>296</v>
      </c>
      <c r="D7" s="433" t="s">
        <v>27</v>
      </c>
      <c r="E7" s="432" t="s">
        <v>297</v>
      </c>
      <c r="F7" s="433" t="s">
        <v>27</v>
      </c>
      <c r="G7" s="433" t="s">
        <v>28</v>
      </c>
    </row>
    <row r="8" spans="2:7" ht="15" customHeight="1">
      <c r="B8" s="434" t="s">
        <v>263</v>
      </c>
      <c r="C8" s="435"/>
      <c r="D8" s="435"/>
      <c r="E8" s="435"/>
      <c r="F8" s="435"/>
      <c r="G8" s="436"/>
    </row>
    <row r="9" spans="2:7">
      <c r="B9" s="437" t="s">
        <v>233</v>
      </c>
      <c r="C9" s="438">
        <f>GETPIVOTDATA("Suma de TOTAL GENERAL",'[1]tabla dinámica municipios'!$G$4,"PAIS/INDICADOR","PERNOCTACIONES","AÑO",2009)</f>
        <v>20942185</v>
      </c>
      <c r="D9" s="439">
        <f>C9/C9</f>
        <v>1</v>
      </c>
      <c r="E9" s="438">
        <f>GETPIVOTDATA("Suma de TOTAL GENERAL",'[1]tabla dinámica municipios'!$G$4,"PAIS/INDICADOR","PERNOCTACIONES","AÑO",2010)</f>
        <v>20533466</v>
      </c>
      <c r="F9" s="439">
        <f>E9/E9</f>
        <v>1</v>
      </c>
      <c r="G9" s="439">
        <f>(E9-C9)/C9</f>
        <v>-1.9516540418299238E-2</v>
      </c>
    </row>
    <row r="10" spans="2:7">
      <c r="B10" s="440" t="s">
        <v>234</v>
      </c>
      <c r="C10" s="441">
        <f>GETPIVOTDATA("Suma de TOTAL HOTELERO",'[1]tabla dinámica municipios'!$G$4,"PAIS/INDICADOR","PERNOCTACIONES","AÑO",2009)</f>
        <v>11565062</v>
      </c>
      <c r="D10" s="442">
        <f>C10/C9</f>
        <v>0.55223760080430961</v>
      </c>
      <c r="E10" s="441">
        <f>GETPIVOTDATA("Suma de TOTAL HOTELERO",'[1]tabla dinámica municipios'!$G$4,"PAIS/INDICADOR","PERNOCTACIONES","AÑO",2010)</f>
        <v>11697161</v>
      </c>
      <c r="F10" s="442">
        <f>E10/E9</f>
        <v>0.56966325120172112</v>
      </c>
      <c r="G10" s="442">
        <f>(E10-C10)/C10</f>
        <v>1.1422247455309795E-2</v>
      </c>
    </row>
    <row r="11" spans="2:7">
      <c r="B11" s="443" t="s">
        <v>235</v>
      </c>
      <c r="C11" s="444">
        <f>GETPIVOTDATA("Suma de Extrahoteleros",'[1]tabla dinámica municipios'!$G$4,"PAIS/INDICADOR","PERNOCTACIONES","AÑO",2009)</f>
        <v>9377123</v>
      </c>
      <c r="D11" s="445">
        <f>C11/C9</f>
        <v>0.44776239919569044</v>
      </c>
      <c r="E11" s="444">
        <f>GETPIVOTDATA("Suma de Extrahoteleros",'[1]tabla dinámica municipios'!$G$4,"PAIS/INDICADOR","PERNOCTACIONES","AÑO",2010)</f>
        <v>8836305</v>
      </c>
      <c r="F11" s="445">
        <f>E11/E9</f>
        <v>0.43033674879827888</v>
      </c>
      <c r="G11" s="445">
        <f>(E11-C11)/C11</f>
        <v>-5.7674192820121907E-2</v>
      </c>
    </row>
    <row r="12" spans="2:7" ht="15" customHeight="1">
      <c r="B12" s="434" t="s">
        <v>301</v>
      </c>
      <c r="C12" s="446"/>
      <c r="D12" s="446"/>
      <c r="E12" s="446"/>
      <c r="F12" s="446"/>
      <c r="G12" s="447"/>
    </row>
    <row r="13" spans="2:7">
      <c r="B13" s="448" t="s">
        <v>233</v>
      </c>
      <c r="C13" s="449">
        <f>GETPIVOTDATA("dato",'[1]tabla dinámica municipios'!$A$4,"indicador","Pernoctaciones","categoría","TOTAL","municipio","ADEJE","año",2009)</f>
        <v>7711663</v>
      </c>
      <c r="D13" s="450">
        <f>C13/C13</f>
        <v>1</v>
      </c>
      <c r="E13" s="449">
        <f>GETPIVOTDATA("dato",'[1]tabla dinámica municipios'!$A$4,"indicador","Pernoctaciones","categoría","TOTAL","municipio","ADEJE","año",2010)</f>
        <v>7698603</v>
      </c>
      <c r="F13" s="450">
        <f>E13/E13</f>
        <v>1</v>
      </c>
      <c r="G13" s="451">
        <f>(E13-C13)/C13</f>
        <v>-1.6935387347709566E-3</v>
      </c>
    </row>
    <row r="14" spans="2:7">
      <c r="B14" s="452" t="s">
        <v>234</v>
      </c>
      <c r="C14" s="487">
        <f>GETPIVOTDATA("dato",'[1]tabla dinámica municipios'!$A$4,"indicador","Pernoctaciones","categoría","Hoteleros","municipio","ADEJE","año",2009)</f>
        <v>4759902</v>
      </c>
      <c r="D14" s="454">
        <f>C14/C13</f>
        <v>0.61723418152478915</v>
      </c>
      <c r="E14" s="453">
        <f>GETPIVOTDATA("dato",'[1]tabla dinámica municipios'!$A$4,"indicador","Pernoctaciones","categoría","Hoteleros","municipio","ADEJE","año",2010)</f>
        <v>4862858</v>
      </c>
      <c r="F14" s="454">
        <f>E14/E13</f>
        <v>0.63165460019174913</v>
      </c>
      <c r="G14" s="455">
        <f>(E14-C14)/C14</f>
        <v>2.1629857085292931E-2</v>
      </c>
    </row>
    <row r="15" spans="2:7">
      <c r="B15" s="452" t="s">
        <v>235</v>
      </c>
      <c r="C15" s="487">
        <f>GETPIVOTDATA("dato",'[1]tabla dinámica municipios'!$A$4,"indicador","Pernoctaciones","categoría","Extrahoteleros","municipio","ADEJE","año",2009)</f>
        <v>2951761</v>
      </c>
      <c r="D15" s="454">
        <f>C15/C13</f>
        <v>0.38276581847521085</v>
      </c>
      <c r="E15" s="453">
        <f>GETPIVOTDATA("dato",'[1]tabla dinámica municipios'!$A$4,"indicador","Pernoctaciones","categoría","Extrahoteleros","municipio","ADEJE","año",2010)</f>
        <v>2835745</v>
      </c>
      <c r="F15" s="454">
        <f>E15/E14</f>
        <v>0.58314369862331983</v>
      </c>
      <c r="G15" s="455">
        <f>(E15-C15)/C15</f>
        <v>-3.9303995140527979E-2</v>
      </c>
    </row>
    <row r="16" spans="2:7" ht="15" customHeight="1">
      <c r="B16" s="434" t="s">
        <v>302</v>
      </c>
      <c r="C16" s="446"/>
      <c r="D16" s="446"/>
      <c r="E16" s="446"/>
      <c r="F16" s="446"/>
      <c r="G16" s="447"/>
    </row>
    <row r="17" spans="2:12">
      <c r="B17" s="452" t="s">
        <v>233</v>
      </c>
      <c r="C17" s="449">
        <f>GETPIVOTDATA("dato",'[1]tabla dinámica municipios'!$A$4,"indicador","Pernoctaciones","categoría","TOTAL","municipio","ARONA","año",2009)</f>
        <v>6591865</v>
      </c>
      <c r="D17" s="450">
        <f>C17/C17</f>
        <v>1</v>
      </c>
      <c r="E17" s="449">
        <f>GETPIVOTDATA("dato",'[1]tabla dinámica municipios'!$A$4,"indicador","Pernoctaciones","categoría","TOTAL","municipio","ARONA","año",2010)</f>
        <v>6476287</v>
      </c>
      <c r="F17" s="450">
        <f>E17/E17</f>
        <v>1</v>
      </c>
      <c r="G17" s="451">
        <f>(E17-C17)/C17</f>
        <v>-1.7533429461920109E-2</v>
      </c>
    </row>
    <row r="18" spans="2:12">
      <c r="B18" s="452" t="s">
        <v>234</v>
      </c>
      <c r="C18" s="453">
        <f>GETPIVOTDATA("dato",'[1]tabla dinámica municipios'!$A$4,"indicador","Pernoctaciones","categoría","Hoteleros","municipio","ARONA","año",2009)</f>
        <v>2787146</v>
      </c>
      <c r="D18" s="454">
        <f>C18/C17</f>
        <v>0.42281600123788943</v>
      </c>
      <c r="E18" s="453">
        <f>GETPIVOTDATA("dato",'[1]tabla dinámica municipios'!$A$4,"indicador","Pernoctaciones","categoría","Hoteleros","municipio","ARONA","año",2010)</f>
        <v>2876302</v>
      </c>
      <c r="F18" s="454">
        <f>E18/E17</f>
        <v>0.44412824817677166</v>
      </c>
      <c r="G18" s="455">
        <f>(E18-C18)/C18</f>
        <v>3.1988277614448613E-2</v>
      </c>
    </row>
    <row r="19" spans="2:12">
      <c r="B19" s="452" t="s">
        <v>235</v>
      </c>
      <c r="C19" s="456">
        <f>GETPIVOTDATA("dato",'[1]tabla dinámica municipios'!$A$4,"indicador","Pernoctaciones","categoría","Extrahoteleros","municipio","ARONA","año",2009)</f>
        <v>3804719</v>
      </c>
      <c r="D19" s="457">
        <f>C19/C17</f>
        <v>0.57718399876211057</v>
      </c>
      <c r="E19" s="456">
        <f>GETPIVOTDATA("dato",'[1]tabla dinámica municipios'!$A$4,"indicador","Pernoctaciones","categoría","Extrahoteleros","municipio","ARONA","año",2010)</f>
        <v>3599985</v>
      </c>
      <c r="F19" s="457">
        <f>E19/E17</f>
        <v>0.55587175182322834</v>
      </c>
      <c r="G19" s="455">
        <f>(E19-C19)/C19</f>
        <v>-5.3810544221531212E-2</v>
      </c>
    </row>
    <row r="20" spans="2:12" ht="15" customHeight="1">
      <c r="B20" s="434" t="s">
        <v>303</v>
      </c>
      <c r="C20" s="446"/>
      <c r="D20" s="446"/>
      <c r="E20" s="446"/>
      <c r="F20" s="446"/>
      <c r="G20" s="447"/>
    </row>
    <row r="21" spans="2:12">
      <c r="B21" s="452" t="s">
        <v>233</v>
      </c>
      <c r="C21" s="449">
        <f>GETPIVOTDATA("dato",'[1]tabla dinámica municipios'!$A$4,"indicador","Pernoctaciones","categoría","TOTAL","municipio","Puerto de la Cruz","año",2009)</f>
        <v>3360494</v>
      </c>
      <c r="D21" s="450">
        <f>C21/C21</f>
        <v>1</v>
      </c>
      <c r="E21" s="449">
        <f>GETPIVOTDATA("dato",'[1]tabla dinámica municipios'!$A$4,"indicador","Pernoctaciones","categoría","TOTAL","municipio","Puerto de la Cruz","año",2010)</f>
        <v>3090514</v>
      </c>
      <c r="F21" s="450">
        <f>E21/E21</f>
        <v>1</v>
      </c>
      <c r="G21" s="451">
        <f>(E21-C21)/C21</f>
        <v>-8.0339378674682951E-2</v>
      </c>
    </row>
    <row r="22" spans="2:12">
      <c r="B22" s="452" t="s">
        <v>234</v>
      </c>
      <c r="C22" s="453">
        <f>GETPIVOTDATA("dato",'[1]tabla dinámica municipios'!$A$4,"indicador","Pernoctaciones","categoría","Hoteleros","municipio","Puerto de la Cruz","año",2009)</f>
        <v>2131326</v>
      </c>
      <c r="D22" s="454">
        <f>C22/C21</f>
        <v>0.63422996737979598</v>
      </c>
      <c r="E22" s="453">
        <f>GETPIVOTDATA("dato",'[1]tabla dinámica municipios'!$A$4,"indicador","Pernoctaciones","categoría","Hoteleros","municipio","Puerto de la Cruz","año",2010)</f>
        <v>2079572</v>
      </c>
      <c r="F22" s="454">
        <f>E22/E21</f>
        <v>0.67288871689304752</v>
      </c>
      <c r="G22" s="455">
        <f>(E22-C22)/C22</f>
        <v>-2.428253584857502E-2</v>
      </c>
    </row>
    <row r="23" spans="2:12">
      <c r="B23" s="452" t="s">
        <v>235</v>
      </c>
      <c r="C23" s="456">
        <f>GETPIVOTDATA("dato",'[1]tabla dinámica municipios'!$A$4,"indicador","Pernoctaciones","categoría","Extrahoteleros","municipio","Puerto de la Cruz","año",2009)</f>
        <v>1229168</v>
      </c>
      <c r="D23" s="457">
        <f>C23/C21</f>
        <v>0.36577003262020408</v>
      </c>
      <c r="E23" s="456">
        <f>GETPIVOTDATA("dato",'[1]tabla dinámica municipios'!$A$4,"indicador","Pernoctaciones","categoría","Extrahoteleros","municipio","Puerto de la Cruz","año",2010)</f>
        <v>1010942</v>
      </c>
      <c r="F23" s="457">
        <f>E23/E21</f>
        <v>0.32711128310695242</v>
      </c>
      <c r="G23" s="455">
        <f>(E23-C23)/C23</f>
        <v>-0.17753960402483632</v>
      </c>
    </row>
    <row r="24" spans="2:12" ht="15" customHeight="1">
      <c r="B24" s="434" t="s">
        <v>89</v>
      </c>
      <c r="C24" s="446"/>
      <c r="D24" s="446"/>
      <c r="E24" s="446"/>
      <c r="F24" s="446"/>
      <c r="G24" s="447"/>
    </row>
    <row r="25" spans="2:12">
      <c r="B25" s="452" t="s">
        <v>233</v>
      </c>
      <c r="C25" s="449">
        <f>GETPIVOTDATA("dato",'[1]tabla dinámica municipios'!$A$4,"indicador","Pernoctaciones","categoría","TOTAL","municipio","SANTA CRUZ","año",2009)</f>
        <v>224256</v>
      </c>
      <c r="D25" s="450">
        <f>C25/C25</f>
        <v>1</v>
      </c>
      <c r="E25" s="449">
        <f>GETPIVOTDATA("dato",'[1]tabla dinámica municipios'!$A$4,"indicador","Pernoctaciones","categoría","TOTAL","municipio","SANTA CRUZ","año",2010)</f>
        <v>193668</v>
      </c>
      <c r="F25" s="450">
        <f>E25/E25</f>
        <v>1</v>
      </c>
      <c r="G25" s="450">
        <f>(E25-C25)/C25</f>
        <v>-0.13639768835616439</v>
      </c>
    </row>
    <row r="26" spans="2:12">
      <c r="B26" s="452" t="s">
        <v>234</v>
      </c>
      <c r="C26" s="453">
        <f>GETPIVOTDATA("dato",'[1]tabla dinámica municipios'!$A$4,"indicador","PERNOCTACIONES","categoría","Hoteleros","municipio","SANTA CRUZ","año",2009)</f>
        <v>224256</v>
      </c>
      <c r="D26" s="454">
        <f>C26/C25</f>
        <v>1</v>
      </c>
      <c r="E26" s="453">
        <f>GETPIVOTDATA("dato",'[1]tabla dinámica municipios'!$A$4,"indicador","PERNOCTACIONES","categoría","Hoteleros","municipio","SANTA CRUZ","año",2010)</f>
        <v>193668</v>
      </c>
      <c r="F26" s="454">
        <f>E26/E25</f>
        <v>1</v>
      </c>
      <c r="G26" s="454">
        <f>(E26-C26)/C26</f>
        <v>-0.13639768835616439</v>
      </c>
    </row>
    <row r="27" spans="2:12">
      <c r="B27" s="452" t="s">
        <v>235</v>
      </c>
      <c r="C27" s="456" t="s">
        <v>32</v>
      </c>
      <c r="D27" s="457" t="str">
        <f>IFERROR(C27/C25,"-")</f>
        <v>-</v>
      </c>
      <c r="E27" s="456" t="s">
        <v>32</v>
      </c>
      <c r="F27" s="457" t="str">
        <f>IFERROR(E27/E25,"-")</f>
        <v>-</v>
      </c>
      <c r="G27" s="454" t="str">
        <f>IFERROR((E27-C27)/C27,"-")</f>
        <v>-</v>
      </c>
    </row>
    <row r="28" spans="2:12" ht="15.75" customHeight="1">
      <c r="B28" s="458" t="s">
        <v>33</v>
      </c>
      <c r="C28" s="459"/>
      <c r="D28" s="459"/>
      <c r="E28" s="459"/>
      <c r="F28" s="459"/>
      <c r="G28" s="460"/>
    </row>
    <row r="29" spans="2:12" ht="15" customHeight="1" thickBot="1"/>
    <row r="30" spans="2:12" ht="30" customHeight="1" thickBot="1">
      <c r="B30" s="461"/>
      <c r="C30" s="461"/>
      <c r="D30" s="461"/>
      <c r="E30" s="461"/>
      <c r="F30" s="461"/>
      <c r="G30" s="60" t="s">
        <v>50</v>
      </c>
      <c r="H30" s="461"/>
      <c r="I30" s="461"/>
      <c r="J30" s="461"/>
      <c r="K30" s="461"/>
      <c r="L30" s="461"/>
    </row>
  </sheetData>
  <mergeCells count="2">
    <mergeCell ref="B6:G6"/>
    <mergeCell ref="B28:G28"/>
  </mergeCells>
  <hyperlinks>
    <hyperlink ref="G30" location="'Gráfica pernoct munic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16">
    <tabColor rgb="FF000099"/>
    <pageSetUpPr autoPageBreaks="0" fitToPage="1"/>
  </sheetPr>
  <dimension ref="B27:L31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8.5703125" style="425" customWidth="1"/>
    <col min="2" max="8" width="11.42578125" style="425"/>
    <col min="9" max="9" width="12.85546875" style="425" customWidth="1"/>
    <col min="10" max="33" width="11.42578125" style="425"/>
    <col min="34" max="34" width="13.85546875" style="425" customWidth="1"/>
    <col min="35" max="264" width="11.42578125" style="425"/>
    <col min="265" max="265" width="12.85546875" style="425" customWidth="1"/>
    <col min="266" max="289" width="11.42578125" style="425"/>
    <col min="290" max="290" width="13.85546875" style="425" customWidth="1"/>
    <col min="291" max="520" width="11.42578125" style="425"/>
    <col min="521" max="521" width="12.85546875" style="425" customWidth="1"/>
    <col min="522" max="545" width="11.42578125" style="425"/>
    <col min="546" max="546" width="13.85546875" style="425" customWidth="1"/>
    <col min="547" max="776" width="11.42578125" style="425"/>
    <col min="777" max="777" width="12.85546875" style="425" customWidth="1"/>
    <col min="778" max="801" width="11.42578125" style="425"/>
    <col min="802" max="802" width="13.85546875" style="425" customWidth="1"/>
    <col min="803" max="1032" width="11.42578125" style="425"/>
    <col min="1033" max="1033" width="12.85546875" style="425" customWidth="1"/>
    <col min="1034" max="1057" width="11.42578125" style="425"/>
    <col min="1058" max="1058" width="13.85546875" style="425" customWidth="1"/>
    <col min="1059" max="1288" width="11.42578125" style="425"/>
    <col min="1289" max="1289" width="12.85546875" style="425" customWidth="1"/>
    <col min="1290" max="1313" width="11.42578125" style="425"/>
    <col min="1314" max="1314" width="13.85546875" style="425" customWidth="1"/>
    <col min="1315" max="1544" width="11.42578125" style="425"/>
    <col min="1545" max="1545" width="12.85546875" style="425" customWidth="1"/>
    <col min="1546" max="1569" width="11.42578125" style="425"/>
    <col min="1570" max="1570" width="13.85546875" style="425" customWidth="1"/>
    <col min="1571" max="1800" width="11.42578125" style="425"/>
    <col min="1801" max="1801" width="12.85546875" style="425" customWidth="1"/>
    <col min="1802" max="1825" width="11.42578125" style="425"/>
    <col min="1826" max="1826" width="13.85546875" style="425" customWidth="1"/>
    <col min="1827" max="2056" width="11.42578125" style="425"/>
    <col min="2057" max="2057" width="12.85546875" style="425" customWidth="1"/>
    <col min="2058" max="2081" width="11.42578125" style="425"/>
    <col min="2082" max="2082" width="13.85546875" style="425" customWidth="1"/>
    <col min="2083" max="2312" width="11.42578125" style="425"/>
    <col min="2313" max="2313" width="12.85546875" style="425" customWidth="1"/>
    <col min="2314" max="2337" width="11.42578125" style="425"/>
    <col min="2338" max="2338" width="13.85546875" style="425" customWidth="1"/>
    <col min="2339" max="2568" width="11.42578125" style="425"/>
    <col min="2569" max="2569" width="12.85546875" style="425" customWidth="1"/>
    <col min="2570" max="2593" width="11.42578125" style="425"/>
    <col min="2594" max="2594" width="13.85546875" style="425" customWidth="1"/>
    <col min="2595" max="2824" width="11.42578125" style="425"/>
    <col min="2825" max="2825" width="12.85546875" style="425" customWidth="1"/>
    <col min="2826" max="2849" width="11.42578125" style="425"/>
    <col min="2850" max="2850" width="13.85546875" style="425" customWidth="1"/>
    <col min="2851" max="3080" width="11.42578125" style="425"/>
    <col min="3081" max="3081" width="12.85546875" style="425" customWidth="1"/>
    <col min="3082" max="3105" width="11.42578125" style="425"/>
    <col min="3106" max="3106" width="13.85546875" style="425" customWidth="1"/>
    <col min="3107" max="3336" width="11.42578125" style="425"/>
    <col min="3337" max="3337" width="12.85546875" style="425" customWidth="1"/>
    <col min="3338" max="3361" width="11.42578125" style="425"/>
    <col min="3362" max="3362" width="13.85546875" style="425" customWidth="1"/>
    <col min="3363" max="3592" width="11.42578125" style="425"/>
    <col min="3593" max="3593" width="12.85546875" style="425" customWidth="1"/>
    <col min="3594" max="3617" width="11.42578125" style="425"/>
    <col min="3618" max="3618" width="13.85546875" style="425" customWidth="1"/>
    <col min="3619" max="3848" width="11.42578125" style="425"/>
    <col min="3849" max="3849" width="12.85546875" style="425" customWidth="1"/>
    <col min="3850" max="3873" width="11.42578125" style="425"/>
    <col min="3874" max="3874" width="13.85546875" style="425" customWidth="1"/>
    <col min="3875" max="4104" width="11.42578125" style="425"/>
    <col min="4105" max="4105" width="12.85546875" style="425" customWidth="1"/>
    <col min="4106" max="4129" width="11.42578125" style="425"/>
    <col min="4130" max="4130" width="13.85546875" style="425" customWidth="1"/>
    <col min="4131" max="4360" width="11.42578125" style="425"/>
    <col min="4361" max="4361" width="12.85546875" style="425" customWidth="1"/>
    <col min="4362" max="4385" width="11.42578125" style="425"/>
    <col min="4386" max="4386" width="13.85546875" style="425" customWidth="1"/>
    <col min="4387" max="4616" width="11.42578125" style="425"/>
    <col min="4617" max="4617" width="12.85546875" style="425" customWidth="1"/>
    <col min="4618" max="4641" width="11.42578125" style="425"/>
    <col min="4642" max="4642" width="13.85546875" style="425" customWidth="1"/>
    <col min="4643" max="4872" width="11.42578125" style="425"/>
    <col min="4873" max="4873" width="12.85546875" style="425" customWidth="1"/>
    <col min="4874" max="4897" width="11.42578125" style="425"/>
    <col min="4898" max="4898" width="13.85546875" style="425" customWidth="1"/>
    <col min="4899" max="5128" width="11.42578125" style="425"/>
    <col min="5129" max="5129" width="12.85546875" style="425" customWidth="1"/>
    <col min="5130" max="5153" width="11.42578125" style="425"/>
    <col min="5154" max="5154" width="13.85546875" style="425" customWidth="1"/>
    <col min="5155" max="5384" width="11.42578125" style="425"/>
    <col min="5385" max="5385" width="12.85546875" style="425" customWidth="1"/>
    <col min="5386" max="5409" width="11.42578125" style="425"/>
    <col min="5410" max="5410" width="13.85546875" style="425" customWidth="1"/>
    <col min="5411" max="5640" width="11.42578125" style="425"/>
    <col min="5641" max="5641" width="12.85546875" style="425" customWidth="1"/>
    <col min="5642" max="5665" width="11.42578125" style="425"/>
    <col min="5666" max="5666" width="13.85546875" style="425" customWidth="1"/>
    <col min="5667" max="5896" width="11.42578125" style="425"/>
    <col min="5897" max="5897" width="12.85546875" style="425" customWidth="1"/>
    <col min="5898" max="5921" width="11.42578125" style="425"/>
    <col min="5922" max="5922" width="13.85546875" style="425" customWidth="1"/>
    <col min="5923" max="6152" width="11.42578125" style="425"/>
    <col min="6153" max="6153" width="12.85546875" style="425" customWidth="1"/>
    <col min="6154" max="6177" width="11.42578125" style="425"/>
    <col min="6178" max="6178" width="13.85546875" style="425" customWidth="1"/>
    <col min="6179" max="6408" width="11.42578125" style="425"/>
    <col min="6409" max="6409" width="12.85546875" style="425" customWidth="1"/>
    <col min="6410" max="6433" width="11.42578125" style="425"/>
    <col min="6434" max="6434" width="13.85546875" style="425" customWidth="1"/>
    <col min="6435" max="6664" width="11.42578125" style="425"/>
    <col min="6665" max="6665" width="12.85546875" style="425" customWidth="1"/>
    <col min="6666" max="6689" width="11.42578125" style="425"/>
    <col min="6690" max="6690" width="13.85546875" style="425" customWidth="1"/>
    <col min="6691" max="6920" width="11.42578125" style="425"/>
    <col min="6921" max="6921" width="12.85546875" style="425" customWidth="1"/>
    <col min="6922" max="6945" width="11.42578125" style="425"/>
    <col min="6946" max="6946" width="13.85546875" style="425" customWidth="1"/>
    <col min="6947" max="7176" width="11.42578125" style="425"/>
    <col min="7177" max="7177" width="12.85546875" style="425" customWidth="1"/>
    <col min="7178" max="7201" width="11.42578125" style="425"/>
    <col min="7202" max="7202" width="13.85546875" style="425" customWidth="1"/>
    <col min="7203" max="7432" width="11.42578125" style="425"/>
    <col min="7433" max="7433" width="12.85546875" style="425" customWidth="1"/>
    <col min="7434" max="7457" width="11.42578125" style="425"/>
    <col min="7458" max="7458" width="13.85546875" style="425" customWidth="1"/>
    <col min="7459" max="7688" width="11.42578125" style="425"/>
    <col min="7689" max="7689" width="12.85546875" style="425" customWidth="1"/>
    <col min="7690" max="7713" width="11.42578125" style="425"/>
    <col min="7714" max="7714" width="13.85546875" style="425" customWidth="1"/>
    <col min="7715" max="7944" width="11.42578125" style="425"/>
    <col min="7945" max="7945" width="12.85546875" style="425" customWidth="1"/>
    <col min="7946" max="7969" width="11.42578125" style="425"/>
    <col min="7970" max="7970" width="13.85546875" style="425" customWidth="1"/>
    <col min="7971" max="8200" width="11.42578125" style="425"/>
    <col min="8201" max="8201" width="12.85546875" style="425" customWidth="1"/>
    <col min="8202" max="8225" width="11.42578125" style="425"/>
    <col min="8226" max="8226" width="13.85546875" style="425" customWidth="1"/>
    <col min="8227" max="8456" width="11.42578125" style="425"/>
    <col min="8457" max="8457" width="12.85546875" style="425" customWidth="1"/>
    <col min="8458" max="8481" width="11.42578125" style="425"/>
    <col min="8482" max="8482" width="13.85546875" style="425" customWidth="1"/>
    <col min="8483" max="8712" width="11.42578125" style="425"/>
    <col min="8713" max="8713" width="12.85546875" style="425" customWidth="1"/>
    <col min="8714" max="8737" width="11.42578125" style="425"/>
    <col min="8738" max="8738" width="13.85546875" style="425" customWidth="1"/>
    <col min="8739" max="8968" width="11.42578125" style="425"/>
    <col min="8969" max="8969" width="12.85546875" style="425" customWidth="1"/>
    <col min="8970" max="8993" width="11.42578125" style="425"/>
    <col min="8994" max="8994" width="13.85546875" style="425" customWidth="1"/>
    <col min="8995" max="9224" width="11.42578125" style="425"/>
    <col min="9225" max="9225" width="12.85546875" style="425" customWidth="1"/>
    <col min="9226" max="9249" width="11.42578125" style="425"/>
    <col min="9250" max="9250" width="13.85546875" style="425" customWidth="1"/>
    <col min="9251" max="9480" width="11.42578125" style="425"/>
    <col min="9481" max="9481" width="12.85546875" style="425" customWidth="1"/>
    <col min="9482" max="9505" width="11.42578125" style="425"/>
    <col min="9506" max="9506" width="13.85546875" style="425" customWidth="1"/>
    <col min="9507" max="9736" width="11.42578125" style="425"/>
    <col min="9737" max="9737" width="12.85546875" style="425" customWidth="1"/>
    <col min="9738" max="9761" width="11.42578125" style="425"/>
    <col min="9762" max="9762" width="13.85546875" style="425" customWidth="1"/>
    <col min="9763" max="9992" width="11.42578125" style="425"/>
    <col min="9993" max="9993" width="12.85546875" style="425" customWidth="1"/>
    <col min="9994" max="10017" width="11.42578125" style="425"/>
    <col min="10018" max="10018" width="13.85546875" style="425" customWidth="1"/>
    <col min="10019" max="10248" width="11.42578125" style="425"/>
    <col min="10249" max="10249" width="12.85546875" style="425" customWidth="1"/>
    <col min="10250" max="10273" width="11.42578125" style="425"/>
    <col min="10274" max="10274" width="13.85546875" style="425" customWidth="1"/>
    <col min="10275" max="10504" width="11.42578125" style="425"/>
    <col min="10505" max="10505" width="12.85546875" style="425" customWidth="1"/>
    <col min="10506" max="10529" width="11.42578125" style="425"/>
    <col min="10530" max="10530" width="13.85546875" style="425" customWidth="1"/>
    <col min="10531" max="10760" width="11.42578125" style="425"/>
    <col min="10761" max="10761" width="12.85546875" style="425" customWidth="1"/>
    <col min="10762" max="10785" width="11.42578125" style="425"/>
    <col min="10786" max="10786" width="13.85546875" style="425" customWidth="1"/>
    <col min="10787" max="11016" width="11.42578125" style="425"/>
    <col min="11017" max="11017" width="12.85546875" style="425" customWidth="1"/>
    <col min="11018" max="11041" width="11.42578125" style="425"/>
    <col min="11042" max="11042" width="13.85546875" style="425" customWidth="1"/>
    <col min="11043" max="11272" width="11.42578125" style="425"/>
    <col min="11273" max="11273" width="12.85546875" style="425" customWidth="1"/>
    <col min="11274" max="11297" width="11.42578125" style="425"/>
    <col min="11298" max="11298" width="13.85546875" style="425" customWidth="1"/>
    <col min="11299" max="11528" width="11.42578125" style="425"/>
    <col min="11529" max="11529" width="12.85546875" style="425" customWidth="1"/>
    <col min="11530" max="11553" width="11.42578125" style="425"/>
    <col min="11554" max="11554" width="13.85546875" style="425" customWidth="1"/>
    <col min="11555" max="11784" width="11.42578125" style="425"/>
    <col min="11785" max="11785" width="12.85546875" style="425" customWidth="1"/>
    <col min="11786" max="11809" width="11.42578125" style="425"/>
    <col min="11810" max="11810" width="13.85546875" style="425" customWidth="1"/>
    <col min="11811" max="12040" width="11.42578125" style="425"/>
    <col min="12041" max="12041" width="12.85546875" style="425" customWidth="1"/>
    <col min="12042" max="12065" width="11.42578125" style="425"/>
    <col min="12066" max="12066" width="13.85546875" style="425" customWidth="1"/>
    <col min="12067" max="12296" width="11.42578125" style="425"/>
    <col min="12297" max="12297" width="12.85546875" style="425" customWidth="1"/>
    <col min="12298" max="12321" width="11.42578125" style="425"/>
    <col min="12322" max="12322" width="13.85546875" style="425" customWidth="1"/>
    <col min="12323" max="12552" width="11.42578125" style="425"/>
    <col min="12553" max="12553" width="12.85546875" style="425" customWidth="1"/>
    <col min="12554" max="12577" width="11.42578125" style="425"/>
    <col min="12578" max="12578" width="13.85546875" style="425" customWidth="1"/>
    <col min="12579" max="12808" width="11.42578125" style="425"/>
    <col min="12809" max="12809" width="12.85546875" style="425" customWidth="1"/>
    <col min="12810" max="12833" width="11.42578125" style="425"/>
    <col min="12834" max="12834" width="13.85546875" style="425" customWidth="1"/>
    <col min="12835" max="13064" width="11.42578125" style="425"/>
    <col min="13065" max="13065" width="12.85546875" style="425" customWidth="1"/>
    <col min="13066" max="13089" width="11.42578125" style="425"/>
    <col min="13090" max="13090" width="13.85546875" style="425" customWidth="1"/>
    <col min="13091" max="13320" width="11.42578125" style="425"/>
    <col min="13321" max="13321" width="12.85546875" style="425" customWidth="1"/>
    <col min="13322" max="13345" width="11.42578125" style="425"/>
    <col min="13346" max="13346" width="13.85546875" style="425" customWidth="1"/>
    <col min="13347" max="13576" width="11.42578125" style="425"/>
    <col min="13577" max="13577" width="12.85546875" style="425" customWidth="1"/>
    <col min="13578" max="13601" width="11.42578125" style="425"/>
    <col min="13602" max="13602" width="13.85546875" style="425" customWidth="1"/>
    <col min="13603" max="13832" width="11.42578125" style="425"/>
    <col min="13833" max="13833" width="12.85546875" style="425" customWidth="1"/>
    <col min="13834" max="13857" width="11.42578125" style="425"/>
    <col min="13858" max="13858" width="13.85546875" style="425" customWidth="1"/>
    <col min="13859" max="14088" width="11.42578125" style="425"/>
    <col min="14089" max="14089" width="12.85546875" style="425" customWidth="1"/>
    <col min="14090" max="14113" width="11.42578125" style="425"/>
    <col min="14114" max="14114" width="13.85546875" style="425" customWidth="1"/>
    <col min="14115" max="14344" width="11.42578125" style="425"/>
    <col min="14345" max="14345" width="12.85546875" style="425" customWidth="1"/>
    <col min="14346" max="14369" width="11.42578125" style="425"/>
    <col min="14370" max="14370" width="13.85546875" style="425" customWidth="1"/>
    <col min="14371" max="14600" width="11.42578125" style="425"/>
    <col min="14601" max="14601" width="12.85546875" style="425" customWidth="1"/>
    <col min="14602" max="14625" width="11.42578125" style="425"/>
    <col min="14626" max="14626" width="13.85546875" style="425" customWidth="1"/>
    <col min="14627" max="14856" width="11.42578125" style="425"/>
    <col min="14857" max="14857" width="12.85546875" style="425" customWidth="1"/>
    <col min="14858" max="14881" width="11.42578125" style="425"/>
    <col min="14882" max="14882" width="13.85546875" style="425" customWidth="1"/>
    <col min="14883" max="15112" width="11.42578125" style="425"/>
    <col min="15113" max="15113" width="12.85546875" style="425" customWidth="1"/>
    <col min="15114" max="15137" width="11.42578125" style="425"/>
    <col min="15138" max="15138" width="13.85546875" style="425" customWidth="1"/>
    <col min="15139" max="15368" width="11.42578125" style="425"/>
    <col min="15369" max="15369" width="12.85546875" style="425" customWidth="1"/>
    <col min="15370" max="15393" width="11.42578125" style="425"/>
    <col min="15394" max="15394" width="13.85546875" style="425" customWidth="1"/>
    <col min="15395" max="15624" width="11.42578125" style="425"/>
    <col min="15625" max="15625" width="12.85546875" style="425" customWidth="1"/>
    <col min="15626" max="15649" width="11.42578125" style="425"/>
    <col min="15650" max="15650" width="13.85546875" style="425" customWidth="1"/>
    <col min="15651" max="15880" width="11.42578125" style="425"/>
    <col min="15881" max="15881" width="12.85546875" style="425" customWidth="1"/>
    <col min="15882" max="15905" width="11.42578125" style="425"/>
    <col min="15906" max="15906" width="13.85546875" style="425" customWidth="1"/>
    <col min="15907" max="16136" width="11.42578125" style="425"/>
    <col min="16137" max="16137" width="12.85546875" style="425" customWidth="1"/>
    <col min="16138" max="16161" width="11.42578125" style="425"/>
    <col min="16162" max="16162" width="13.85546875" style="425" customWidth="1"/>
    <col min="16163" max="16384" width="11.42578125" style="425"/>
  </cols>
  <sheetData>
    <row r="27" spans="2:12" ht="12.75" customHeight="1"/>
    <row r="28" spans="2:12">
      <c r="B28" s="461"/>
      <c r="C28" s="461"/>
      <c r="D28" s="461"/>
      <c r="E28" s="461"/>
      <c r="F28" s="461"/>
      <c r="G28" s="461"/>
      <c r="H28" s="461"/>
      <c r="I28" s="461"/>
      <c r="J28" s="461"/>
      <c r="K28" s="461"/>
      <c r="L28" s="461"/>
    </row>
    <row r="29" spans="2:12" ht="24.95" customHeight="1">
      <c r="B29" s="461"/>
      <c r="C29" s="461"/>
      <c r="D29" s="461"/>
      <c r="E29" s="461"/>
      <c r="F29" s="461"/>
      <c r="G29" s="461"/>
      <c r="H29" s="461"/>
      <c r="I29" s="461"/>
      <c r="J29" s="461"/>
      <c r="K29" s="461"/>
    </row>
    <row r="30" spans="2:12" ht="15" customHeight="1" thickBot="1"/>
    <row r="31" spans="2:12" ht="30" customHeight="1" thickBot="1">
      <c r="I31" s="60" t="s">
        <v>52</v>
      </c>
    </row>
  </sheetData>
  <hyperlinks>
    <hyperlink ref="I31" location="'Pernoctaciones munic y tipologí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26">
    <tabColor rgb="FF000099"/>
    <pageSetUpPr autoPageBreaks="0" fitToPage="1"/>
  </sheetPr>
  <dimension ref="B1:P33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1.42578125" style="425"/>
    <col min="2" max="2" width="28.85546875" style="425" customWidth="1"/>
    <col min="3" max="3" width="12.7109375" style="425" customWidth="1"/>
    <col min="4" max="4" width="10.7109375" style="425" customWidth="1"/>
    <col min="5" max="5" width="12.7109375" style="425" customWidth="1"/>
    <col min="6" max="7" width="10.7109375" style="425" customWidth="1"/>
    <col min="8" max="8" width="11.42578125" style="425"/>
    <col min="9" max="9" width="28.7109375" style="425" customWidth="1"/>
    <col min="10" max="14" width="11.42578125" style="425"/>
    <col min="15" max="15" width="13.28515625" style="425" customWidth="1"/>
    <col min="16" max="257" width="11.42578125" style="425"/>
    <col min="258" max="258" width="36.7109375" style="425" customWidth="1"/>
    <col min="259" max="259" width="12.7109375" style="425" customWidth="1"/>
    <col min="260" max="260" width="10.7109375" style="425" customWidth="1"/>
    <col min="261" max="261" width="12.7109375" style="425" customWidth="1"/>
    <col min="262" max="263" width="10.7109375" style="425" customWidth="1"/>
    <col min="264" max="270" width="11.42578125" style="425"/>
    <col min="271" max="271" width="13.28515625" style="425" customWidth="1"/>
    <col min="272" max="513" width="11.42578125" style="425"/>
    <col min="514" max="514" width="36.7109375" style="425" customWidth="1"/>
    <col min="515" max="515" width="12.7109375" style="425" customWidth="1"/>
    <col min="516" max="516" width="10.7109375" style="425" customWidth="1"/>
    <col min="517" max="517" width="12.7109375" style="425" customWidth="1"/>
    <col min="518" max="519" width="10.7109375" style="425" customWidth="1"/>
    <col min="520" max="526" width="11.42578125" style="425"/>
    <col min="527" max="527" width="13.28515625" style="425" customWidth="1"/>
    <col min="528" max="769" width="11.42578125" style="425"/>
    <col min="770" max="770" width="36.7109375" style="425" customWidth="1"/>
    <col min="771" max="771" width="12.7109375" style="425" customWidth="1"/>
    <col min="772" max="772" width="10.7109375" style="425" customWidth="1"/>
    <col min="773" max="773" width="12.7109375" style="425" customWidth="1"/>
    <col min="774" max="775" width="10.7109375" style="425" customWidth="1"/>
    <col min="776" max="782" width="11.42578125" style="425"/>
    <col min="783" max="783" width="13.28515625" style="425" customWidth="1"/>
    <col min="784" max="1025" width="11.42578125" style="425"/>
    <col min="1026" max="1026" width="36.7109375" style="425" customWidth="1"/>
    <col min="1027" max="1027" width="12.7109375" style="425" customWidth="1"/>
    <col min="1028" max="1028" width="10.7109375" style="425" customWidth="1"/>
    <col min="1029" max="1029" width="12.7109375" style="425" customWidth="1"/>
    <col min="1030" max="1031" width="10.7109375" style="425" customWidth="1"/>
    <col min="1032" max="1038" width="11.42578125" style="425"/>
    <col min="1039" max="1039" width="13.28515625" style="425" customWidth="1"/>
    <col min="1040" max="1281" width="11.42578125" style="425"/>
    <col min="1282" max="1282" width="36.7109375" style="425" customWidth="1"/>
    <col min="1283" max="1283" width="12.7109375" style="425" customWidth="1"/>
    <col min="1284" max="1284" width="10.7109375" style="425" customWidth="1"/>
    <col min="1285" max="1285" width="12.7109375" style="425" customWidth="1"/>
    <col min="1286" max="1287" width="10.7109375" style="425" customWidth="1"/>
    <col min="1288" max="1294" width="11.42578125" style="425"/>
    <col min="1295" max="1295" width="13.28515625" style="425" customWidth="1"/>
    <col min="1296" max="1537" width="11.42578125" style="425"/>
    <col min="1538" max="1538" width="36.7109375" style="425" customWidth="1"/>
    <col min="1539" max="1539" width="12.7109375" style="425" customWidth="1"/>
    <col min="1540" max="1540" width="10.7109375" style="425" customWidth="1"/>
    <col min="1541" max="1541" width="12.7109375" style="425" customWidth="1"/>
    <col min="1542" max="1543" width="10.7109375" style="425" customWidth="1"/>
    <col min="1544" max="1550" width="11.42578125" style="425"/>
    <col min="1551" max="1551" width="13.28515625" style="425" customWidth="1"/>
    <col min="1552" max="1793" width="11.42578125" style="425"/>
    <col min="1794" max="1794" width="36.7109375" style="425" customWidth="1"/>
    <col min="1795" max="1795" width="12.7109375" style="425" customWidth="1"/>
    <col min="1796" max="1796" width="10.7109375" style="425" customWidth="1"/>
    <col min="1797" max="1797" width="12.7109375" style="425" customWidth="1"/>
    <col min="1798" max="1799" width="10.7109375" style="425" customWidth="1"/>
    <col min="1800" max="1806" width="11.42578125" style="425"/>
    <col min="1807" max="1807" width="13.28515625" style="425" customWidth="1"/>
    <col min="1808" max="2049" width="11.42578125" style="425"/>
    <col min="2050" max="2050" width="36.7109375" style="425" customWidth="1"/>
    <col min="2051" max="2051" width="12.7109375" style="425" customWidth="1"/>
    <col min="2052" max="2052" width="10.7109375" style="425" customWidth="1"/>
    <col min="2053" max="2053" width="12.7109375" style="425" customWidth="1"/>
    <col min="2054" max="2055" width="10.7109375" style="425" customWidth="1"/>
    <col min="2056" max="2062" width="11.42578125" style="425"/>
    <col min="2063" max="2063" width="13.28515625" style="425" customWidth="1"/>
    <col min="2064" max="2305" width="11.42578125" style="425"/>
    <col min="2306" max="2306" width="36.7109375" style="425" customWidth="1"/>
    <col min="2307" max="2307" width="12.7109375" style="425" customWidth="1"/>
    <col min="2308" max="2308" width="10.7109375" style="425" customWidth="1"/>
    <col min="2309" max="2309" width="12.7109375" style="425" customWidth="1"/>
    <col min="2310" max="2311" width="10.7109375" style="425" customWidth="1"/>
    <col min="2312" max="2318" width="11.42578125" style="425"/>
    <col min="2319" max="2319" width="13.28515625" style="425" customWidth="1"/>
    <col min="2320" max="2561" width="11.42578125" style="425"/>
    <col min="2562" max="2562" width="36.7109375" style="425" customWidth="1"/>
    <col min="2563" max="2563" width="12.7109375" style="425" customWidth="1"/>
    <col min="2564" max="2564" width="10.7109375" style="425" customWidth="1"/>
    <col min="2565" max="2565" width="12.7109375" style="425" customWidth="1"/>
    <col min="2566" max="2567" width="10.7109375" style="425" customWidth="1"/>
    <col min="2568" max="2574" width="11.42578125" style="425"/>
    <col min="2575" max="2575" width="13.28515625" style="425" customWidth="1"/>
    <col min="2576" max="2817" width="11.42578125" style="425"/>
    <col min="2818" max="2818" width="36.7109375" style="425" customWidth="1"/>
    <col min="2819" max="2819" width="12.7109375" style="425" customWidth="1"/>
    <col min="2820" max="2820" width="10.7109375" style="425" customWidth="1"/>
    <col min="2821" max="2821" width="12.7109375" style="425" customWidth="1"/>
    <col min="2822" max="2823" width="10.7109375" style="425" customWidth="1"/>
    <col min="2824" max="2830" width="11.42578125" style="425"/>
    <col min="2831" max="2831" width="13.28515625" style="425" customWidth="1"/>
    <col min="2832" max="3073" width="11.42578125" style="425"/>
    <col min="3074" max="3074" width="36.7109375" style="425" customWidth="1"/>
    <col min="3075" max="3075" width="12.7109375" style="425" customWidth="1"/>
    <col min="3076" max="3076" width="10.7109375" style="425" customWidth="1"/>
    <col min="3077" max="3077" width="12.7109375" style="425" customWidth="1"/>
    <col min="3078" max="3079" width="10.7109375" style="425" customWidth="1"/>
    <col min="3080" max="3086" width="11.42578125" style="425"/>
    <col min="3087" max="3087" width="13.28515625" style="425" customWidth="1"/>
    <col min="3088" max="3329" width="11.42578125" style="425"/>
    <col min="3330" max="3330" width="36.7109375" style="425" customWidth="1"/>
    <col min="3331" max="3331" width="12.7109375" style="425" customWidth="1"/>
    <col min="3332" max="3332" width="10.7109375" style="425" customWidth="1"/>
    <col min="3333" max="3333" width="12.7109375" style="425" customWidth="1"/>
    <col min="3334" max="3335" width="10.7109375" style="425" customWidth="1"/>
    <col min="3336" max="3342" width="11.42578125" style="425"/>
    <col min="3343" max="3343" width="13.28515625" style="425" customWidth="1"/>
    <col min="3344" max="3585" width="11.42578125" style="425"/>
    <col min="3586" max="3586" width="36.7109375" style="425" customWidth="1"/>
    <col min="3587" max="3587" width="12.7109375" style="425" customWidth="1"/>
    <col min="3588" max="3588" width="10.7109375" style="425" customWidth="1"/>
    <col min="3589" max="3589" width="12.7109375" style="425" customWidth="1"/>
    <col min="3590" max="3591" width="10.7109375" style="425" customWidth="1"/>
    <col min="3592" max="3598" width="11.42578125" style="425"/>
    <col min="3599" max="3599" width="13.28515625" style="425" customWidth="1"/>
    <col min="3600" max="3841" width="11.42578125" style="425"/>
    <col min="3842" max="3842" width="36.7109375" style="425" customWidth="1"/>
    <col min="3843" max="3843" width="12.7109375" style="425" customWidth="1"/>
    <col min="3844" max="3844" width="10.7109375" style="425" customWidth="1"/>
    <col min="3845" max="3845" width="12.7109375" style="425" customWidth="1"/>
    <col min="3846" max="3847" width="10.7109375" style="425" customWidth="1"/>
    <col min="3848" max="3854" width="11.42578125" style="425"/>
    <col min="3855" max="3855" width="13.28515625" style="425" customWidth="1"/>
    <col min="3856" max="4097" width="11.42578125" style="425"/>
    <col min="4098" max="4098" width="36.7109375" style="425" customWidth="1"/>
    <col min="4099" max="4099" width="12.7109375" style="425" customWidth="1"/>
    <col min="4100" max="4100" width="10.7109375" style="425" customWidth="1"/>
    <col min="4101" max="4101" width="12.7109375" style="425" customWidth="1"/>
    <col min="4102" max="4103" width="10.7109375" style="425" customWidth="1"/>
    <col min="4104" max="4110" width="11.42578125" style="425"/>
    <col min="4111" max="4111" width="13.28515625" style="425" customWidth="1"/>
    <col min="4112" max="4353" width="11.42578125" style="425"/>
    <col min="4354" max="4354" width="36.7109375" style="425" customWidth="1"/>
    <col min="4355" max="4355" width="12.7109375" style="425" customWidth="1"/>
    <col min="4356" max="4356" width="10.7109375" style="425" customWidth="1"/>
    <col min="4357" max="4357" width="12.7109375" style="425" customWidth="1"/>
    <col min="4358" max="4359" width="10.7109375" style="425" customWidth="1"/>
    <col min="4360" max="4366" width="11.42578125" style="425"/>
    <col min="4367" max="4367" width="13.28515625" style="425" customWidth="1"/>
    <col min="4368" max="4609" width="11.42578125" style="425"/>
    <col min="4610" max="4610" width="36.7109375" style="425" customWidth="1"/>
    <col min="4611" max="4611" width="12.7109375" style="425" customWidth="1"/>
    <col min="4612" max="4612" width="10.7109375" style="425" customWidth="1"/>
    <col min="4613" max="4613" width="12.7109375" style="425" customWidth="1"/>
    <col min="4614" max="4615" width="10.7109375" style="425" customWidth="1"/>
    <col min="4616" max="4622" width="11.42578125" style="425"/>
    <col min="4623" max="4623" width="13.28515625" style="425" customWidth="1"/>
    <col min="4624" max="4865" width="11.42578125" style="425"/>
    <col min="4866" max="4866" width="36.7109375" style="425" customWidth="1"/>
    <col min="4867" max="4867" width="12.7109375" style="425" customWidth="1"/>
    <col min="4868" max="4868" width="10.7109375" style="425" customWidth="1"/>
    <col min="4869" max="4869" width="12.7109375" style="425" customWidth="1"/>
    <col min="4870" max="4871" width="10.7109375" style="425" customWidth="1"/>
    <col min="4872" max="4878" width="11.42578125" style="425"/>
    <col min="4879" max="4879" width="13.28515625" style="425" customWidth="1"/>
    <col min="4880" max="5121" width="11.42578125" style="425"/>
    <col min="5122" max="5122" width="36.7109375" style="425" customWidth="1"/>
    <col min="5123" max="5123" width="12.7109375" style="425" customWidth="1"/>
    <col min="5124" max="5124" width="10.7109375" style="425" customWidth="1"/>
    <col min="5125" max="5125" width="12.7109375" style="425" customWidth="1"/>
    <col min="5126" max="5127" width="10.7109375" style="425" customWidth="1"/>
    <col min="5128" max="5134" width="11.42578125" style="425"/>
    <col min="5135" max="5135" width="13.28515625" style="425" customWidth="1"/>
    <col min="5136" max="5377" width="11.42578125" style="425"/>
    <col min="5378" max="5378" width="36.7109375" style="425" customWidth="1"/>
    <col min="5379" max="5379" width="12.7109375" style="425" customWidth="1"/>
    <col min="5380" max="5380" width="10.7109375" style="425" customWidth="1"/>
    <col min="5381" max="5381" width="12.7109375" style="425" customWidth="1"/>
    <col min="5382" max="5383" width="10.7109375" style="425" customWidth="1"/>
    <col min="5384" max="5390" width="11.42578125" style="425"/>
    <col min="5391" max="5391" width="13.28515625" style="425" customWidth="1"/>
    <col min="5392" max="5633" width="11.42578125" style="425"/>
    <col min="5634" max="5634" width="36.7109375" style="425" customWidth="1"/>
    <col min="5635" max="5635" width="12.7109375" style="425" customWidth="1"/>
    <col min="5636" max="5636" width="10.7109375" style="425" customWidth="1"/>
    <col min="5637" max="5637" width="12.7109375" style="425" customWidth="1"/>
    <col min="5638" max="5639" width="10.7109375" style="425" customWidth="1"/>
    <col min="5640" max="5646" width="11.42578125" style="425"/>
    <col min="5647" max="5647" width="13.28515625" style="425" customWidth="1"/>
    <col min="5648" max="5889" width="11.42578125" style="425"/>
    <col min="5890" max="5890" width="36.7109375" style="425" customWidth="1"/>
    <col min="5891" max="5891" width="12.7109375" style="425" customWidth="1"/>
    <col min="5892" max="5892" width="10.7109375" style="425" customWidth="1"/>
    <col min="5893" max="5893" width="12.7109375" style="425" customWidth="1"/>
    <col min="5894" max="5895" width="10.7109375" style="425" customWidth="1"/>
    <col min="5896" max="5902" width="11.42578125" style="425"/>
    <col min="5903" max="5903" width="13.28515625" style="425" customWidth="1"/>
    <col min="5904" max="6145" width="11.42578125" style="425"/>
    <col min="6146" max="6146" width="36.7109375" style="425" customWidth="1"/>
    <col min="6147" max="6147" width="12.7109375" style="425" customWidth="1"/>
    <col min="6148" max="6148" width="10.7109375" style="425" customWidth="1"/>
    <col min="6149" max="6149" width="12.7109375" style="425" customWidth="1"/>
    <col min="6150" max="6151" width="10.7109375" style="425" customWidth="1"/>
    <col min="6152" max="6158" width="11.42578125" style="425"/>
    <col min="6159" max="6159" width="13.28515625" style="425" customWidth="1"/>
    <col min="6160" max="6401" width="11.42578125" style="425"/>
    <col min="6402" max="6402" width="36.7109375" style="425" customWidth="1"/>
    <col min="6403" max="6403" width="12.7109375" style="425" customWidth="1"/>
    <col min="6404" max="6404" width="10.7109375" style="425" customWidth="1"/>
    <col min="6405" max="6405" width="12.7109375" style="425" customWidth="1"/>
    <col min="6406" max="6407" width="10.7109375" style="425" customWidth="1"/>
    <col min="6408" max="6414" width="11.42578125" style="425"/>
    <col min="6415" max="6415" width="13.28515625" style="425" customWidth="1"/>
    <col min="6416" max="6657" width="11.42578125" style="425"/>
    <col min="6658" max="6658" width="36.7109375" style="425" customWidth="1"/>
    <col min="6659" max="6659" width="12.7109375" style="425" customWidth="1"/>
    <col min="6660" max="6660" width="10.7109375" style="425" customWidth="1"/>
    <col min="6661" max="6661" width="12.7109375" style="425" customWidth="1"/>
    <col min="6662" max="6663" width="10.7109375" style="425" customWidth="1"/>
    <col min="6664" max="6670" width="11.42578125" style="425"/>
    <col min="6671" max="6671" width="13.28515625" style="425" customWidth="1"/>
    <col min="6672" max="6913" width="11.42578125" style="425"/>
    <col min="6914" max="6914" width="36.7109375" style="425" customWidth="1"/>
    <col min="6915" max="6915" width="12.7109375" style="425" customWidth="1"/>
    <col min="6916" max="6916" width="10.7109375" style="425" customWidth="1"/>
    <col min="6917" max="6917" width="12.7109375" style="425" customWidth="1"/>
    <col min="6918" max="6919" width="10.7109375" style="425" customWidth="1"/>
    <col min="6920" max="6926" width="11.42578125" style="425"/>
    <col min="6927" max="6927" width="13.28515625" style="425" customWidth="1"/>
    <col min="6928" max="7169" width="11.42578125" style="425"/>
    <col min="7170" max="7170" width="36.7109375" style="425" customWidth="1"/>
    <col min="7171" max="7171" width="12.7109375" style="425" customWidth="1"/>
    <col min="7172" max="7172" width="10.7109375" style="425" customWidth="1"/>
    <col min="7173" max="7173" width="12.7109375" style="425" customWidth="1"/>
    <col min="7174" max="7175" width="10.7109375" style="425" customWidth="1"/>
    <col min="7176" max="7182" width="11.42578125" style="425"/>
    <col min="7183" max="7183" width="13.28515625" style="425" customWidth="1"/>
    <col min="7184" max="7425" width="11.42578125" style="425"/>
    <col min="7426" max="7426" width="36.7109375" style="425" customWidth="1"/>
    <col min="7427" max="7427" width="12.7109375" style="425" customWidth="1"/>
    <col min="7428" max="7428" width="10.7109375" style="425" customWidth="1"/>
    <col min="7429" max="7429" width="12.7109375" style="425" customWidth="1"/>
    <col min="7430" max="7431" width="10.7109375" style="425" customWidth="1"/>
    <col min="7432" max="7438" width="11.42578125" style="425"/>
    <col min="7439" max="7439" width="13.28515625" style="425" customWidth="1"/>
    <col min="7440" max="7681" width="11.42578125" style="425"/>
    <col min="7682" max="7682" width="36.7109375" style="425" customWidth="1"/>
    <col min="7683" max="7683" width="12.7109375" style="425" customWidth="1"/>
    <col min="7684" max="7684" width="10.7109375" style="425" customWidth="1"/>
    <col min="7685" max="7685" width="12.7109375" style="425" customWidth="1"/>
    <col min="7686" max="7687" width="10.7109375" style="425" customWidth="1"/>
    <col min="7688" max="7694" width="11.42578125" style="425"/>
    <col min="7695" max="7695" width="13.28515625" style="425" customWidth="1"/>
    <col min="7696" max="7937" width="11.42578125" style="425"/>
    <col min="7938" max="7938" width="36.7109375" style="425" customWidth="1"/>
    <col min="7939" max="7939" width="12.7109375" style="425" customWidth="1"/>
    <col min="7940" max="7940" width="10.7109375" style="425" customWidth="1"/>
    <col min="7941" max="7941" width="12.7109375" style="425" customWidth="1"/>
    <col min="7942" max="7943" width="10.7109375" style="425" customWidth="1"/>
    <col min="7944" max="7950" width="11.42578125" style="425"/>
    <col min="7951" max="7951" width="13.28515625" style="425" customWidth="1"/>
    <col min="7952" max="8193" width="11.42578125" style="425"/>
    <col min="8194" max="8194" width="36.7109375" style="425" customWidth="1"/>
    <col min="8195" max="8195" width="12.7109375" style="425" customWidth="1"/>
    <col min="8196" max="8196" width="10.7109375" style="425" customWidth="1"/>
    <col min="8197" max="8197" width="12.7109375" style="425" customWidth="1"/>
    <col min="8198" max="8199" width="10.7109375" style="425" customWidth="1"/>
    <col min="8200" max="8206" width="11.42578125" style="425"/>
    <col min="8207" max="8207" width="13.28515625" style="425" customWidth="1"/>
    <col min="8208" max="8449" width="11.42578125" style="425"/>
    <col min="8450" max="8450" width="36.7109375" style="425" customWidth="1"/>
    <col min="8451" max="8451" width="12.7109375" style="425" customWidth="1"/>
    <col min="8452" max="8452" width="10.7109375" style="425" customWidth="1"/>
    <col min="8453" max="8453" width="12.7109375" style="425" customWidth="1"/>
    <col min="8454" max="8455" width="10.7109375" style="425" customWidth="1"/>
    <col min="8456" max="8462" width="11.42578125" style="425"/>
    <col min="8463" max="8463" width="13.28515625" style="425" customWidth="1"/>
    <col min="8464" max="8705" width="11.42578125" style="425"/>
    <col min="8706" max="8706" width="36.7109375" style="425" customWidth="1"/>
    <col min="8707" max="8707" width="12.7109375" style="425" customWidth="1"/>
    <col min="8708" max="8708" width="10.7109375" style="425" customWidth="1"/>
    <col min="8709" max="8709" width="12.7109375" style="425" customWidth="1"/>
    <col min="8710" max="8711" width="10.7109375" style="425" customWidth="1"/>
    <col min="8712" max="8718" width="11.42578125" style="425"/>
    <col min="8719" max="8719" width="13.28515625" style="425" customWidth="1"/>
    <col min="8720" max="8961" width="11.42578125" style="425"/>
    <col min="8962" max="8962" width="36.7109375" style="425" customWidth="1"/>
    <col min="8963" max="8963" width="12.7109375" style="425" customWidth="1"/>
    <col min="8964" max="8964" width="10.7109375" style="425" customWidth="1"/>
    <col min="8965" max="8965" width="12.7109375" style="425" customWidth="1"/>
    <col min="8966" max="8967" width="10.7109375" style="425" customWidth="1"/>
    <col min="8968" max="8974" width="11.42578125" style="425"/>
    <col min="8975" max="8975" width="13.28515625" style="425" customWidth="1"/>
    <col min="8976" max="9217" width="11.42578125" style="425"/>
    <col min="9218" max="9218" width="36.7109375" style="425" customWidth="1"/>
    <col min="9219" max="9219" width="12.7109375" style="425" customWidth="1"/>
    <col min="9220" max="9220" width="10.7109375" style="425" customWidth="1"/>
    <col min="9221" max="9221" width="12.7109375" style="425" customWidth="1"/>
    <col min="9222" max="9223" width="10.7109375" style="425" customWidth="1"/>
    <col min="9224" max="9230" width="11.42578125" style="425"/>
    <col min="9231" max="9231" width="13.28515625" style="425" customWidth="1"/>
    <col min="9232" max="9473" width="11.42578125" style="425"/>
    <col min="9474" max="9474" width="36.7109375" style="425" customWidth="1"/>
    <col min="9475" max="9475" width="12.7109375" style="425" customWidth="1"/>
    <col min="9476" max="9476" width="10.7109375" style="425" customWidth="1"/>
    <col min="9477" max="9477" width="12.7109375" style="425" customWidth="1"/>
    <col min="9478" max="9479" width="10.7109375" style="425" customWidth="1"/>
    <col min="9480" max="9486" width="11.42578125" style="425"/>
    <col min="9487" max="9487" width="13.28515625" style="425" customWidth="1"/>
    <col min="9488" max="9729" width="11.42578125" style="425"/>
    <col min="9730" max="9730" width="36.7109375" style="425" customWidth="1"/>
    <col min="9731" max="9731" width="12.7109375" style="425" customWidth="1"/>
    <col min="9732" max="9732" width="10.7109375" style="425" customWidth="1"/>
    <col min="9733" max="9733" width="12.7109375" style="425" customWidth="1"/>
    <col min="9734" max="9735" width="10.7109375" style="425" customWidth="1"/>
    <col min="9736" max="9742" width="11.42578125" style="425"/>
    <col min="9743" max="9743" width="13.28515625" style="425" customWidth="1"/>
    <col min="9744" max="9985" width="11.42578125" style="425"/>
    <col min="9986" max="9986" width="36.7109375" style="425" customWidth="1"/>
    <col min="9987" max="9987" width="12.7109375" style="425" customWidth="1"/>
    <col min="9988" max="9988" width="10.7109375" style="425" customWidth="1"/>
    <col min="9989" max="9989" width="12.7109375" style="425" customWidth="1"/>
    <col min="9990" max="9991" width="10.7109375" style="425" customWidth="1"/>
    <col min="9992" max="9998" width="11.42578125" style="425"/>
    <col min="9999" max="9999" width="13.28515625" style="425" customWidth="1"/>
    <col min="10000" max="10241" width="11.42578125" style="425"/>
    <col min="10242" max="10242" width="36.7109375" style="425" customWidth="1"/>
    <col min="10243" max="10243" width="12.7109375" style="425" customWidth="1"/>
    <col min="10244" max="10244" width="10.7109375" style="425" customWidth="1"/>
    <col min="10245" max="10245" width="12.7109375" style="425" customWidth="1"/>
    <col min="10246" max="10247" width="10.7109375" style="425" customWidth="1"/>
    <col min="10248" max="10254" width="11.42578125" style="425"/>
    <col min="10255" max="10255" width="13.28515625" style="425" customWidth="1"/>
    <col min="10256" max="10497" width="11.42578125" style="425"/>
    <col min="10498" max="10498" width="36.7109375" style="425" customWidth="1"/>
    <col min="10499" max="10499" width="12.7109375" style="425" customWidth="1"/>
    <col min="10500" max="10500" width="10.7109375" style="425" customWidth="1"/>
    <col min="10501" max="10501" width="12.7109375" style="425" customWidth="1"/>
    <col min="10502" max="10503" width="10.7109375" style="425" customWidth="1"/>
    <col min="10504" max="10510" width="11.42578125" style="425"/>
    <col min="10511" max="10511" width="13.28515625" style="425" customWidth="1"/>
    <col min="10512" max="10753" width="11.42578125" style="425"/>
    <col min="10754" max="10754" width="36.7109375" style="425" customWidth="1"/>
    <col min="10755" max="10755" width="12.7109375" style="425" customWidth="1"/>
    <col min="10756" max="10756" width="10.7109375" style="425" customWidth="1"/>
    <col min="10757" max="10757" width="12.7109375" style="425" customWidth="1"/>
    <col min="10758" max="10759" width="10.7109375" style="425" customWidth="1"/>
    <col min="10760" max="10766" width="11.42578125" style="425"/>
    <col min="10767" max="10767" width="13.28515625" style="425" customWidth="1"/>
    <col min="10768" max="11009" width="11.42578125" style="425"/>
    <col min="11010" max="11010" width="36.7109375" style="425" customWidth="1"/>
    <col min="11011" max="11011" width="12.7109375" style="425" customWidth="1"/>
    <col min="11012" max="11012" width="10.7109375" style="425" customWidth="1"/>
    <col min="11013" max="11013" width="12.7109375" style="425" customWidth="1"/>
    <col min="11014" max="11015" width="10.7109375" style="425" customWidth="1"/>
    <col min="11016" max="11022" width="11.42578125" style="425"/>
    <col min="11023" max="11023" width="13.28515625" style="425" customWidth="1"/>
    <col min="11024" max="11265" width="11.42578125" style="425"/>
    <col min="11266" max="11266" width="36.7109375" style="425" customWidth="1"/>
    <col min="11267" max="11267" width="12.7109375" style="425" customWidth="1"/>
    <col min="11268" max="11268" width="10.7109375" style="425" customWidth="1"/>
    <col min="11269" max="11269" width="12.7109375" style="425" customWidth="1"/>
    <col min="11270" max="11271" width="10.7109375" style="425" customWidth="1"/>
    <col min="11272" max="11278" width="11.42578125" style="425"/>
    <col min="11279" max="11279" width="13.28515625" style="425" customWidth="1"/>
    <col min="11280" max="11521" width="11.42578125" style="425"/>
    <col min="11522" max="11522" width="36.7109375" style="425" customWidth="1"/>
    <col min="11523" max="11523" width="12.7109375" style="425" customWidth="1"/>
    <col min="11524" max="11524" width="10.7109375" style="425" customWidth="1"/>
    <col min="11525" max="11525" width="12.7109375" style="425" customWidth="1"/>
    <col min="11526" max="11527" width="10.7109375" style="425" customWidth="1"/>
    <col min="11528" max="11534" width="11.42578125" style="425"/>
    <col min="11535" max="11535" width="13.28515625" style="425" customWidth="1"/>
    <col min="11536" max="11777" width="11.42578125" style="425"/>
    <col min="11778" max="11778" width="36.7109375" style="425" customWidth="1"/>
    <col min="11779" max="11779" width="12.7109375" style="425" customWidth="1"/>
    <col min="11780" max="11780" width="10.7109375" style="425" customWidth="1"/>
    <col min="11781" max="11781" width="12.7109375" style="425" customWidth="1"/>
    <col min="11782" max="11783" width="10.7109375" style="425" customWidth="1"/>
    <col min="11784" max="11790" width="11.42578125" style="425"/>
    <col min="11791" max="11791" width="13.28515625" style="425" customWidth="1"/>
    <col min="11792" max="12033" width="11.42578125" style="425"/>
    <col min="12034" max="12034" width="36.7109375" style="425" customWidth="1"/>
    <col min="12035" max="12035" width="12.7109375" style="425" customWidth="1"/>
    <col min="12036" max="12036" width="10.7109375" style="425" customWidth="1"/>
    <col min="12037" max="12037" width="12.7109375" style="425" customWidth="1"/>
    <col min="12038" max="12039" width="10.7109375" style="425" customWidth="1"/>
    <col min="12040" max="12046" width="11.42578125" style="425"/>
    <col min="12047" max="12047" width="13.28515625" style="425" customWidth="1"/>
    <col min="12048" max="12289" width="11.42578125" style="425"/>
    <col min="12290" max="12290" width="36.7109375" style="425" customWidth="1"/>
    <col min="12291" max="12291" width="12.7109375" style="425" customWidth="1"/>
    <col min="12292" max="12292" width="10.7109375" style="425" customWidth="1"/>
    <col min="12293" max="12293" width="12.7109375" style="425" customWidth="1"/>
    <col min="12294" max="12295" width="10.7109375" style="425" customWidth="1"/>
    <col min="12296" max="12302" width="11.42578125" style="425"/>
    <col min="12303" max="12303" width="13.28515625" style="425" customWidth="1"/>
    <col min="12304" max="12545" width="11.42578125" style="425"/>
    <col min="12546" max="12546" width="36.7109375" style="425" customWidth="1"/>
    <col min="12547" max="12547" width="12.7109375" style="425" customWidth="1"/>
    <col min="12548" max="12548" width="10.7109375" style="425" customWidth="1"/>
    <col min="12549" max="12549" width="12.7109375" style="425" customWidth="1"/>
    <col min="12550" max="12551" width="10.7109375" style="425" customWidth="1"/>
    <col min="12552" max="12558" width="11.42578125" style="425"/>
    <col min="12559" max="12559" width="13.28515625" style="425" customWidth="1"/>
    <col min="12560" max="12801" width="11.42578125" style="425"/>
    <col min="12802" max="12802" width="36.7109375" style="425" customWidth="1"/>
    <col min="12803" max="12803" width="12.7109375" style="425" customWidth="1"/>
    <col min="12804" max="12804" width="10.7109375" style="425" customWidth="1"/>
    <col min="12805" max="12805" width="12.7109375" style="425" customWidth="1"/>
    <col min="12806" max="12807" width="10.7109375" style="425" customWidth="1"/>
    <col min="12808" max="12814" width="11.42578125" style="425"/>
    <col min="12815" max="12815" width="13.28515625" style="425" customWidth="1"/>
    <col min="12816" max="13057" width="11.42578125" style="425"/>
    <col min="13058" max="13058" width="36.7109375" style="425" customWidth="1"/>
    <col min="13059" max="13059" width="12.7109375" style="425" customWidth="1"/>
    <col min="13060" max="13060" width="10.7109375" style="425" customWidth="1"/>
    <col min="13061" max="13061" width="12.7109375" style="425" customWidth="1"/>
    <col min="13062" max="13063" width="10.7109375" style="425" customWidth="1"/>
    <col min="13064" max="13070" width="11.42578125" style="425"/>
    <col min="13071" max="13071" width="13.28515625" style="425" customWidth="1"/>
    <col min="13072" max="13313" width="11.42578125" style="425"/>
    <col min="13314" max="13314" width="36.7109375" style="425" customWidth="1"/>
    <col min="13315" max="13315" width="12.7109375" style="425" customWidth="1"/>
    <col min="13316" max="13316" width="10.7109375" style="425" customWidth="1"/>
    <col min="13317" max="13317" width="12.7109375" style="425" customWidth="1"/>
    <col min="13318" max="13319" width="10.7109375" style="425" customWidth="1"/>
    <col min="13320" max="13326" width="11.42578125" style="425"/>
    <col min="13327" max="13327" width="13.28515625" style="425" customWidth="1"/>
    <col min="13328" max="13569" width="11.42578125" style="425"/>
    <col min="13570" max="13570" width="36.7109375" style="425" customWidth="1"/>
    <col min="13571" max="13571" width="12.7109375" style="425" customWidth="1"/>
    <col min="13572" max="13572" width="10.7109375" style="425" customWidth="1"/>
    <col min="13573" max="13573" width="12.7109375" style="425" customWidth="1"/>
    <col min="13574" max="13575" width="10.7109375" style="425" customWidth="1"/>
    <col min="13576" max="13582" width="11.42578125" style="425"/>
    <col min="13583" max="13583" width="13.28515625" style="425" customWidth="1"/>
    <col min="13584" max="13825" width="11.42578125" style="425"/>
    <col min="13826" max="13826" width="36.7109375" style="425" customWidth="1"/>
    <col min="13827" max="13827" width="12.7109375" style="425" customWidth="1"/>
    <col min="13828" max="13828" width="10.7109375" style="425" customWidth="1"/>
    <col min="13829" max="13829" width="12.7109375" style="425" customWidth="1"/>
    <col min="13830" max="13831" width="10.7109375" style="425" customWidth="1"/>
    <col min="13832" max="13838" width="11.42578125" style="425"/>
    <col min="13839" max="13839" width="13.28515625" style="425" customWidth="1"/>
    <col min="13840" max="14081" width="11.42578125" style="425"/>
    <col min="14082" max="14082" width="36.7109375" style="425" customWidth="1"/>
    <col min="14083" max="14083" width="12.7109375" style="425" customWidth="1"/>
    <col min="14084" max="14084" width="10.7109375" style="425" customWidth="1"/>
    <col min="14085" max="14085" width="12.7109375" style="425" customWidth="1"/>
    <col min="14086" max="14087" width="10.7109375" style="425" customWidth="1"/>
    <col min="14088" max="14094" width="11.42578125" style="425"/>
    <col min="14095" max="14095" width="13.28515625" style="425" customWidth="1"/>
    <col min="14096" max="14337" width="11.42578125" style="425"/>
    <col min="14338" max="14338" width="36.7109375" style="425" customWidth="1"/>
    <col min="14339" max="14339" width="12.7109375" style="425" customWidth="1"/>
    <col min="14340" max="14340" width="10.7109375" style="425" customWidth="1"/>
    <col min="14341" max="14341" width="12.7109375" style="425" customWidth="1"/>
    <col min="14342" max="14343" width="10.7109375" style="425" customWidth="1"/>
    <col min="14344" max="14350" width="11.42578125" style="425"/>
    <col min="14351" max="14351" width="13.28515625" style="425" customWidth="1"/>
    <col min="14352" max="14593" width="11.42578125" style="425"/>
    <col min="14594" max="14594" width="36.7109375" style="425" customWidth="1"/>
    <col min="14595" max="14595" width="12.7109375" style="425" customWidth="1"/>
    <col min="14596" max="14596" width="10.7109375" style="425" customWidth="1"/>
    <col min="14597" max="14597" width="12.7109375" style="425" customWidth="1"/>
    <col min="14598" max="14599" width="10.7109375" style="425" customWidth="1"/>
    <col min="14600" max="14606" width="11.42578125" style="425"/>
    <col min="14607" max="14607" width="13.28515625" style="425" customWidth="1"/>
    <col min="14608" max="14849" width="11.42578125" style="425"/>
    <col min="14850" max="14850" width="36.7109375" style="425" customWidth="1"/>
    <col min="14851" max="14851" width="12.7109375" style="425" customWidth="1"/>
    <col min="14852" max="14852" width="10.7109375" style="425" customWidth="1"/>
    <col min="14853" max="14853" width="12.7109375" style="425" customWidth="1"/>
    <col min="14854" max="14855" width="10.7109375" style="425" customWidth="1"/>
    <col min="14856" max="14862" width="11.42578125" style="425"/>
    <col min="14863" max="14863" width="13.28515625" style="425" customWidth="1"/>
    <col min="14864" max="15105" width="11.42578125" style="425"/>
    <col min="15106" max="15106" width="36.7109375" style="425" customWidth="1"/>
    <col min="15107" max="15107" width="12.7109375" style="425" customWidth="1"/>
    <col min="15108" max="15108" width="10.7109375" style="425" customWidth="1"/>
    <col min="15109" max="15109" width="12.7109375" style="425" customWidth="1"/>
    <col min="15110" max="15111" width="10.7109375" style="425" customWidth="1"/>
    <col min="15112" max="15118" width="11.42578125" style="425"/>
    <col min="15119" max="15119" width="13.28515625" style="425" customWidth="1"/>
    <col min="15120" max="15361" width="11.42578125" style="425"/>
    <col min="15362" max="15362" width="36.7109375" style="425" customWidth="1"/>
    <col min="15363" max="15363" width="12.7109375" style="425" customWidth="1"/>
    <col min="15364" max="15364" width="10.7109375" style="425" customWidth="1"/>
    <col min="15365" max="15365" width="12.7109375" style="425" customWidth="1"/>
    <col min="15366" max="15367" width="10.7109375" style="425" customWidth="1"/>
    <col min="15368" max="15374" width="11.42578125" style="425"/>
    <col min="15375" max="15375" width="13.28515625" style="425" customWidth="1"/>
    <col min="15376" max="15617" width="11.42578125" style="425"/>
    <col min="15618" max="15618" width="36.7109375" style="425" customWidth="1"/>
    <col min="15619" max="15619" width="12.7109375" style="425" customWidth="1"/>
    <col min="15620" max="15620" width="10.7109375" style="425" customWidth="1"/>
    <col min="15621" max="15621" width="12.7109375" style="425" customWidth="1"/>
    <col min="15622" max="15623" width="10.7109375" style="425" customWidth="1"/>
    <col min="15624" max="15630" width="11.42578125" style="425"/>
    <col min="15631" max="15631" width="13.28515625" style="425" customWidth="1"/>
    <col min="15632" max="15873" width="11.42578125" style="425"/>
    <col min="15874" max="15874" width="36.7109375" style="425" customWidth="1"/>
    <col min="15875" max="15875" width="12.7109375" style="425" customWidth="1"/>
    <col min="15876" max="15876" width="10.7109375" style="425" customWidth="1"/>
    <col min="15877" max="15877" width="12.7109375" style="425" customWidth="1"/>
    <col min="15878" max="15879" width="10.7109375" style="425" customWidth="1"/>
    <col min="15880" max="15886" width="11.42578125" style="425"/>
    <col min="15887" max="15887" width="13.28515625" style="425" customWidth="1"/>
    <col min="15888" max="16129" width="11.42578125" style="425"/>
    <col min="16130" max="16130" width="36.7109375" style="425" customWidth="1"/>
    <col min="16131" max="16131" width="12.7109375" style="425" customWidth="1"/>
    <col min="16132" max="16132" width="10.7109375" style="425" customWidth="1"/>
    <col min="16133" max="16133" width="12.7109375" style="425" customWidth="1"/>
    <col min="16134" max="16135" width="10.7109375" style="425" customWidth="1"/>
    <col min="16136" max="16142" width="11.42578125" style="425"/>
    <col min="16143" max="16143" width="13.28515625" style="425" customWidth="1"/>
    <col min="16144" max="16384" width="11.42578125" style="425"/>
  </cols>
  <sheetData>
    <row r="1" spans="2:14" ht="26.25">
      <c r="B1" s="462"/>
    </row>
    <row r="7" spans="2:14" ht="33.75" customHeight="1">
      <c r="B7" s="463" t="s">
        <v>312</v>
      </c>
      <c r="C7" s="464"/>
      <c r="D7" s="464"/>
      <c r="E7" s="464"/>
      <c r="F7" s="464"/>
      <c r="G7" s="465"/>
      <c r="I7" s="463" t="s">
        <v>313</v>
      </c>
      <c r="J7" s="464"/>
      <c r="K7" s="464"/>
      <c r="L7" s="464"/>
      <c r="M7" s="464"/>
      <c r="N7" s="465"/>
    </row>
    <row r="8" spans="2:14" ht="41.25" customHeight="1">
      <c r="B8" s="431" t="s">
        <v>237</v>
      </c>
      <c r="C8" s="432" t="s">
        <v>296</v>
      </c>
      <c r="D8" s="433" t="s">
        <v>27</v>
      </c>
      <c r="E8" s="432" t="s">
        <v>297</v>
      </c>
      <c r="F8" s="433" t="s">
        <v>27</v>
      </c>
      <c r="G8" s="433" t="s">
        <v>28</v>
      </c>
      <c r="I8" s="431" t="s">
        <v>237</v>
      </c>
      <c r="J8" s="432" t="s">
        <v>296</v>
      </c>
      <c r="K8" s="433" t="s">
        <v>27</v>
      </c>
      <c r="L8" s="432" t="s">
        <v>297</v>
      </c>
      <c r="M8" s="433" t="s">
        <v>27</v>
      </c>
      <c r="N8" s="433" t="s">
        <v>28</v>
      </c>
    </row>
    <row r="9" spans="2:14">
      <c r="B9" s="434" t="s">
        <v>238</v>
      </c>
      <c r="C9" s="466"/>
      <c r="D9" s="467"/>
      <c r="E9" s="466"/>
      <c r="F9" s="466"/>
      <c r="G9" s="467"/>
      <c r="I9" s="434" t="s">
        <v>238</v>
      </c>
      <c r="J9" s="466"/>
      <c r="K9" s="467"/>
      <c r="L9" s="466"/>
      <c r="M9" s="466"/>
      <c r="N9" s="467"/>
    </row>
    <row r="10" spans="2:14">
      <c r="B10" s="488" t="s">
        <v>314</v>
      </c>
      <c r="C10" s="469">
        <f>GETPIVOTDATA("dato",'[1]tabla dinámica municipios'!$A$4,"indicador","Pernoctaciones","categoría","TOTAL","municipio","ADEJE","año",2009)</f>
        <v>7711663</v>
      </c>
      <c r="D10" s="470">
        <f>C10/$C$10</f>
        <v>1</v>
      </c>
      <c r="E10" s="469">
        <f>GETPIVOTDATA("dato",'[1]tabla dinámica municipios'!$A$4,"indicador","Pernoctaciones","categoría","TOTAL","municipio","ADEJE","año",2010)</f>
        <v>7698603</v>
      </c>
      <c r="F10" s="470">
        <f>E10/$E$10</f>
        <v>1</v>
      </c>
      <c r="G10" s="470">
        <f>(E10-C10)/C10</f>
        <v>-1.6935387347709566E-3</v>
      </c>
      <c r="I10" s="488" t="s">
        <v>314</v>
      </c>
      <c r="J10" s="469">
        <f>GETPIVOTDATA("dato",'[1]tabla dinámica municipios'!$A$4,"indicador","Pernoctaciones","categoría","TOTAL","municipio","ARONA","año",2009)</f>
        <v>6591865</v>
      </c>
      <c r="K10" s="470">
        <f>J10/$C$10</f>
        <v>0.85479163184387075</v>
      </c>
      <c r="L10" s="469">
        <f>GETPIVOTDATA("dato",'[1]tabla dinámica municipios'!$A$4,"indicador","Pernoctaciones","categoría","TOTAL","municipio","ARONA","año",2010)</f>
        <v>6476287</v>
      </c>
      <c r="M10" s="470">
        <f>L10/$E$10</f>
        <v>0.84122885671595227</v>
      </c>
      <c r="N10" s="470">
        <f>(L10-J10)/J10</f>
        <v>-1.7533429461920109E-2</v>
      </c>
    </row>
    <row r="11" spans="2:14">
      <c r="B11" s="434" t="s">
        <v>240</v>
      </c>
      <c r="C11" s="466"/>
      <c r="D11" s="435"/>
      <c r="E11" s="466"/>
      <c r="F11" s="471"/>
      <c r="G11" s="472"/>
      <c r="I11" s="434" t="s">
        <v>240</v>
      </c>
      <c r="J11" s="466"/>
      <c r="K11" s="435"/>
      <c r="L11" s="466"/>
      <c r="M11" s="471"/>
      <c r="N11" s="472"/>
    </row>
    <row r="12" spans="2:14">
      <c r="B12" s="452" t="s">
        <v>241</v>
      </c>
      <c r="C12" s="473">
        <f>GETPIVOTDATA("dato",'[1]tabla dinámica municipios'!$A$4,"indicador","Pernoctaciones","categoría","Hoteleros","municipio","ADEJE","año",2009)</f>
        <v>4759902</v>
      </c>
      <c r="D12" s="474">
        <f>C12/$C$10</f>
        <v>0.61723418152478915</v>
      </c>
      <c r="E12" s="473">
        <f>GETPIVOTDATA("dato",'[1]tabla dinámica municipios'!$A$4,"indicador","Pernoctaciones","categoría","Hoteleros","municipio","ADEJE","año",2010)</f>
        <v>4862858</v>
      </c>
      <c r="F12" s="474">
        <f>E12/$E$10</f>
        <v>0.63165460019174913</v>
      </c>
      <c r="G12" s="475">
        <f>(E12-C12)/C12</f>
        <v>2.1629857085292931E-2</v>
      </c>
      <c r="I12" s="452" t="s">
        <v>241</v>
      </c>
      <c r="J12" s="473">
        <f>GETPIVOTDATA("dato",'[1]tabla dinámica municipios'!$A$4,"indicador","Pernoctaciones","categoría","Hoteleros","municipio","ARONA","año",2009)</f>
        <v>2787146</v>
      </c>
      <c r="K12" s="474">
        <f>J12/$C$10</f>
        <v>0.36141957966783561</v>
      </c>
      <c r="L12" s="473">
        <f>GETPIVOTDATA("dato",'[1]tabla dinámica municipios'!$A$4,"indicador","Pernoctaciones","categoría","Hoteleros","municipio","ARONA","año",2010)</f>
        <v>2876302</v>
      </c>
      <c r="M12" s="474">
        <f>L12/$E$10</f>
        <v>0.37361349844900432</v>
      </c>
      <c r="N12" s="475">
        <f>(L12-J12)/J12</f>
        <v>3.1988277614448613E-2</v>
      </c>
    </row>
    <row r="13" spans="2:14">
      <c r="B13" s="452" t="s">
        <v>306</v>
      </c>
      <c r="C13" s="476">
        <f>GETPIVOTDATA("dato",'[1]tabla dinámica municipios'!$A$4,"indicador","Pernoctaciones","categoría","5 *","municipio","ADEJE","año",2009)</f>
        <v>582693</v>
      </c>
      <c r="D13" s="477">
        <f>C13/$C$10</f>
        <v>7.5559966767219988E-2</v>
      </c>
      <c r="E13" s="476">
        <f>GETPIVOTDATA("dato",'[1]tabla dinámica municipios'!$A$4,"indicador","Pernoctaciones","categoría","5 *","municipio","ADEJE","año",2010)</f>
        <v>632980</v>
      </c>
      <c r="F13" s="477">
        <f>E13/$E$10</f>
        <v>8.2220111882636365E-2</v>
      </c>
      <c r="G13" s="478">
        <f>(E13-C13)/C13</f>
        <v>8.630101957634638E-2</v>
      </c>
      <c r="I13" s="452" t="s">
        <v>306</v>
      </c>
      <c r="J13" s="476">
        <f>GETPIVOTDATA("dato",'[1]tabla dinámica municipios'!$A$4,"indicador","Pernoctaciones","categoría","5 *","municipio","ARONA","año",2009)</f>
        <v>319628</v>
      </c>
      <c r="K13" s="477">
        <f>J13/$C$10</f>
        <v>4.1447350590916643E-2</v>
      </c>
      <c r="L13" s="476">
        <f>GETPIVOTDATA("dato",'[1]tabla dinámica municipios'!$A$4,"indicador","Pernoctaciones","categoría","5 *","municipio","ARONA","año",2010)</f>
        <v>343310</v>
      </c>
      <c r="M13" s="477">
        <f>L13/$E$10</f>
        <v>4.4593804876027508E-2</v>
      </c>
      <c r="N13" s="478">
        <f>(L13-J13)/J13</f>
        <v>7.409238239453364E-2</v>
      </c>
    </row>
    <row r="14" spans="2:14">
      <c r="B14" s="452" t="s">
        <v>307</v>
      </c>
      <c r="C14" s="476">
        <f>GETPIVOTDATA("dato",'[1]tabla dinámica municipios'!$A$4,"indicador","Pernoctaciones","categoría","4 *","municipio","ADEJE","año",2009)</f>
        <v>3153691</v>
      </c>
      <c r="D14" s="477">
        <f>C14/$C$10</f>
        <v>0.40895083200601479</v>
      </c>
      <c r="E14" s="476">
        <f>GETPIVOTDATA("dato",'[1]tabla dinámica municipios'!$A$4,"indicador","Pernoctaciones","categoría","4 *","municipio","ADEJE","año",2010)</f>
        <v>3356200</v>
      </c>
      <c r="F14" s="477">
        <f>E14/$E$10</f>
        <v>0.43594922351496757</v>
      </c>
      <c r="G14" s="478">
        <f>(E14-C14)/C14</f>
        <v>6.4213329714293499E-2</v>
      </c>
      <c r="I14" s="452" t="s">
        <v>307</v>
      </c>
      <c r="J14" s="476">
        <f>GETPIVOTDATA("dato",'[1]tabla dinámica municipios'!$A$4,"indicador","Pernoctaciones","categoría","4 *","municipio","ARONA","año",2009)</f>
        <v>1592558</v>
      </c>
      <c r="K14" s="477">
        <f>J14/$C$10</f>
        <v>0.20651291427024235</v>
      </c>
      <c r="L14" s="476">
        <f>GETPIVOTDATA("dato",'[1]tabla dinámica municipios'!$A$4,"indicador","Pernoctaciones","categoría","4 *","municipio","ARONA","año",2010)</f>
        <v>1675752</v>
      </c>
      <c r="M14" s="477">
        <f>L14/$E$10</f>
        <v>0.21766962135857634</v>
      </c>
      <c r="N14" s="478">
        <f>(L14-J14)/J14</f>
        <v>5.2239227707876257E-2</v>
      </c>
    </row>
    <row r="15" spans="2:14">
      <c r="B15" s="452" t="s">
        <v>228</v>
      </c>
      <c r="C15" s="476">
        <f>GETPIVOTDATA("dato",'[1]tabla dinámica municipios'!$A$4,"indicador","Pernoctaciones","categoría","3 *","municipio","ADEJE","año",2009)</f>
        <v>954574</v>
      </c>
      <c r="D15" s="477">
        <f>C15/$C$10</f>
        <v>0.12378315805553225</v>
      </c>
      <c r="E15" s="476">
        <f>GETPIVOTDATA("dato",'[1]tabla dinámica municipios'!$A$4,"indicador","Pernoctaciones","categoría","3 *","municipio","ADEJE","año",2010)</f>
        <v>803958</v>
      </c>
      <c r="F15" s="477">
        <f>E15/$E$10</f>
        <v>0.10442907628825646</v>
      </c>
      <c r="G15" s="478">
        <f>(E15-C15)/C15</f>
        <v>-0.15778347199902784</v>
      </c>
      <c r="I15" s="452" t="s">
        <v>228</v>
      </c>
      <c r="J15" s="476">
        <f>GETPIVOTDATA("dato",'[1]tabla dinámica municipios'!$A$4,"indicador","Pernoctaciones","categoría","3 *","municipio","ARONA","año",2009)</f>
        <v>815635</v>
      </c>
      <c r="K15" s="477">
        <f>J15/$C$10</f>
        <v>0.10576642158766533</v>
      </c>
      <c r="L15" s="476">
        <f>GETPIVOTDATA("dato",'[1]tabla dinámica municipios'!$A$4,"indicador","Pernoctaciones","categoría","3 *","municipio","ARONA","año",2010)</f>
        <v>804119</v>
      </c>
      <c r="M15" s="477">
        <f>L15/$E$10</f>
        <v>0.10444998917336042</v>
      </c>
      <c r="N15" s="478">
        <f>(L15-J15)/J15</f>
        <v>-1.4119060609218585E-2</v>
      </c>
    </row>
    <row r="16" spans="2:14">
      <c r="B16" s="452" t="s">
        <v>308</v>
      </c>
      <c r="C16" s="476">
        <f>GETPIVOTDATA("dato",'[1]tabla dinámica municipios'!$A$4,"indicador","Pernoctaciones","categoría","1* y 2 *","municipio","ADEJE","año",2009)</f>
        <v>68944</v>
      </c>
      <c r="D16" s="477">
        <f>C16/$C$10</f>
        <v>8.9402246960221168E-3</v>
      </c>
      <c r="E16" s="476">
        <f>GETPIVOTDATA("dato",'[1]tabla dinámica municipios'!$A$4,"indicador","Pernoctaciones","categoría","1* y 2 *","municipio","ADEJE","año",2010)</f>
        <v>69720</v>
      </c>
      <c r="F16" s="477">
        <f>E16/$E$10</f>
        <v>9.0561885058886658E-3</v>
      </c>
      <c r="G16" s="478">
        <f>(E16-C16)/C16</f>
        <v>1.1255511719656533E-2</v>
      </c>
      <c r="I16" s="452" t="s">
        <v>308</v>
      </c>
      <c r="J16" s="476">
        <f>GETPIVOTDATA("dato",'[1]tabla dinámica municipios'!$A$4,"indicador","Pernoctaciones","categoría","1* y 2 *","municipio","ARONA","año",2009)</f>
        <v>59325</v>
      </c>
      <c r="K16" s="477">
        <f>J16/$C$10</f>
        <v>7.6928932190112563E-3</v>
      </c>
      <c r="L16" s="476">
        <f>GETPIVOTDATA("dato",'[1]tabla dinámica municipios'!$A$4,"indicador","Pernoctaciones","categoría","1* y 2 *","municipio","ARONA","año",2010)</f>
        <v>53121</v>
      </c>
      <c r="M16" s="477">
        <f>L16/$E$10</f>
        <v>6.9000830410400433E-3</v>
      </c>
      <c r="N16" s="478">
        <f>(L16-J16)/J16</f>
        <v>-0.10457648546144122</v>
      </c>
    </row>
    <row r="17" spans="2:16">
      <c r="B17" s="434" t="s">
        <v>242</v>
      </c>
      <c r="C17" s="435"/>
      <c r="D17" s="435"/>
      <c r="E17" s="435"/>
      <c r="F17" s="479"/>
      <c r="G17" s="480"/>
      <c r="I17" s="434" t="s">
        <v>242</v>
      </c>
      <c r="J17" s="435"/>
      <c r="K17" s="435"/>
      <c r="L17" s="435"/>
      <c r="M17" s="479"/>
      <c r="N17" s="480"/>
    </row>
    <row r="18" spans="2:16">
      <c r="B18" s="481" t="s">
        <v>243</v>
      </c>
      <c r="C18" s="482">
        <f>GETPIVOTDATA("dato",'[1]tabla dinámica municipios'!$A$4,"indicador","Pernoctaciones","categoría","Extrahoteleros","municipio","ADEJE","año",2009)</f>
        <v>2951761</v>
      </c>
      <c r="D18" s="474">
        <f>C18/$C$10</f>
        <v>0.38276581847521085</v>
      </c>
      <c r="E18" s="482">
        <f>GETPIVOTDATA("dato",'[1]tabla dinámica municipios'!$A$4,"indicador","Pernoctaciones","categoría","Extrahoteleros","municipio","ADEJE","año",2010)</f>
        <v>2835745</v>
      </c>
      <c r="F18" s="477">
        <f>E18/$E$10</f>
        <v>0.36834539980825093</v>
      </c>
      <c r="G18" s="483">
        <f>(E18-C18)/C18</f>
        <v>-3.9303995140527979E-2</v>
      </c>
      <c r="I18" s="481" t="s">
        <v>243</v>
      </c>
      <c r="J18" s="482">
        <f>GETPIVOTDATA("dato",'[1]tabla dinámica municipios'!$A$4,"indicador","Pernoctaciones","categoría","Extrahoteleros","municipio","ARONA","año",2009)</f>
        <v>3804719</v>
      </c>
      <c r="K18" s="474">
        <f>J18/$C$10</f>
        <v>0.49337205217603519</v>
      </c>
      <c r="L18" s="482">
        <f>GETPIVOTDATA("dato",'[1]tabla dinámica municipios'!$A$4,"indicador","Pernoctaciones","categoría","Extrahoteleros","municipio","ARONA","año",2010)</f>
        <v>3599985</v>
      </c>
      <c r="M18" s="477">
        <f>L18/$E$10</f>
        <v>0.46761535826694789</v>
      </c>
      <c r="N18" s="483">
        <f>(L18-J18)/J18</f>
        <v>-5.3810544221531212E-2</v>
      </c>
    </row>
    <row r="19" spans="2:16">
      <c r="B19" s="484" t="s">
        <v>90</v>
      </c>
      <c r="C19" s="485"/>
      <c r="D19" s="485"/>
      <c r="E19" s="485"/>
      <c r="F19" s="485"/>
      <c r="G19" s="486"/>
      <c r="I19" s="484" t="s">
        <v>90</v>
      </c>
      <c r="J19" s="485"/>
      <c r="K19" s="485"/>
      <c r="L19" s="485"/>
      <c r="M19" s="485"/>
      <c r="N19" s="486"/>
    </row>
    <row r="20" spans="2:16" ht="20.100000000000001" customHeight="1" thickBot="1"/>
    <row r="21" spans="2:16" ht="38.25" customHeight="1" thickBot="1">
      <c r="B21" s="463" t="s">
        <v>315</v>
      </c>
      <c r="C21" s="464"/>
      <c r="D21" s="464"/>
      <c r="E21" s="464"/>
      <c r="F21" s="464"/>
      <c r="G21" s="465"/>
      <c r="I21" s="463" t="s">
        <v>236</v>
      </c>
      <c r="J21" s="464"/>
      <c r="K21" s="464"/>
      <c r="L21" s="464"/>
      <c r="M21" s="464"/>
      <c r="N21" s="465"/>
      <c r="P21" s="60" t="s">
        <v>50</v>
      </c>
    </row>
    <row r="22" spans="2:16" ht="33.75" customHeight="1">
      <c r="B22" s="431" t="s">
        <v>237</v>
      </c>
      <c r="C22" s="432" t="s">
        <v>296</v>
      </c>
      <c r="D22" s="433" t="s">
        <v>27</v>
      </c>
      <c r="E22" s="432" t="s">
        <v>297</v>
      </c>
      <c r="F22" s="433" t="s">
        <v>27</v>
      </c>
      <c r="G22" s="433" t="s">
        <v>28</v>
      </c>
      <c r="I22" s="431" t="s">
        <v>237</v>
      </c>
      <c r="J22" s="432" t="s">
        <v>296</v>
      </c>
      <c r="K22" s="433" t="s">
        <v>27</v>
      </c>
      <c r="L22" s="432" t="s">
        <v>297</v>
      </c>
      <c r="M22" s="433" t="s">
        <v>27</v>
      </c>
      <c r="N22" s="433" t="s">
        <v>28</v>
      </c>
    </row>
    <row r="23" spans="2:16">
      <c r="B23" s="434" t="s">
        <v>238</v>
      </c>
      <c r="C23" s="466"/>
      <c r="D23" s="467"/>
      <c r="E23" s="466"/>
      <c r="F23" s="466"/>
      <c r="G23" s="467"/>
      <c r="I23" s="434" t="s">
        <v>238</v>
      </c>
      <c r="J23" s="466"/>
      <c r="K23" s="467"/>
      <c r="L23" s="466"/>
      <c r="M23" s="466"/>
      <c r="N23" s="467"/>
    </row>
    <row r="24" spans="2:16">
      <c r="B24" s="488" t="s">
        <v>314</v>
      </c>
      <c r="C24" s="469">
        <f>GETPIVOTDATA("dato",'[1]tabla dinámica municipios'!$A$4,"indicador","Pernoctaciones","categoría","TOTAL","municipio","puerto de la cruz","año",2009)</f>
        <v>3360494</v>
      </c>
      <c r="D24" s="470">
        <f>C24/$C$10</f>
        <v>0.43576774555630865</v>
      </c>
      <c r="E24" s="469">
        <f>GETPIVOTDATA("dato",'[1]tabla dinámica municipios'!$A$4,"indicador","Pernoctaciones","categoría","TOTAL","municipio","puerto de la cruz","año",2010)</f>
        <v>3090514</v>
      </c>
      <c r="F24" s="470">
        <f>E24/$E$10</f>
        <v>0.40143828692036726</v>
      </c>
      <c r="G24" s="470">
        <f>(E24-C24)/C24</f>
        <v>-8.0339378674682951E-2</v>
      </c>
      <c r="I24" s="488" t="s">
        <v>314</v>
      </c>
      <c r="J24" s="469">
        <f>GETPIVOTDATA("dato",'[1]tabla dinámica municipios'!$A$4,"indicador","Pernoctaciones","categoría","TOTAL","municipio","SANTA CRUZ","año",2009)</f>
        <v>224256</v>
      </c>
      <c r="K24" s="470">
        <f>J24/$C$10</f>
        <v>2.9080108920734735E-2</v>
      </c>
      <c r="L24" s="469">
        <f>GETPIVOTDATA("dato",'[1]tabla dinámica municipios'!$A$4,"indicador","Pernoctaciones","categoría","TOTAL","municipio","SANTA CRUZ","año",2010)</f>
        <v>193668</v>
      </c>
      <c r="M24" s="470">
        <f>L24/$E$10</f>
        <v>2.5156252374619135E-2</v>
      </c>
      <c r="N24" s="470">
        <f>(L24-J24)/J24</f>
        <v>-0.13639768835616439</v>
      </c>
    </row>
    <row r="25" spans="2:16">
      <c r="B25" s="434" t="s">
        <v>240</v>
      </c>
      <c r="C25" s="466"/>
      <c r="D25" s="435"/>
      <c r="E25" s="466"/>
      <c r="F25" s="471"/>
      <c r="G25" s="472"/>
      <c r="I25" s="434" t="s">
        <v>240</v>
      </c>
      <c r="J25" s="466"/>
      <c r="K25" s="435"/>
      <c r="L25" s="466"/>
      <c r="M25" s="471"/>
      <c r="N25" s="472"/>
    </row>
    <row r="26" spans="2:16">
      <c r="B26" s="452" t="s">
        <v>241</v>
      </c>
      <c r="C26" s="473">
        <f>GETPIVOTDATA("dato",'[1]tabla dinámica municipios'!$A$4,"indicador","Pernoctaciones","categoría","Hoteleros","municipio","puerto de la cruz","año",2009)</f>
        <v>2131326</v>
      </c>
      <c r="D26" s="474">
        <f>C26/$C$10</f>
        <v>0.27637696304934489</v>
      </c>
      <c r="E26" s="473">
        <f>GETPIVOTDATA("dato",'[1]tabla dinámica municipios'!$A$4,"indicador","Pernoctaciones","categoría","Hoteleros","municipio","puerto de la cruz","año",2010)</f>
        <v>2079572</v>
      </c>
      <c r="F26" s="474">
        <f>E26/$E$10</f>
        <v>0.27012329379758898</v>
      </c>
      <c r="G26" s="475">
        <f>(E26-C26)/C26</f>
        <v>-2.428253584857502E-2</v>
      </c>
      <c r="I26" s="452" t="s">
        <v>241</v>
      </c>
      <c r="J26" s="473">
        <f>GETPIVOTDATA("dato",'[1]tabla dinámica municipios'!$A$4,"indicador","Pernoctaciones","categoría","Hoteleros","municipio","SANTA CRUZ","año",2009)</f>
        <v>224256</v>
      </c>
      <c r="K26" s="474">
        <f>J26/$C$10</f>
        <v>2.9080108920734735E-2</v>
      </c>
      <c r="L26" s="473">
        <f>GETPIVOTDATA("dato",'[1]tabla dinámica municipios'!$A$4,"indicador","Pernoctaciones","categoría","Hoteleros","municipio","SANTA CRUZ","año",2010)</f>
        <v>193668</v>
      </c>
      <c r="M26" s="474">
        <f>L26/$E$10</f>
        <v>2.5156252374619135E-2</v>
      </c>
      <c r="N26" s="475">
        <f>(L26-J26)/J26</f>
        <v>-0.13639768835616439</v>
      </c>
    </row>
    <row r="27" spans="2:16">
      <c r="B27" s="452" t="s">
        <v>229</v>
      </c>
      <c r="C27" s="476">
        <f>GETPIVOTDATA("dato",'[1]tabla dinámica municipios'!$A$4,"indicador","Pernoctaciones","categoría","4* y 5*","municipio","puerto de la cruz","año",2009)</f>
        <v>1754608</v>
      </c>
      <c r="D27" s="477">
        <f>C27/$C$10</f>
        <v>0.22752653999532915</v>
      </c>
      <c r="E27" s="476">
        <f>GETPIVOTDATA("dato",'[1]tabla dinámica municipios'!$A$4,"indicador","Pernoctaciones","categoría","4* y 5*","municipio","puerto de la cruz","año",2010)</f>
        <v>1737011</v>
      </c>
      <c r="F27" s="477">
        <f>E27/$E$10</f>
        <v>0.22562677930008859</v>
      </c>
      <c r="G27" s="478">
        <f>(E27-C27)/C27</f>
        <v>-1.0029020727136774E-2</v>
      </c>
      <c r="I27" s="452" t="s">
        <v>229</v>
      </c>
      <c r="J27" s="476">
        <f>GETPIVOTDATA("dato",'[1]tabla dinámica municipios'!$A$4,"indicador","Pernoctaciones","categoría","4* y 5*","municipio","SANTA CRUZ","año",2009)</f>
        <v>71618</v>
      </c>
      <c r="K27" s="477">
        <f>J27/$C$10</f>
        <v>9.2869722133863998E-3</v>
      </c>
      <c r="L27" s="476">
        <f>GETPIVOTDATA("dato",'[1]tabla dinámica municipios'!$A$4,"indicador","Pernoctaciones","categoría","4* y 5*","municipio","SANTA CRUZ","año",2010)</f>
        <v>55034</v>
      </c>
      <c r="M27" s="477">
        <f>L27/$E$10</f>
        <v>7.1485696820579011E-3</v>
      </c>
      <c r="N27" s="478">
        <f>(L27-J27)/J27</f>
        <v>-0.23156189784691</v>
      </c>
    </row>
    <row r="28" spans="2:16">
      <c r="B28" s="452" t="s">
        <v>228</v>
      </c>
      <c r="C28" s="476">
        <f>GETPIVOTDATA("dato",'[1]tabla dinámica municipios'!$A$4,"indicador","Pernoctaciones","categoría","3 *","municipio","puerto de la cruz","año",2009)</f>
        <v>355367</v>
      </c>
      <c r="D28" s="477">
        <f>C28/$C$10</f>
        <v>4.6081759537469416E-2</v>
      </c>
      <c r="E28" s="476">
        <f>GETPIVOTDATA("dato",'[1]tabla dinámica municipios'!$A$4,"indicador","Pernoctaciones","categoría","3 *","municipio","puerto de la cruz","año",2010)</f>
        <v>320280</v>
      </c>
      <c r="F28" s="477">
        <f>E28/$E$10</f>
        <v>4.1602353050287179E-2</v>
      </c>
      <c r="G28" s="478">
        <f>(E28-C28)/C28</f>
        <v>-9.8734547664808492E-2</v>
      </c>
      <c r="I28" s="452" t="s">
        <v>228</v>
      </c>
      <c r="J28" s="476">
        <f>GETPIVOTDATA("dato",'[1]tabla dinámica municipios'!$A$4,"indicador","Pernoctaciones","categoría","3 *","municipio","SANTA CRUZ","año",2009)</f>
        <v>57372</v>
      </c>
      <c r="K28" s="477">
        <f>J28/$C$10</f>
        <v>7.4396404510933632E-3</v>
      </c>
      <c r="L28" s="476">
        <f>GETPIVOTDATA("dato",'[1]tabla dinámica municipios'!$A$4,"indicador","Pernoctaciones","categoría","3 *","municipio","SANTA CRUZ","año",2010)</f>
        <v>58666</v>
      </c>
      <c r="M28" s="477">
        <f>L28/$E$10</f>
        <v>7.6203435870118253E-3</v>
      </c>
      <c r="N28" s="478">
        <f>(L28-J28)/J28</f>
        <v>2.2554556229519625E-2</v>
      </c>
    </row>
    <row r="29" spans="2:16">
      <c r="B29" s="452" t="s">
        <v>308</v>
      </c>
      <c r="C29" s="476">
        <f>GETPIVOTDATA("dato",'[1]tabla dinámica municipios'!$A$4,"indicador","Pernoctaciones","categoría","1* y 2 *","municipio","puerto de la cruz","año",2009)</f>
        <v>21351</v>
      </c>
      <c r="D29" s="477">
        <f>C29/$C$10</f>
        <v>2.7686635165463012E-3</v>
      </c>
      <c r="E29" s="476">
        <f>GETPIVOTDATA("dato",'[1]tabla dinámica municipios'!$A$4,"indicador","Pernoctaciones","categoría","1* y 2 *","municipio","puerto de la cruz","año",2010)</f>
        <v>22281</v>
      </c>
      <c r="F29" s="477">
        <f>E29/$E$10</f>
        <v>2.8941614472132154E-3</v>
      </c>
      <c r="G29" s="478">
        <f>(E29-C29)/C29</f>
        <v>4.3557678797246029E-2</v>
      </c>
      <c r="I29" s="452" t="s">
        <v>227</v>
      </c>
      <c r="J29" s="476">
        <f>GETPIVOTDATA("dato",'[1]tabla dinámica municipios'!$A$4,"indicador","Pernoctaciones","categoría","2*","municipio","SANTA CRUZ","año",2009)</f>
        <v>75411</v>
      </c>
      <c r="K29" s="477">
        <f>J29/$C$10</f>
        <v>9.7788246192812116E-3</v>
      </c>
      <c r="L29" s="476">
        <f>GETPIVOTDATA("dato",'[1]tabla dinámica municipios'!$A$4,"indicador","Pernoctaciones","categoría","2*","municipio","SANTA CRUZ","año",2010)</f>
        <v>61775</v>
      </c>
      <c r="M29" s="477">
        <f>L29/$E$10</f>
        <v>8.0241830888019561E-3</v>
      </c>
      <c r="N29" s="478">
        <f>(L29-J29)/J29</f>
        <v>-0.18082242643646151</v>
      </c>
    </row>
    <row r="30" spans="2:16">
      <c r="B30" s="434" t="s">
        <v>242</v>
      </c>
      <c r="C30" s="435"/>
      <c r="D30" s="435"/>
      <c r="E30" s="435"/>
      <c r="F30" s="479"/>
      <c r="G30" s="480"/>
      <c r="I30" s="452" t="s">
        <v>226</v>
      </c>
      <c r="J30" s="476">
        <f>GETPIVOTDATA("dato",'[1]tabla dinámica municipios'!$A$4,"indicador","Pernoctaciones","categoría","1*","municipio","SANTA CRUZ","año",2009)</f>
        <v>19855</v>
      </c>
      <c r="K30" s="477">
        <f>J30/$C$10</f>
        <v>2.574671636973763E-3</v>
      </c>
      <c r="L30" s="476">
        <f>GETPIVOTDATA("dato",'[1]tabla dinámica municipios'!$A$4,"indicador","Pernoctaciones","categoría","1*","municipio","SANTA CRUZ","año",2010)</f>
        <v>18193</v>
      </c>
      <c r="M30" s="477">
        <f>L30/$E$10</f>
        <v>2.3631560167474541E-3</v>
      </c>
      <c r="N30" s="478">
        <f>(L30-J30)/J30</f>
        <v>-8.3706874842608914E-2</v>
      </c>
    </row>
    <row r="31" spans="2:16">
      <c r="B31" s="481" t="s">
        <v>243</v>
      </c>
      <c r="C31" s="482">
        <f>GETPIVOTDATA("dato",'[1]tabla dinámica municipios'!$A$4,"indicador","Pernoctaciones","categoría","Extrahoteleros","municipio","puerto de la cruz","año",2009)</f>
        <v>1229168</v>
      </c>
      <c r="D31" s="474">
        <f>C31/$C$10</f>
        <v>0.15939078250696381</v>
      </c>
      <c r="E31" s="482">
        <f>GETPIVOTDATA("dato",'[1]tabla dinámica municipios'!$A$4,"indicador","Pernoctaciones","categoría","Extrahoteleros","municipio","puerto de la cruz","año",2010)</f>
        <v>1010942</v>
      </c>
      <c r="F31" s="477">
        <f>E31/$E$10</f>
        <v>0.13131499312277825</v>
      </c>
      <c r="G31" s="483">
        <f>(E31-C31)/C31</f>
        <v>-0.17753960402483632</v>
      </c>
      <c r="I31" s="434" t="s">
        <v>242</v>
      </c>
      <c r="J31" s="435"/>
      <c r="K31" s="435"/>
      <c r="L31" s="435"/>
      <c r="M31" s="479"/>
      <c r="N31" s="480"/>
    </row>
    <row r="32" spans="2:16">
      <c r="B32" s="484" t="s">
        <v>90</v>
      </c>
      <c r="C32" s="485"/>
      <c r="D32" s="485"/>
      <c r="E32" s="485"/>
      <c r="F32" s="485"/>
      <c r="G32" s="486"/>
      <c r="I32" s="481" t="s">
        <v>243</v>
      </c>
      <c r="J32" s="482">
        <f>GETPIVOTDATA("dato",'[1]tabla dinámica municipios'!$A$4,"indicador","Pernoctaciones","categoría","Extrahoteleros","municipio","SANTA CRUZ","año",2009)</f>
        <v>0</v>
      </c>
      <c r="K32" s="474">
        <f>J32/$C$10</f>
        <v>0</v>
      </c>
      <c r="L32" s="482">
        <f>GETPIVOTDATA("dato",'[1]tabla dinámica municipios'!$A$4,"indicador","Pernoctaciones","categoría","Extrahoteleros","municipio","SANTA CRUZ","año",2010)</f>
        <v>0</v>
      </c>
      <c r="M32" s="477">
        <f>L32/$E$10</f>
        <v>0</v>
      </c>
      <c r="N32" s="457" t="str">
        <f>IFERROR((L32-J32)/J32,"-")</f>
        <v>-</v>
      </c>
    </row>
    <row r="33" spans="9:14">
      <c r="I33" s="484" t="s">
        <v>90</v>
      </c>
      <c r="J33" s="485"/>
      <c r="K33" s="485"/>
      <c r="L33" s="485"/>
      <c r="M33" s="485"/>
      <c r="N33" s="486"/>
    </row>
  </sheetData>
  <mergeCells count="8">
    <mergeCell ref="B32:G32"/>
    <mergeCell ref="I33:N33"/>
    <mergeCell ref="B7:G7"/>
    <mergeCell ref="I7:N7"/>
    <mergeCell ref="B19:G19"/>
    <mergeCell ref="I19:N19"/>
    <mergeCell ref="B21:G21"/>
    <mergeCell ref="I21:N21"/>
  </mergeCells>
  <hyperlinks>
    <hyperlink ref="P21" location="'Gráfico pernocta munic y cate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C2:F38"/>
  <sheetViews>
    <sheetView showGridLines="0" showRowColHeaders="0" showZeros="0" zoomScaleNormal="100" workbookViewId="0">
      <selection activeCell="I13" sqref="I13"/>
    </sheetView>
  </sheetViews>
  <sheetFormatPr baseColWidth="10" defaultRowHeight="15"/>
  <cols>
    <col min="1" max="1" width="15" customWidth="1"/>
    <col min="5" max="5" width="15.140625" customWidth="1"/>
  </cols>
  <sheetData>
    <row r="2" spans="3:6" ht="47.25" customHeight="1"/>
    <row r="3" spans="3:6" ht="30" customHeight="1">
      <c r="C3" s="73" t="s">
        <v>56</v>
      </c>
      <c r="D3" s="74"/>
      <c r="E3" s="74"/>
      <c r="F3" s="74"/>
    </row>
    <row r="4" spans="3:6" ht="17.25" customHeight="1">
      <c r="C4" s="75">
        <v>2009</v>
      </c>
      <c r="D4" s="76"/>
      <c r="E4" s="76"/>
      <c r="F4" s="76"/>
    </row>
    <row r="5" spans="3:6" ht="30" customHeight="1">
      <c r="C5" s="48"/>
      <c r="D5" s="77" t="s">
        <v>57</v>
      </c>
      <c r="E5" s="77" t="s">
        <v>36</v>
      </c>
      <c r="F5" s="77" t="s">
        <v>37</v>
      </c>
    </row>
    <row r="6" spans="3:6">
      <c r="C6" s="78" t="s">
        <v>58</v>
      </c>
      <c r="D6" s="79">
        <f>GETPIVOTDATA("dato",'[1]Evolución mensual tipología'!$B$5,"categoría","Hoteleros","mes",1)</f>
        <v>13570</v>
      </c>
      <c r="E6" s="79">
        <f>GETPIVOTDATA("dato",'[1]Evolución mensual tipología'!$B$5,"categoría","EXTRAHOTELEROS","mes",1)</f>
        <v>0</v>
      </c>
      <c r="F6" s="79">
        <f>GETPIVOTDATA("dato",'[1]Evolución mensual tipología'!$B$5,"categoría","TOTAL","mes",1)</f>
        <v>13570</v>
      </c>
    </row>
    <row r="7" spans="3:6">
      <c r="C7" s="80" t="s">
        <v>59</v>
      </c>
      <c r="D7" s="52">
        <f>GETPIVOTDATA("dato",'[1]Evolución mensual tipología'!$B$5,"categoría","Hoteleros","mes",2)</f>
        <v>15172</v>
      </c>
      <c r="E7" s="52">
        <f>GETPIVOTDATA("dato",'[1]Evolución mensual tipología'!$B$5,"categoría","EXTRAHOTELEROS","mes",2)</f>
        <v>0</v>
      </c>
      <c r="F7" s="52">
        <f>GETPIVOTDATA("dato",'[1]Evolución mensual tipología'!$B$5,"categoría","TOTAL","mes",2)</f>
        <v>15172</v>
      </c>
    </row>
    <row r="8" spans="3:6">
      <c r="C8" s="80" t="s">
        <v>60</v>
      </c>
      <c r="D8" s="52">
        <f>GETPIVOTDATA("dato",'[1]Evolución mensual tipología'!$B$5,"categoría","Hoteleros","mes",3)</f>
        <v>15653</v>
      </c>
      <c r="E8" s="52">
        <f>GETPIVOTDATA("dato",'[1]Evolución mensual tipología'!$B$5,"categoría","EXTRAHOTELEROS","mes",3)</f>
        <v>0</v>
      </c>
      <c r="F8" s="52">
        <f>GETPIVOTDATA("dato",'[1]Evolución mensual tipología'!$B$5,"categoría","TOTAL","mes",3)</f>
        <v>15653</v>
      </c>
    </row>
    <row r="9" spans="3:6">
      <c r="C9" s="80" t="s">
        <v>61</v>
      </c>
      <c r="D9" s="52">
        <f>GETPIVOTDATA("dato",'[1]Evolución mensual tipología'!$B$5,"categoría","Hoteleros","mes",4)</f>
        <v>13079</v>
      </c>
      <c r="E9" s="52">
        <f>GETPIVOTDATA("dato",'[1]Evolución mensual tipología'!$B$5,"categoría","EXTRAHOTELEROS","mes",4)</f>
        <v>0</v>
      </c>
      <c r="F9" s="52">
        <f>GETPIVOTDATA("dato",'[1]Evolución mensual tipología'!$B$5,"categoría","TOTAL","mes",4)</f>
        <v>13079</v>
      </c>
    </row>
    <row r="10" spans="3:6">
      <c r="C10" s="80" t="s">
        <v>62</v>
      </c>
      <c r="D10" s="52">
        <f>GETPIVOTDATA("dato",'[1]Evolución mensual tipología'!$B$5,"categoría","Hoteleros","mes",5)</f>
        <v>13474</v>
      </c>
      <c r="E10" s="52">
        <f>GETPIVOTDATA("dato",'[1]Evolución mensual tipología'!$B$5,"categoría","EXTRAHOTELEROS","mes",5)</f>
        <v>0</v>
      </c>
      <c r="F10" s="52">
        <f>GETPIVOTDATA("dato",'[1]Evolución mensual tipología'!$B$5,"categoría","TOTAL","mes",5)</f>
        <v>13474</v>
      </c>
    </row>
    <row r="11" spans="3:6">
      <c r="C11" s="80" t="s">
        <v>63</v>
      </c>
      <c r="D11" s="52">
        <f>GETPIVOTDATA("dato",'[1]Evolución mensual tipología'!$B$5,"categoría","Hoteleros","mes",6)</f>
        <v>12750</v>
      </c>
      <c r="E11" s="52">
        <f>GETPIVOTDATA("dato",'[1]Evolución mensual tipología'!$B$5,"categoría","EXTRAHOTELEROS","mes",6)</f>
        <v>0</v>
      </c>
      <c r="F11" s="52">
        <f>GETPIVOTDATA("dato",'[1]Evolución mensual tipología'!$B$5,"categoría","TOTAL","mes",6)</f>
        <v>12750</v>
      </c>
    </row>
    <row r="12" spans="3:6">
      <c r="C12" s="80" t="s">
        <v>64</v>
      </c>
      <c r="D12" s="52">
        <f>GETPIVOTDATA("dato",'[1]Evolución mensual tipología'!$B$5,"categoría","Hoteleros","mes",7)</f>
        <v>11890</v>
      </c>
      <c r="E12" s="52">
        <f>GETPIVOTDATA("dato",'[1]Evolución mensual tipología'!$B$5,"categoría","EXTRAHOTELEROS","mes",7)</f>
        <v>0</v>
      </c>
      <c r="F12" s="52">
        <f>GETPIVOTDATA("dato",'[1]Evolución mensual tipología'!$B$5,"categoría","TOTAL","mes",7)</f>
        <v>11890</v>
      </c>
    </row>
    <row r="13" spans="3:6">
      <c r="C13" s="80" t="s">
        <v>65</v>
      </c>
      <c r="D13" s="52">
        <f>GETPIVOTDATA("dato",'[1]Evolución mensual tipología'!$B$5,"categoría","Hoteleros","mes",8)</f>
        <v>7777</v>
      </c>
      <c r="E13" s="52">
        <f>GETPIVOTDATA("dato",'[1]Evolución mensual tipología'!$B$5,"categoría","EXTRAHOTELEROS","mes",8)</f>
        <v>0</v>
      </c>
      <c r="F13" s="52">
        <f>GETPIVOTDATA("dato",'[1]Evolución mensual tipología'!$B$5,"categoría","TOTAL","mes",8)</f>
        <v>7777</v>
      </c>
    </row>
    <row r="14" spans="3:6">
      <c r="C14" s="80" t="s">
        <v>66</v>
      </c>
      <c r="D14" s="52">
        <f>GETPIVOTDATA("dato",'[1]Evolución mensual tipología'!$B$5,"categoría","Hoteleros","mes",9)</f>
        <v>11123</v>
      </c>
      <c r="E14" s="52">
        <f>GETPIVOTDATA("dato",'[1]Evolución mensual tipología'!$B$5,"categoría","EXTRAHOTELEROS","mes",9)</f>
        <v>0</v>
      </c>
      <c r="F14" s="52">
        <f>GETPIVOTDATA("dato",'[1]Evolución mensual tipología'!$B$5,"categoría","TOTAL","mes",9)</f>
        <v>11123</v>
      </c>
    </row>
    <row r="15" spans="3:6">
      <c r="C15" s="80" t="s">
        <v>67</v>
      </c>
      <c r="D15" s="52">
        <f>GETPIVOTDATA("dato",'[1]Evolución mensual tipología'!$B$5,"categoría","Hoteleros","mes",10)</f>
        <v>12809</v>
      </c>
      <c r="E15" s="52">
        <f>GETPIVOTDATA("dato",'[1]Evolución mensual tipología'!$B$5,"categoría","EXTRAHOTELEROS","mes",10)</f>
        <v>0</v>
      </c>
      <c r="F15" s="52">
        <f>GETPIVOTDATA("dato",'[1]Evolución mensual tipología'!$B$5,"categoría","TOTAL","mes",10)</f>
        <v>12809</v>
      </c>
    </row>
    <row r="16" spans="3:6">
      <c r="C16" s="80" t="s">
        <v>68</v>
      </c>
      <c r="D16" s="52">
        <f>GETPIVOTDATA("dato",'[1]Evolución mensual tipología'!$B$5,"categoría","Hoteleros","mes",11)</f>
        <v>13990</v>
      </c>
      <c r="E16" s="52">
        <f>GETPIVOTDATA("dato",'[1]Evolución mensual tipología'!$B$5,"categoría","EXTRAHOTELEROS","mes",11)</f>
        <v>0</v>
      </c>
      <c r="F16" s="52">
        <f>GETPIVOTDATA("dato",'[1]Evolución mensual tipología'!$B$5,"categoría","TOTAL","mes",11)</f>
        <v>13990</v>
      </c>
    </row>
    <row r="17" spans="3:6">
      <c r="C17" s="80" t="s">
        <v>69</v>
      </c>
      <c r="D17" s="52">
        <f>GETPIVOTDATA("dato",'[1]Evolución mensual tipología'!$B$5,"categoría","Hoteleros","mes",12)</f>
        <v>13086</v>
      </c>
      <c r="E17" s="52">
        <f>GETPIVOTDATA("dato",'[1]Evolución mensual tipología'!$B$5,"categoría","EXTRAHOTELEROS","mes",12)</f>
        <v>0</v>
      </c>
      <c r="F17" s="52">
        <f>GETPIVOTDATA("dato",'[1]Evolución mensual tipología'!$B$5,"categoría","TOTAL","mes",12)</f>
        <v>13086</v>
      </c>
    </row>
    <row r="18" spans="3:6">
      <c r="C18" s="81" t="s">
        <v>70</v>
      </c>
      <c r="D18" s="82">
        <f>GETPIVOTDATA("dato",'[1]Evolución mensual tipología'!$B$5,"categoría","Hoteleros")</f>
        <v>154373</v>
      </c>
      <c r="E18" s="82">
        <f>GETPIVOTDATA("dato",'[1]Evolución mensual tipología'!$B$5,"categoría","EXTRAHOTELEROS")</f>
        <v>0</v>
      </c>
      <c r="F18" s="82">
        <f>GETPIVOTDATA("dato",'[1]Evolución mensual tipología'!$B$5,"categoría","TOTAL")</f>
        <v>154373</v>
      </c>
    </row>
    <row r="19" spans="3:6" ht="23.25" customHeight="1">
      <c r="C19" s="83" t="s">
        <v>71</v>
      </c>
      <c r="D19" s="84"/>
      <c r="E19" s="84"/>
      <c r="F19" s="85"/>
    </row>
    <row r="22" spans="3:6" ht="26.25" customHeight="1">
      <c r="C22" s="73" t="s">
        <v>56</v>
      </c>
      <c r="D22" s="74"/>
      <c r="E22" s="74"/>
      <c r="F22" s="74"/>
    </row>
    <row r="23" spans="3:6">
      <c r="C23" s="75">
        <v>2010</v>
      </c>
      <c r="D23" s="76"/>
      <c r="E23" s="76"/>
      <c r="F23" s="76"/>
    </row>
    <row r="24" spans="3:6" ht="30">
      <c r="C24" s="48"/>
      <c r="D24" s="77" t="s">
        <v>57</v>
      </c>
      <c r="E24" s="77" t="s">
        <v>36</v>
      </c>
      <c r="F24" s="77" t="s">
        <v>37</v>
      </c>
    </row>
    <row r="25" spans="3:6">
      <c r="C25" s="78" t="s">
        <v>58</v>
      </c>
      <c r="D25" s="79">
        <f>IFERROR(GETPIVOTDATA("dato",'[1]Evolución mensual tipología'!$B$27,"categoría","Hoteleros","mes",1,"año",2010),"-")</f>
        <v>13188</v>
      </c>
      <c r="E25" s="79">
        <f>IFERROR(GETPIVOTDATA("dato",'[1]Evolución mensual tipología'!$B$27,"categoría","EXTRAHOTELEROS","mes",1,"año",2010),"-")</f>
        <v>0</v>
      </c>
      <c r="F25" s="79">
        <f>IFERROR(GETPIVOTDATA("dato",'[1]Evolución mensual tipología'!$B$27,"categoría","TOTAL","mes",1,"año",2010),"-")</f>
        <v>13188</v>
      </c>
    </row>
    <row r="26" spans="3:6">
      <c r="C26" s="80" t="s">
        <v>59</v>
      </c>
      <c r="D26" s="52">
        <f>IFERROR(GETPIVOTDATA("dato",'[1]Evolución mensual tipología'!$B$27,"categoría","Hoteleros","mes",2,"año",2010),"-")</f>
        <v>16759</v>
      </c>
      <c r="E26" s="52">
        <f>IFERROR(GETPIVOTDATA("dato",'[1]Evolución mensual tipología'!$B$27,"categoría","EXTRAHOTELEROS","mes",2,"año",2010),"-")</f>
        <v>0</v>
      </c>
      <c r="F26" s="52">
        <f>IFERROR(GETPIVOTDATA("dato",'[1]Evolución mensual tipología'!$B$27,"categoría","TOTAL","mes",2,"año",2010),"-")</f>
        <v>16759</v>
      </c>
    </row>
    <row r="27" spans="3:6">
      <c r="C27" s="80" t="s">
        <v>60</v>
      </c>
      <c r="D27" s="52">
        <f>IFERROR(GETPIVOTDATA("dato",'[1]Evolución mensual tipología'!$B$27,"categoría","Hoteleros","mes",3,"año",2010),"-")</f>
        <v>14574</v>
      </c>
      <c r="E27" s="52">
        <f>IFERROR(GETPIVOTDATA("dato",'[1]Evolución mensual tipología'!$B$27,"categoría","EXTRAHOTELEROS","mes",3,"año",2010),"-")</f>
        <v>0</v>
      </c>
      <c r="F27" s="52">
        <f>IFERROR(GETPIVOTDATA("dato",'[1]Evolución mensual tipología'!$B$27,"categoría","TOTAL","mes",3,"año",2010),"-")</f>
        <v>14574</v>
      </c>
    </row>
    <row r="28" spans="3:6">
      <c r="C28" s="80" t="s">
        <v>61</v>
      </c>
      <c r="D28" s="52">
        <f>IFERROR(GETPIVOTDATA("dato",'[1]Evolución mensual tipología'!$B$27,"categoría","Hoteleros","mes",4,"año",2010),"-")</f>
        <v>12595</v>
      </c>
      <c r="E28" s="52">
        <f>IFERROR(GETPIVOTDATA("dato",'[1]Evolución mensual tipología'!$B$27,"categoría","EXTRAHOTELEROS","mes",4,"año",2010),"-")</f>
        <v>0</v>
      </c>
      <c r="F28" s="52">
        <f>IFERROR(GETPIVOTDATA("dato",'[1]Evolución mensual tipología'!$B$27,"categoría","TOTAL","mes",4,"año",2010),"-")</f>
        <v>12595</v>
      </c>
    </row>
    <row r="29" spans="3:6">
      <c r="C29" s="80" t="s">
        <v>62</v>
      </c>
      <c r="D29" s="52">
        <f>IFERROR(GETPIVOTDATA("dato",'[1]Evolución mensual tipología'!$B$27,"categoría","Hoteleros","mes",5,"año",2010),"-")</f>
        <v>12407</v>
      </c>
      <c r="E29" s="52">
        <f>IFERROR(GETPIVOTDATA("dato",'[1]Evolución mensual tipología'!$B$27,"categoría","EXTRAHOTELEROS","mes",5,"año",2010),"-")</f>
        <v>0</v>
      </c>
      <c r="F29" s="52">
        <f>IFERROR(GETPIVOTDATA("dato",'[1]Evolución mensual tipología'!$B$27,"categoría","TOTAL","mes",5,"año",2010),"-")</f>
        <v>12407</v>
      </c>
    </row>
    <row r="30" spans="3:6">
      <c r="C30" s="80" t="s">
        <v>63</v>
      </c>
      <c r="D30" s="52">
        <f>IFERROR(GETPIVOTDATA("dato",'[1]Evolución mensual tipología'!$B$27,"categoría","Hoteleros","mes",6,"año",2010),"-")</f>
        <v>12682</v>
      </c>
      <c r="E30" s="52">
        <f>IFERROR(GETPIVOTDATA("dato",'[1]Evolución mensual tipología'!$B$27,"categoría","EXTRAHOTELEROS","mes",6,"año",2010),"-")</f>
        <v>0</v>
      </c>
      <c r="F30" s="52">
        <f>IFERROR(GETPIVOTDATA("dato",'[1]Evolución mensual tipología'!$B$27,"categoría","TOTAL","mes",6,"año",2010),"-")</f>
        <v>12682</v>
      </c>
    </row>
    <row r="31" spans="3:6">
      <c r="C31" s="80" t="s">
        <v>64</v>
      </c>
      <c r="D31" s="52">
        <f>IFERROR(GETPIVOTDATA("dato",'[1]Evolución mensual tipología'!$B$27,"categoría","Hoteleros","mes",7,"año",2010),"-")</f>
        <v>10611</v>
      </c>
      <c r="E31" s="52">
        <f>IFERROR(GETPIVOTDATA("dato",'[1]Evolución mensual tipología'!$B$27,"categoría","EXTRAHOTELEROS","mes",7,"año",2010),"-")</f>
        <v>0</v>
      </c>
      <c r="F31" s="52">
        <f>IFERROR(GETPIVOTDATA("dato",'[1]Evolución mensual tipología'!$B$27,"categoría","TOTAL","mes",7,"año",2010),"-")</f>
        <v>10611</v>
      </c>
    </row>
    <row r="32" spans="3:6">
      <c r="C32" s="80" t="s">
        <v>65</v>
      </c>
      <c r="D32" s="52" t="str">
        <f>IFERROR(GETPIVOTDATA("dato",'[1]Evolución mensual tipología'!$B$27,"categoría","Hoteleros","mes",8,"año",2010),"-")</f>
        <v>-</v>
      </c>
      <c r="E32" s="52" t="str">
        <f>IFERROR(GETPIVOTDATA("dato",'[1]Evolución mensual tipología'!$B$27,"categoría","EXTRAHOTELEROS","mes",8,"año",2010),"-")</f>
        <v>-</v>
      </c>
      <c r="F32" s="52" t="str">
        <f>IFERROR(GETPIVOTDATA("dato",'[1]Evolución mensual tipología'!$B$27,"categoría","TOTAL","mes",8,"año",2010),"-")</f>
        <v>-</v>
      </c>
    </row>
    <row r="33" spans="3:6">
      <c r="C33" s="80" t="s">
        <v>66</v>
      </c>
      <c r="D33" s="52" t="str">
        <f>IFERROR(GETPIVOTDATA("dato",'[1]Evolución mensual tipología'!$B$27,"categoría","Hoteleros","mes",9,"año",2010),"-")</f>
        <v>-</v>
      </c>
      <c r="E33" s="52" t="str">
        <f>IFERROR(GETPIVOTDATA("dato",'[1]Evolución mensual tipología'!$B$27,"categoría","EXTRAHOTELEROS","mes",9,"año",2010),"-")</f>
        <v>-</v>
      </c>
      <c r="F33" s="52" t="str">
        <f>IFERROR(GETPIVOTDATA("dato",'[1]Evolución mensual tipología'!$B$27,"categoría","TOTAL","mes",9,"año",2010),"-")</f>
        <v>-</v>
      </c>
    </row>
    <row r="34" spans="3:6">
      <c r="C34" s="80" t="s">
        <v>67</v>
      </c>
      <c r="D34" s="52" t="str">
        <f>IFERROR(GETPIVOTDATA("dato",'[1]Evolución mensual tipología'!$B$27,"categoría","Hoteleros","mes",10,"año",2010),"-")</f>
        <v>-</v>
      </c>
      <c r="E34" s="52" t="str">
        <f>IFERROR(GETPIVOTDATA("dato",'[1]Evolución mensual tipología'!$B$27,"categoría","EXTRAHOTELEROS","mes",10,"año",2010),"-")</f>
        <v>-</v>
      </c>
      <c r="F34" s="52" t="str">
        <f>IFERROR(GETPIVOTDATA("dato",'[1]Evolución mensual tipología'!$B$27,"categoría","TOTAL","mes",10,"año",2010),"-")</f>
        <v>-</v>
      </c>
    </row>
    <row r="35" spans="3:6">
      <c r="C35" s="80" t="s">
        <v>68</v>
      </c>
      <c r="D35" s="52" t="str">
        <f>IFERROR(GETPIVOTDATA("dato",'[1]Evolución mensual tipología'!$B$27,"categoría","Hoteleros","mes",11,"año",2010),"-")</f>
        <v>-</v>
      </c>
      <c r="E35" s="52" t="str">
        <f>IFERROR(GETPIVOTDATA("dato",'[1]Evolución mensual tipología'!$B$27,"categoría","EXTRAHOTELEROS","mes",11,"año",2010),"-")</f>
        <v>-</v>
      </c>
      <c r="F35" s="52" t="str">
        <f>IFERROR(GETPIVOTDATA("dato",'[1]Evolución mensual tipología'!$B$27,"categoría","TOTAL","mes",11,"año",2010),"-")</f>
        <v>-</v>
      </c>
    </row>
    <row r="36" spans="3:6">
      <c r="C36" s="80" t="s">
        <v>69</v>
      </c>
      <c r="D36" s="52" t="str">
        <f>IFERROR(GETPIVOTDATA("dato",'[1]Evolución mensual tipología'!$B$27,"categoría","Hoteleros","mes",12,"año",2010),"-")</f>
        <v>-</v>
      </c>
      <c r="E36" s="52" t="str">
        <f>IFERROR(GETPIVOTDATA("dato",'[1]Evolución mensual tipología'!$B$27,"categoría","EXTRAHOTELEROS","mes",12,"año",2010),"-")</f>
        <v>-</v>
      </c>
      <c r="F36" s="52" t="str">
        <f>IFERROR(GETPIVOTDATA("dato",'[1]Evolución mensual tipología'!$B$27,"categoría","TOTAL","mes",12,"año",2010),"-")</f>
        <v>-</v>
      </c>
    </row>
    <row r="37" spans="3:6">
      <c r="C37" s="81" t="s">
        <v>70</v>
      </c>
      <c r="D37" s="82">
        <f>GETPIVOTDATA("dato",'[1]Evolución mensual tipología'!$B$27,"categoría","Hoteleros","año",2010)</f>
        <v>92816</v>
      </c>
      <c r="E37" s="82">
        <f>GETPIVOTDATA("dato",'[1]Evolución mensual tipología'!$B$27,"categoría","EXTRAHOTELEROS","año",2010)</f>
        <v>0</v>
      </c>
      <c r="F37" s="82">
        <f>GETPIVOTDATA("dato",'[1]Evolución mensual tipología'!$B$27,"categoría","TOTAL","año",2010)</f>
        <v>92816</v>
      </c>
    </row>
    <row r="38" spans="3:6" ht="22.5" customHeight="1">
      <c r="C38" s="83" t="s">
        <v>71</v>
      </c>
      <c r="D38" s="84"/>
      <c r="E38" s="84"/>
      <c r="F38" s="85"/>
    </row>
  </sheetData>
  <mergeCells count="6">
    <mergeCell ref="C3:F3"/>
    <mergeCell ref="C4:F4"/>
    <mergeCell ref="C19:F19"/>
    <mergeCell ref="C22:F22"/>
    <mergeCell ref="C23:F23"/>
    <mergeCell ref="C38:F3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28">
    <tabColor rgb="FF000099"/>
    <pageSetUpPr autoPageBreaks="0" fitToPage="1"/>
  </sheetPr>
  <dimension ref="B6:S44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5" style="194" customWidth="1"/>
    <col min="2" max="8" width="12.42578125" style="194" customWidth="1"/>
    <col min="9" max="9" width="11.42578125" style="194"/>
    <col min="10" max="10" width="11.85546875" style="194" customWidth="1"/>
    <col min="11" max="11" width="3.7109375" style="194" customWidth="1"/>
    <col min="12" max="16" width="11.42578125" style="194"/>
    <col min="17" max="17" width="16.42578125" style="194" customWidth="1"/>
    <col min="18" max="265" width="11.42578125" style="194"/>
    <col min="266" max="266" width="11.85546875" style="194" customWidth="1"/>
    <col min="267" max="267" width="3.7109375" style="194" customWidth="1"/>
    <col min="268" max="521" width="11.42578125" style="194"/>
    <col min="522" max="522" width="11.85546875" style="194" customWidth="1"/>
    <col min="523" max="523" width="3.7109375" style="194" customWidth="1"/>
    <col min="524" max="777" width="11.42578125" style="194"/>
    <col min="778" max="778" width="11.85546875" style="194" customWidth="1"/>
    <col min="779" max="779" width="3.7109375" style="194" customWidth="1"/>
    <col min="780" max="1033" width="11.42578125" style="194"/>
    <col min="1034" max="1034" width="11.85546875" style="194" customWidth="1"/>
    <col min="1035" max="1035" width="3.7109375" style="194" customWidth="1"/>
    <col min="1036" max="1289" width="11.42578125" style="194"/>
    <col min="1290" max="1290" width="11.85546875" style="194" customWidth="1"/>
    <col min="1291" max="1291" width="3.7109375" style="194" customWidth="1"/>
    <col min="1292" max="1545" width="11.42578125" style="194"/>
    <col min="1546" max="1546" width="11.85546875" style="194" customWidth="1"/>
    <col min="1547" max="1547" width="3.7109375" style="194" customWidth="1"/>
    <col min="1548" max="1801" width="11.42578125" style="194"/>
    <col min="1802" max="1802" width="11.85546875" style="194" customWidth="1"/>
    <col min="1803" max="1803" width="3.7109375" style="194" customWidth="1"/>
    <col min="1804" max="2057" width="11.42578125" style="194"/>
    <col min="2058" max="2058" width="11.85546875" style="194" customWidth="1"/>
    <col min="2059" max="2059" width="3.7109375" style="194" customWidth="1"/>
    <col min="2060" max="2313" width="11.42578125" style="194"/>
    <col min="2314" max="2314" width="11.85546875" style="194" customWidth="1"/>
    <col min="2315" max="2315" width="3.7109375" style="194" customWidth="1"/>
    <col min="2316" max="2569" width="11.42578125" style="194"/>
    <col min="2570" max="2570" width="11.85546875" style="194" customWidth="1"/>
    <col min="2571" max="2571" width="3.7109375" style="194" customWidth="1"/>
    <col min="2572" max="2825" width="11.42578125" style="194"/>
    <col min="2826" max="2826" width="11.85546875" style="194" customWidth="1"/>
    <col min="2827" max="2827" width="3.7109375" style="194" customWidth="1"/>
    <col min="2828" max="3081" width="11.42578125" style="194"/>
    <col min="3082" max="3082" width="11.85546875" style="194" customWidth="1"/>
    <col min="3083" max="3083" width="3.7109375" style="194" customWidth="1"/>
    <col min="3084" max="3337" width="11.42578125" style="194"/>
    <col min="3338" max="3338" width="11.85546875" style="194" customWidth="1"/>
    <col min="3339" max="3339" width="3.7109375" style="194" customWidth="1"/>
    <col min="3340" max="3593" width="11.42578125" style="194"/>
    <col min="3594" max="3594" width="11.85546875" style="194" customWidth="1"/>
    <col min="3595" max="3595" width="3.7109375" style="194" customWidth="1"/>
    <col min="3596" max="3849" width="11.42578125" style="194"/>
    <col min="3850" max="3850" width="11.85546875" style="194" customWidth="1"/>
    <col min="3851" max="3851" width="3.7109375" style="194" customWidth="1"/>
    <col min="3852" max="4105" width="11.42578125" style="194"/>
    <col min="4106" max="4106" width="11.85546875" style="194" customWidth="1"/>
    <col min="4107" max="4107" width="3.7109375" style="194" customWidth="1"/>
    <col min="4108" max="4361" width="11.42578125" style="194"/>
    <col min="4362" max="4362" width="11.85546875" style="194" customWidth="1"/>
    <col min="4363" max="4363" width="3.7109375" style="194" customWidth="1"/>
    <col min="4364" max="4617" width="11.42578125" style="194"/>
    <col min="4618" max="4618" width="11.85546875" style="194" customWidth="1"/>
    <col min="4619" max="4619" width="3.7109375" style="194" customWidth="1"/>
    <col min="4620" max="4873" width="11.42578125" style="194"/>
    <col min="4874" max="4874" width="11.85546875" style="194" customWidth="1"/>
    <col min="4875" max="4875" width="3.7109375" style="194" customWidth="1"/>
    <col min="4876" max="5129" width="11.42578125" style="194"/>
    <col min="5130" max="5130" width="11.85546875" style="194" customWidth="1"/>
    <col min="5131" max="5131" width="3.7109375" style="194" customWidth="1"/>
    <col min="5132" max="5385" width="11.42578125" style="194"/>
    <col min="5386" max="5386" width="11.85546875" style="194" customWidth="1"/>
    <col min="5387" max="5387" width="3.7109375" style="194" customWidth="1"/>
    <col min="5388" max="5641" width="11.42578125" style="194"/>
    <col min="5642" max="5642" width="11.85546875" style="194" customWidth="1"/>
    <col min="5643" max="5643" width="3.7109375" style="194" customWidth="1"/>
    <col min="5644" max="5897" width="11.42578125" style="194"/>
    <col min="5898" max="5898" width="11.85546875" style="194" customWidth="1"/>
    <col min="5899" max="5899" width="3.7109375" style="194" customWidth="1"/>
    <col min="5900" max="6153" width="11.42578125" style="194"/>
    <col min="6154" max="6154" width="11.85546875" style="194" customWidth="1"/>
    <col min="6155" max="6155" width="3.7109375" style="194" customWidth="1"/>
    <col min="6156" max="6409" width="11.42578125" style="194"/>
    <col min="6410" max="6410" width="11.85546875" style="194" customWidth="1"/>
    <col min="6411" max="6411" width="3.7109375" style="194" customWidth="1"/>
    <col min="6412" max="6665" width="11.42578125" style="194"/>
    <col min="6666" max="6666" width="11.85546875" style="194" customWidth="1"/>
    <col min="6667" max="6667" width="3.7109375" style="194" customWidth="1"/>
    <col min="6668" max="6921" width="11.42578125" style="194"/>
    <col min="6922" max="6922" width="11.85546875" style="194" customWidth="1"/>
    <col min="6923" max="6923" width="3.7109375" style="194" customWidth="1"/>
    <col min="6924" max="7177" width="11.42578125" style="194"/>
    <col min="7178" max="7178" width="11.85546875" style="194" customWidth="1"/>
    <col min="7179" max="7179" width="3.7109375" style="194" customWidth="1"/>
    <col min="7180" max="7433" width="11.42578125" style="194"/>
    <col min="7434" max="7434" width="11.85546875" style="194" customWidth="1"/>
    <col min="7435" max="7435" width="3.7109375" style="194" customWidth="1"/>
    <col min="7436" max="7689" width="11.42578125" style="194"/>
    <col min="7690" max="7690" width="11.85546875" style="194" customWidth="1"/>
    <col min="7691" max="7691" width="3.7109375" style="194" customWidth="1"/>
    <col min="7692" max="7945" width="11.42578125" style="194"/>
    <col min="7946" max="7946" width="11.85546875" style="194" customWidth="1"/>
    <col min="7947" max="7947" width="3.7109375" style="194" customWidth="1"/>
    <col min="7948" max="8201" width="11.42578125" style="194"/>
    <col min="8202" max="8202" width="11.85546875" style="194" customWidth="1"/>
    <col min="8203" max="8203" width="3.7109375" style="194" customWidth="1"/>
    <col min="8204" max="8457" width="11.42578125" style="194"/>
    <col min="8458" max="8458" width="11.85546875" style="194" customWidth="1"/>
    <col min="8459" max="8459" width="3.7109375" style="194" customWidth="1"/>
    <col min="8460" max="8713" width="11.42578125" style="194"/>
    <col min="8714" max="8714" width="11.85546875" style="194" customWidth="1"/>
    <col min="8715" max="8715" width="3.7109375" style="194" customWidth="1"/>
    <col min="8716" max="8969" width="11.42578125" style="194"/>
    <col min="8970" max="8970" width="11.85546875" style="194" customWidth="1"/>
    <col min="8971" max="8971" width="3.7109375" style="194" customWidth="1"/>
    <col min="8972" max="9225" width="11.42578125" style="194"/>
    <col min="9226" max="9226" width="11.85546875" style="194" customWidth="1"/>
    <col min="9227" max="9227" width="3.7109375" style="194" customWidth="1"/>
    <col min="9228" max="9481" width="11.42578125" style="194"/>
    <col min="9482" max="9482" width="11.85546875" style="194" customWidth="1"/>
    <col min="9483" max="9483" width="3.7109375" style="194" customWidth="1"/>
    <col min="9484" max="9737" width="11.42578125" style="194"/>
    <col min="9738" max="9738" width="11.85546875" style="194" customWidth="1"/>
    <col min="9739" max="9739" width="3.7109375" style="194" customWidth="1"/>
    <col min="9740" max="9993" width="11.42578125" style="194"/>
    <col min="9994" max="9994" width="11.85546875" style="194" customWidth="1"/>
    <col min="9995" max="9995" width="3.7109375" style="194" customWidth="1"/>
    <col min="9996" max="10249" width="11.42578125" style="194"/>
    <col min="10250" max="10250" width="11.85546875" style="194" customWidth="1"/>
    <col min="10251" max="10251" width="3.7109375" style="194" customWidth="1"/>
    <col min="10252" max="10505" width="11.42578125" style="194"/>
    <col min="10506" max="10506" width="11.85546875" style="194" customWidth="1"/>
    <col min="10507" max="10507" width="3.7109375" style="194" customWidth="1"/>
    <col min="10508" max="10761" width="11.42578125" style="194"/>
    <col min="10762" max="10762" width="11.85546875" style="194" customWidth="1"/>
    <col min="10763" max="10763" width="3.7109375" style="194" customWidth="1"/>
    <col min="10764" max="11017" width="11.42578125" style="194"/>
    <col min="11018" max="11018" width="11.85546875" style="194" customWidth="1"/>
    <col min="11019" max="11019" width="3.7109375" style="194" customWidth="1"/>
    <col min="11020" max="11273" width="11.42578125" style="194"/>
    <col min="11274" max="11274" width="11.85546875" style="194" customWidth="1"/>
    <col min="11275" max="11275" width="3.7109375" style="194" customWidth="1"/>
    <col min="11276" max="11529" width="11.42578125" style="194"/>
    <col min="11530" max="11530" width="11.85546875" style="194" customWidth="1"/>
    <col min="11531" max="11531" width="3.7109375" style="194" customWidth="1"/>
    <col min="11532" max="11785" width="11.42578125" style="194"/>
    <col min="11786" max="11786" width="11.85546875" style="194" customWidth="1"/>
    <col min="11787" max="11787" width="3.7109375" style="194" customWidth="1"/>
    <col min="11788" max="12041" width="11.42578125" style="194"/>
    <col min="12042" max="12042" width="11.85546875" style="194" customWidth="1"/>
    <col min="12043" max="12043" width="3.7109375" style="194" customWidth="1"/>
    <col min="12044" max="12297" width="11.42578125" style="194"/>
    <col min="12298" max="12298" width="11.85546875" style="194" customWidth="1"/>
    <col min="12299" max="12299" width="3.7109375" style="194" customWidth="1"/>
    <col min="12300" max="12553" width="11.42578125" style="194"/>
    <col min="12554" max="12554" width="11.85546875" style="194" customWidth="1"/>
    <col min="12555" max="12555" width="3.7109375" style="194" customWidth="1"/>
    <col min="12556" max="12809" width="11.42578125" style="194"/>
    <col min="12810" max="12810" width="11.85546875" style="194" customWidth="1"/>
    <col min="12811" max="12811" width="3.7109375" style="194" customWidth="1"/>
    <col min="12812" max="13065" width="11.42578125" style="194"/>
    <col min="13066" max="13066" width="11.85546875" style="194" customWidth="1"/>
    <col min="13067" max="13067" width="3.7109375" style="194" customWidth="1"/>
    <col min="13068" max="13321" width="11.42578125" style="194"/>
    <col min="13322" max="13322" width="11.85546875" style="194" customWidth="1"/>
    <col min="13323" max="13323" width="3.7109375" style="194" customWidth="1"/>
    <col min="13324" max="13577" width="11.42578125" style="194"/>
    <col min="13578" max="13578" width="11.85546875" style="194" customWidth="1"/>
    <col min="13579" max="13579" width="3.7109375" style="194" customWidth="1"/>
    <col min="13580" max="13833" width="11.42578125" style="194"/>
    <col min="13834" max="13834" width="11.85546875" style="194" customWidth="1"/>
    <col min="13835" max="13835" width="3.7109375" style="194" customWidth="1"/>
    <col min="13836" max="14089" width="11.42578125" style="194"/>
    <col min="14090" max="14090" width="11.85546875" style="194" customWidth="1"/>
    <col min="14091" max="14091" width="3.7109375" style="194" customWidth="1"/>
    <col min="14092" max="14345" width="11.42578125" style="194"/>
    <col min="14346" max="14346" width="11.85546875" style="194" customWidth="1"/>
    <col min="14347" max="14347" width="3.7109375" style="194" customWidth="1"/>
    <col min="14348" max="14601" width="11.42578125" style="194"/>
    <col min="14602" max="14602" width="11.85546875" style="194" customWidth="1"/>
    <col min="14603" max="14603" width="3.7109375" style="194" customWidth="1"/>
    <col min="14604" max="14857" width="11.42578125" style="194"/>
    <col min="14858" max="14858" width="11.85546875" style="194" customWidth="1"/>
    <col min="14859" max="14859" width="3.7109375" style="194" customWidth="1"/>
    <col min="14860" max="15113" width="11.42578125" style="194"/>
    <col min="15114" max="15114" width="11.85546875" style="194" customWidth="1"/>
    <col min="15115" max="15115" width="3.7109375" style="194" customWidth="1"/>
    <col min="15116" max="15369" width="11.42578125" style="194"/>
    <col min="15370" max="15370" width="11.85546875" style="194" customWidth="1"/>
    <col min="15371" max="15371" width="3.7109375" style="194" customWidth="1"/>
    <col min="15372" max="15625" width="11.42578125" style="194"/>
    <col min="15626" max="15626" width="11.85546875" style="194" customWidth="1"/>
    <col min="15627" max="15627" width="3.7109375" style="194" customWidth="1"/>
    <col min="15628" max="15881" width="11.42578125" style="194"/>
    <col min="15882" max="15882" width="11.85546875" style="194" customWidth="1"/>
    <col min="15883" max="15883" width="3.7109375" style="194" customWidth="1"/>
    <col min="15884" max="16137" width="11.42578125" style="194"/>
    <col min="16138" max="16138" width="11.85546875" style="194" customWidth="1"/>
    <col min="16139" max="16139" width="3.7109375" style="194" customWidth="1"/>
    <col min="16140" max="16384" width="11.42578125" style="194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0" t="s">
        <v>52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pernocta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17">
    <tabColor rgb="FF000099"/>
    <pageSetUpPr autoPageBreaks="0" fitToPage="1"/>
  </sheetPr>
  <dimension ref="B6:L30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3.28515625" style="201" customWidth="1"/>
    <col min="2" max="2" width="30.85546875" style="201" customWidth="1"/>
    <col min="3" max="5" width="12.7109375" style="201" customWidth="1"/>
    <col min="6" max="6" width="10.7109375" style="201" customWidth="1"/>
    <col min="7" max="12" width="11.42578125" style="201"/>
    <col min="13" max="13" width="13.7109375" style="201" customWidth="1"/>
    <col min="14" max="256" width="11.42578125" style="201"/>
    <col min="257" max="257" width="13.28515625" style="201" customWidth="1"/>
    <col min="258" max="258" width="30.85546875" style="201" customWidth="1"/>
    <col min="259" max="261" width="12.7109375" style="201" customWidth="1"/>
    <col min="262" max="262" width="10.7109375" style="201" customWidth="1"/>
    <col min="263" max="268" width="11.42578125" style="201"/>
    <col min="269" max="269" width="13.7109375" style="201" customWidth="1"/>
    <col min="270" max="512" width="11.42578125" style="201"/>
    <col min="513" max="513" width="13.28515625" style="201" customWidth="1"/>
    <col min="514" max="514" width="30.85546875" style="201" customWidth="1"/>
    <col min="515" max="517" width="12.7109375" style="201" customWidth="1"/>
    <col min="518" max="518" width="10.7109375" style="201" customWidth="1"/>
    <col min="519" max="524" width="11.42578125" style="201"/>
    <col min="525" max="525" width="13.7109375" style="201" customWidth="1"/>
    <col min="526" max="768" width="11.42578125" style="201"/>
    <col min="769" max="769" width="13.28515625" style="201" customWidth="1"/>
    <col min="770" max="770" width="30.85546875" style="201" customWidth="1"/>
    <col min="771" max="773" width="12.7109375" style="201" customWidth="1"/>
    <col min="774" max="774" width="10.7109375" style="201" customWidth="1"/>
    <col min="775" max="780" width="11.42578125" style="201"/>
    <col min="781" max="781" width="13.7109375" style="201" customWidth="1"/>
    <col min="782" max="1024" width="11.42578125" style="201"/>
    <col min="1025" max="1025" width="13.28515625" style="201" customWidth="1"/>
    <col min="1026" max="1026" width="30.85546875" style="201" customWidth="1"/>
    <col min="1027" max="1029" width="12.7109375" style="201" customWidth="1"/>
    <col min="1030" max="1030" width="10.7109375" style="201" customWidth="1"/>
    <col min="1031" max="1036" width="11.42578125" style="201"/>
    <col min="1037" max="1037" width="13.7109375" style="201" customWidth="1"/>
    <col min="1038" max="1280" width="11.42578125" style="201"/>
    <col min="1281" max="1281" width="13.28515625" style="201" customWidth="1"/>
    <col min="1282" max="1282" width="30.85546875" style="201" customWidth="1"/>
    <col min="1283" max="1285" width="12.7109375" style="201" customWidth="1"/>
    <col min="1286" max="1286" width="10.7109375" style="201" customWidth="1"/>
    <col min="1287" max="1292" width="11.42578125" style="201"/>
    <col min="1293" max="1293" width="13.7109375" style="201" customWidth="1"/>
    <col min="1294" max="1536" width="11.42578125" style="201"/>
    <col min="1537" max="1537" width="13.28515625" style="201" customWidth="1"/>
    <col min="1538" max="1538" width="30.85546875" style="201" customWidth="1"/>
    <col min="1539" max="1541" width="12.7109375" style="201" customWidth="1"/>
    <col min="1542" max="1542" width="10.7109375" style="201" customWidth="1"/>
    <col min="1543" max="1548" width="11.42578125" style="201"/>
    <col min="1549" max="1549" width="13.7109375" style="201" customWidth="1"/>
    <col min="1550" max="1792" width="11.42578125" style="201"/>
    <col min="1793" max="1793" width="13.28515625" style="201" customWidth="1"/>
    <col min="1794" max="1794" width="30.85546875" style="201" customWidth="1"/>
    <col min="1795" max="1797" width="12.7109375" style="201" customWidth="1"/>
    <col min="1798" max="1798" width="10.7109375" style="201" customWidth="1"/>
    <col min="1799" max="1804" width="11.42578125" style="201"/>
    <col min="1805" max="1805" width="13.7109375" style="201" customWidth="1"/>
    <col min="1806" max="2048" width="11.42578125" style="201"/>
    <col min="2049" max="2049" width="13.28515625" style="201" customWidth="1"/>
    <col min="2050" max="2050" width="30.85546875" style="201" customWidth="1"/>
    <col min="2051" max="2053" width="12.7109375" style="201" customWidth="1"/>
    <col min="2054" max="2054" width="10.7109375" style="201" customWidth="1"/>
    <col min="2055" max="2060" width="11.42578125" style="201"/>
    <col min="2061" max="2061" width="13.7109375" style="201" customWidth="1"/>
    <col min="2062" max="2304" width="11.42578125" style="201"/>
    <col min="2305" max="2305" width="13.28515625" style="201" customWidth="1"/>
    <col min="2306" max="2306" width="30.85546875" style="201" customWidth="1"/>
    <col min="2307" max="2309" width="12.7109375" style="201" customWidth="1"/>
    <col min="2310" max="2310" width="10.7109375" style="201" customWidth="1"/>
    <col min="2311" max="2316" width="11.42578125" style="201"/>
    <col min="2317" max="2317" width="13.7109375" style="201" customWidth="1"/>
    <col min="2318" max="2560" width="11.42578125" style="201"/>
    <col min="2561" max="2561" width="13.28515625" style="201" customWidth="1"/>
    <col min="2562" max="2562" width="30.85546875" style="201" customWidth="1"/>
    <col min="2563" max="2565" width="12.7109375" style="201" customWidth="1"/>
    <col min="2566" max="2566" width="10.7109375" style="201" customWidth="1"/>
    <col min="2567" max="2572" width="11.42578125" style="201"/>
    <col min="2573" max="2573" width="13.7109375" style="201" customWidth="1"/>
    <col min="2574" max="2816" width="11.42578125" style="201"/>
    <col min="2817" max="2817" width="13.28515625" style="201" customWidth="1"/>
    <col min="2818" max="2818" width="30.85546875" style="201" customWidth="1"/>
    <col min="2819" max="2821" width="12.7109375" style="201" customWidth="1"/>
    <col min="2822" max="2822" width="10.7109375" style="201" customWidth="1"/>
    <col min="2823" max="2828" width="11.42578125" style="201"/>
    <col min="2829" max="2829" width="13.7109375" style="201" customWidth="1"/>
    <col min="2830" max="3072" width="11.42578125" style="201"/>
    <col min="3073" max="3073" width="13.28515625" style="201" customWidth="1"/>
    <col min="3074" max="3074" width="30.85546875" style="201" customWidth="1"/>
    <col min="3075" max="3077" width="12.7109375" style="201" customWidth="1"/>
    <col min="3078" max="3078" width="10.7109375" style="201" customWidth="1"/>
    <col min="3079" max="3084" width="11.42578125" style="201"/>
    <col min="3085" max="3085" width="13.7109375" style="201" customWidth="1"/>
    <col min="3086" max="3328" width="11.42578125" style="201"/>
    <col min="3329" max="3329" width="13.28515625" style="201" customWidth="1"/>
    <col min="3330" max="3330" width="30.85546875" style="201" customWidth="1"/>
    <col min="3331" max="3333" width="12.7109375" style="201" customWidth="1"/>
    <col min="3334" max="3334" width="10.7109375" style="201" customWidth="1"/>
    <col min="3335" max="3340" width="11.42578125" style="201"/>
    <col min="3341" max="3341" width="13.7109375" style="201" customWidth="1"/>
    <col min="3342" max="3584" width="11.42578125" style="201"/>
    <col min="3585" max="3585" width="13.28515625" style="201" customWidth="1"/>
    <col min="3586" max="3586" width="30.85546875" style="201" customWidth="1"/>
    <col min="3587" max="3589" width="12.7109375" style="201" customWidth="1"/>
    <col min="3590" max="3590" width="10.7109375" style="201" customWidth="1"/>
    <col min="3591" max="3596" width="11.42578125" style="201"/>
    <col min="3597" max="3597" width="13.7109375" style="201" customWidth="1"/>
    <col min="3598" max="3840" width="11.42578125" style="201"/>
    <col min="3841" max="3841" width="13.28515625" style="201" customWidth="1"/>
    <col min="3842" max="3842" width="30.85546875" style="201" customWidth="1"/>
    <col min="3843" max="3845" width="12.7109375" style="201" customWidth="1"/>
    <col min="3846" max="3846" width="10.7109375" style="201" customWidth="1"/>
    <col min="3847" max="3852" width="11.42578125" style="201"/>
    <col min="3853" max="3853" width="13.7109375" style="201" customWidth="1"/>
    <col min="3854" max="4096" width="11.42578125" style="201"/>
    <col min="4097" max="4097" width="13.28515625" style="201" customWidth="1"/>
    <col min="4098" max="4098" width="30.85546875" style="201" customWidth="1"/>
    <col min="4099" max="4101" width="12.7109375" style="201" customWidth="1"/>
    <col min="4102" max="4102" width="10.7109375" style="201" customWidth="1"/>
    <col min="4103" max="4108" width="11.42578125" style="201"/>
    <col min="4109" max="4109" width="13.7109375" style="201" customWidth="1"/>
    <col min="4110" max="4352" width="11.42578125" style="201"/>
    <col min="4353" max="4353" width="13.28515625" style="201" customWidth="1"/>
    <col min="4354" max="4354" width="30.85546875" style="201" customWidth="1"/>
    <col min="4355" max="4357" width="12.7109375" style="201" customWidth="1"/>
    <col min="4358" max="4358" width="10.7109375" style="201" customWidth="1"/>
    <col min="4359" max="4364" width="11.42578125" style="201"/>
    <col min="4365" max="4365" width="13.7109375" style="201" customWidth="1"/>
    <col min="4366" max="4608" width="11.42578125" style="201"/>
    <col min="4609" max="4609" width="13.28515625" style="201" customWidth="1"/>
    <col min="4610" max="4610" width="30.85546875" style="201" customWidth="1"/>
    <col min="4611" max="4613" width="12.7109375" style="201" customWidth="1"/>
    <col min="4614" max="4614" width="10.7109375" style="201" customWidth="1"/>
    <col min="4615" max="4620" width="11.42578125" style="201"/>
    <col min="4621" max="4621" width="13.7109375" style="201" customWidth="1"/>
    <col min="4622" max="4864" width="11.42578125" style="201"/>
    <col min="4865" max="4865" width="13.28515625" style="201" customWidth="1"/>
    <col min="4866" max="4866" width="30.85546875" style="201" customWidth="1"/>
    <col min="4867" max="4869" width="12.7109375" style="201" customWidth="1"/>
    <col min="4870" max="4870" width="10.7109375" style="201" customWidth="1"/>
    <col min="4871" max="4876" width="11.42578125" style="201"/>
    <col min="4877" max="4877" width="13.7109375" style="201" customWidth="1"/>
    <col min="4878" max="5120" width="11.42578125" style="201"/>
    <col min="5121" max="5121" width="13.28515625" style="201" customWidth="1"/>
    <col min="5122" max="5122" width="30.85546875" style="201" customWidth="1"/>
    <col min="5123" max="5125" width="12.7109375" style="201" customWidth="1"/>
    <col min="5126" max="5126" width="10.7109375" style="201" customWidth="1"/>
    <col min="5127" max="5132" width="11.42578125" style="201"/>
    <col min="5133" max="5133" width="13.7109375" style="201" customWidth="1"/>
    <col min="5134" max="5376" width="11.42578125" style="201"/>
    <col min="5377" max="5377" width="13.28515625" style="201" customWidth="1"/>
    <col min="5378" max="5378" width="30.85546875" style="201" customWidth="1"/>
    <col min="5379" max="5381" width="12.7109375" style="201" customWidth="1"/>
    <col min="5382" max="5382" width="10.7109375" style="201" customWidth="1"/>
    <col min="5383" max="5388" width="11.42578125" style="201"/>
    <col min="5389" max="5389" width="13.7109375" style="201" customWidth="1"/>
    <col min="5390" max="5632" width="11.42578125" style="201"/>
    <col min="5633" max="5633" width="13.28515625" style="201" customWidth="1"/>
    <col min="5634" max="5634" width="30.85546875" style="201" customWidth="1"/>
    <col min="5635" max="5637" width="12.7109375" style="201" customWidth="1"/>
    <col min="5638" max="5638" width="10.7109375" style="201" customWidth="1"/>
    <col min="5639" max="5644" width="11.42578125" style="201"/>
    <col min="5645" max="5645" width="13.7109375" style="201" customWidth="1"/>
    <col min="5646" max="5888" width="11.42578125" style="201"/>
    <col min="5889" max="5889" width="13.28515625" style="201" customWidth="1"/>
    <col min="5890" max="5890" width="30.85546875" style="201" customWidth="1"/>
    <col min="5891" max="5893" width="12.7109375" style="201" customWidth="1"/>
    <col min="5894" max="5894" width="10.7109375" style="201" customWidth="1"/>
    <col min="5895" max="5900" width="11.42578125" style="201"/>
    <col min="5901" max="5901" width="13.7109375" style="201" customWidth="1"/>
    <col min="5902" max="6144" width="11.42578125" style="201"/>
    <col min="6145" max="6145" width="13.28515625" style="201" customWidth="1"/>
    <col min="6146" max="6146" width="30.85546875" style="201" customWidth="1"/>
    <col min="6147" max="6149" width="12.7109375" style="201" customWidth="1"/>
    <col min="6150" max="6150" width="10.7109375" style="201" customWidth="1"/>
    <col min="6151" max="6156" width="11.42578125" style="201"/>
    <col min="6157" max="6157" width="13.7109375" style="201" customWidth="1"/>
    <col min="6158" max="6400" width="11.42578125" style="201"/>
    <col min="6401" max="6401" width="13.28515625" style="201" customWidth="1"/>
    <col min="6402" max="6402" width="30.85546875" style="201" customWidth="1"/>
    <col min="6403" max="6405" width="12.7109375" style="201" customWidth="1"/>
    <col min="6406" max="6406" width="10.7109375" style="201" customWidth="1"/>
    <col min="6407" max="6412" width="11.42578125" style="201"/>
    <col min="6413" max="6413" width="13.7109375" style="201" customWidth="1"/>
    <col min="6414" max="6656" width="11.42578125" style="201"/>
    <col min="6657" max="6657" width="13.28515625" style="201" customWidth="1"/>
    <col min="6658" max="6658" width="30.85546875" style="201" customWidth="1"/>
    <col min="6659" max="6661" width="12.7109375" style="201" customWidth="1"/>
    <col min="6662" max="6662" width="10.7109375" style="201" customWidth="1"/>
    <col min="6663" max="6668" width="11.42578125" style="201"/>
    <col min="6669" max="6669" width="13.7109375" style="201" customWidth="1"/>
    <col min="6670" max="6912" width="11.42578125" style="201"/>
    <col min="6913" max="6913" width="13.28515625" style="201" customWidth="1"/>
    <col min="6914" max="6914" width="30.85546875" style="201" customWidth="1"/>
    <col min="6915" max="6917" width="12.7109375" style="201" customWidth="1"/>
    <col min="6918" max="6918" width="10.7109375" style="201" customWidth="1"/>
    <col min="6919" max="6924" width="11.42578125" style="201"/>
    <col min="6925" max="6925" width="13.7109375" style="201" customWidth="1"/>
    <col min="6926" max="7168" width="11.42578125" style="201"/>
    <col min="7169" max="7169" width="13.28515625" style="201" customWidth="1"/>
    <col min="7170" max="7170" width="30.85546875" style="201" customWidth="1"/>
    <col min="7171" max="7173" width="12.7109375" style="201" customWidth="1"/>
    <col min="7174" max="7174" width="10.7109375" style="201" customWidth="1"/>
    <col min="7175" max="7180" width="11.42578125" style="201"/>
    <col min="7181" max="7181" width="13.7109375" style="201" customWidth="1"/>
    <col min="7182" max="7424" width="11.42578125" style="201"/>
    <col min="7425" max="7425" width="13.28515625" style="201" customWidth="1"/>
    <col min="7426" max="7426" width="30.85546875" style="201" customWidth="1"/>
    <col min="7427" max="7429" width="12.7109375" style="201" customWidth="1"/>
    <col min="7430" max="7430" width="10.7109375" style="201" customWidth="1"/>
    <col min="7431" max="7436" width="11.42578125" style="201"/>
    <col min="7437" max="7437" width="13.7109375" style="201" customWidth="1"/>
    <col min="7438" max="7680" width="11.42578125" style="201"/>
    <col min="7681" max="7681" width="13.28515625" style="201" customWidth="1"/>
    <col min="7682" max="7682" width="30.85546875" style="201" customWidth="1"/>
    <col min="7683" max="7685" width="12.7109375" style="201" customWidth="1"/>
    <col min="7686" max="7686" width="10.7109375" style="201" customWidth="1"/>
    <col min="7687" max="7692" width="11.42578125" style="201"/>
    <col min="7693" max="7693" width="13.7109375" style="201" customWidth="1"/>
    <col min="7694" max="7936" width="11.42578125" style="201"/>
    <col min="7937" max="7937" width="13.28515625" style="201" customWidth="1"/>
    <col min="7938" max="7938" width="30.85546875" style="201" customWidth="1"/>
    <col min="7939" max="7941" width="12.7109375" style="201" customWidth="1"/>
    <col min="7942" max="7942" width="10.7109375" style="201" customWidth="1"/>
    <col min="7943" max="7948" width="11.42578125" style="201"/>
    <col min="7949" max="7949" width="13.7109375" style="201" customWidth="1"/>
    <col min="7950" max="8192" width="11.42578125" style="201"/>
    <col min="8193" max="8193" width="13.28515625" style="201" customWidth="1"/>
    <col min="8194" max="8194" width="30.85546875" style="201" customWidth="1"/>
    <col min="8195" max="8197" width="12.7109375" style="201" customWidth="1"/>
    <col min="8198" max="8198" width="10.7109375" style="201" customWidth="1"/>
    <col min="8199" max="8204" width="11.42578125" style="201"/>
    <col min="8205" max="8205" width="13.7109375" style="201" customWidth="1"/>
    <col min="8206" max="8448" width="11.42578125" style="201"/>
    <col min="8449" max="8449" width="13.28515625" style="201" customWidth="1"/>
    <col min="8450" max="8450" width="30.85546875" style="201" customWidth="1"/>
    <col min="8451" max="8453" width="12.7109375" style="201" customWidth="1"/>
    <col min="8454" max="8454" width="10.7109375" style="201" customWidth="1"/>
    <col min="8455" max="8460" width="11.42578125" style="201"/>
    <col min="8461" max="8461" width="13.7109375" style="201" customWidth="1"/>
    <col min="8462" max="8704" width="11.42578125" style="201"/>
    <col min="8705" max="8705" width="13.28515625" style="201" customWidth="1"/>
    <col min="8706" max="8706" width="30.85546875" style="201" customWidth="1"/>
    <col min="8707" max="8709" width="12.7109375" style="201" customWidth="1"/>
    <col min="8710" max="8710" width="10.7109375" style="201" customWidth="1"/>
    <col min="8711" max="8716" width="11.42578125" style="201"/>
    <col min="8717" max="8717" width="13.7109375" style="201" customWidth="1"/>
    <col min="8718" max="8960" width="11.42578125" style="201"/>
    <col min="8961" max="8961" width="13.28515625" style="201" customWidth="1"/>
    <col min="8962" max="8962" width="30.85546875" style="201" customWidth="1"/>
    <col min="8963" max="8965" width="12.7109375" style="201" customWidth="1"/>
    <col min="8966" max="8966" width="10.7109375" style="201" customWidth="1"/>
    <col min="8967" max="8972" width="11.42578125" style="201"/>
    <col min="8973" max="8973" width="13.7109375" style="201" customWidth="1"/>
    <col min="8974" max="9216" width="11.42578125" style="201"/>
    <col min="9217" max="9217" width="13.28515625" style="201" customWidth="1"/>
    <col min="9218" max="9218" width="30.85546875" style="201" customWidth="1"/>
    <col min="9219" max="9221" width="12.7109375" style="201" customWidth="1"/>
    <col min="9222" max="9222" width="10.7109375" style="201" customWidth="1"/>
    <col min="9223" max="9228" width="11.42578125" style="201"/>
    <col min="9229" max="9229" width="13.7109375" style="201" customWidth="1"/>
    <col min="9230" max="9472" width="11.42578125" style="201"/>
    <col min="9473" max="9473" width="13.28515625" style="201" customWidth="1"/>
    <col min="9474" max="9474" width="30.85546875" style="201" customWidth="1"/>
    <col min="9475" max="9477" width="12.7109375" style="201" customWidth="1"/>
    <col min="9478" max="9478" width="10.7109375" style="201" customWidth="1"/>
    <col min="9479" max="9484" width="11.42578125" style="201"/>
    <col min="9485" max="9485" width="13.7109375" style="201" customWidth="1"/>
    <col min="9486" max="9728" width="11.42578125" style="201"/>
    <col min="9729" max="9729" width="13.28515625" style="201" customWidth="1"/>
    <col min="9730" max="9730" width="30.85546875" style="201" customWidth="1"/>
    <col min="9731" max="9733" width="12.7109375" style="201" customWidth="1"/>
    <col min="9734" max="9734" width="10.7109375" style="201" customWidth="1"/>
    <col min="9735" max="9740" width="11.42578125" style="201"/>
    <col min="9741" max="9741" width="13.7109375" style="201" customWidth="1"/>
    <col min="9742" max="9984" width="11.42578125" style="201"/>
    <col min="9985" max="9985" width="13.28515625" style="201" customWidth="1"/>
    <col min="9986" max="9986" width="30.85546875" style="201" customWidth="1"/>
    <col min="9987" max="9989" width="12.7109375" style="201" customWidth="1"/>
    <col min="9990" max="9990" width="10.7109375" style="201" customWidth="1"/>
    <col min="9991" max="9996" width="11.42578125" style="201"/>
    <col min="9997" max="9997" width="13.7109375" style="201" customWidth="1"/>
    <col min="9998" max="10240" width="11.42578125" style="201"/>
    <col min="10241" max="10241" width="13.28515625" style="201" customWidth="1"/>
    <col min="10242" max="10242" width="30.85546875" style="201" customWidth="1"/>
    <col min="10243" max="10245" width="12.7109375" style="201" customWidth="1"/>
    <col min="10246" max="10246" width="10.7109375" style="201" customWidth="1"/>
    <col min="10247" max="10252" width="11.42578125" style="201"/>
    <col min="10253" max="10253" width="13.7109375" style="201" customWidth="1"/>
    <col min="10254" max="10496" width="11.42578125" style="201"/>
    <col min="10497" max="10497" width="13.28515625" style="201" customWidth="1"/>
    <col min="10498" max="10498" width="30.85546875" style="201" customWidth="1"/>
    <col min="10499" max="10501" width="12.7109375" style="201" customWidth="1"/>
    <col min="10502" max="10502" width="10.7109375" style="201" customWidth="1"/>
    <col min="10503" max="10508" width="11.42578125" style="201"/>
    <col min="10509" max="10509" width="13.7109375" style="201" customWidth="1"/>
    <col min="10510" max="10752" width="11.42578125" style="201"/>
    <col min="10753" max="10753" width="13.28515625" style="201" customWidth="1"/>
    <col min="10754" max="10754" width="30.85546875" style="201" customWidth="1"/>
    <col min="10755" max="10757" width="12.7109375" style="201" customWidth="1"/>
    <col min="10758" max="10758" width="10.7109375" style="201" customWidth="1"/>
    <col min="10759" max="10764" width="11.42578125" style="201"/>
    <col min="10765" max="10765" width="13.7109375" style="201" customWidth="1"/>
    <col min="10766" max="11008" width="11.42578125" style="201"/>
    <col min="11009" max="11009" width="13.28515625" style="201" customWidth="1"/>
    <col min="11010" max="11010" width="30.85546875" style="201" customWidth="1"/>
    <col min="11011" max="11013" width="12.7109375" style="201" customWidth="1"/>
    <col min="11014" max="11014" width="10.7109375" style="201" customWidth="1"/>
    <col min="11015" max="11020" width="11.42578125" style="201"/>
    <col min="11021" max="11021" width="13.7109375" style="201" customWidth="1"/>
    <col min="11022" max="11264" width="11.42578125" style="201"/>
    <col min="11265" max="11265" width="13.28515625" style="201" customWidth="1"/>
    <col min="11266" max="11266" width="30.85546875" style="201" customWidth="1"/>
    <col min="11267" max="11269" width="12.7109375" style="201" customWidth="1"/>
    <col min="11270" max="11270" width="10.7109375" style="201" customWidth="1"/>
    <col min="11271" max="11276" width="11.42578125" style="201"/>
    <col min="11277" max="11277" width="13.7109375" style="201" customWidth="1"/>
    <col min="11278" max="11520" width="11.42578125" style="201"/>
    <col min="11521" max="11521" width="13.28515625" style="201" customWidth="1"/>
    <col min="11522" max="11522" width="30.85546875" style="201" customWidth="1"/>
    <col min="11523" max="11525" width="12.7109375" style="201" customWidth="1"/>
    <col min="11526" max="11526" width="10.7109375" style="201" customWidth="1"/>
    <col min="11527" max="11532" width="11.42578125" style="201"/>
    <col min="11533" max="11533" width="13.7109375" style="201" customWidth="1"/>
    <col min="11534" max="11776" width="11.42578125" style="201"/>
    <col min="11777" max="11777" width="13.28515625" style="201" customWidth="1"/>
    <col min="11778" max="11778" width="30.85546875" style="201" customWidth="1"/>
    <col min="11779" max="11781" width="12.7109375" style="201" customWidth="1"/>
    <col min="11782" max="11782" width="10.7109375" style="201" customWidth="1"/>
    <col min="11783" max="11788" width="11.42578125" style="201"/>
    <col min="11789" max="11789" width="13.7109375" style="201" customWidth="1"/>
    <col min="11790" max="12032" width="11.42578125" style="201"/>
    <col min="12033" max="12033" width="13.28515625" style="201" customWidth="1"/>
    <col min="12034" max="12034" width="30.85546875" style="201" customWidth="1"/>
    <col min="12035" max="12037" width="12.7109375" style="201" customWidth="1"/>
    <col min="12038" max="12038" width="10.7109375" style="201" customWidth="1"/>
    <col min="12039" max="12044" width="11.42578125" style="201"/>
    <col min="12045" max="12045" width="13.7109375" style="201" customWidth="1"/>
    <col min="12046" max="12288" width="11.42578125" style="201"/>
    <col min="12289" max="12289" width="13.28515625" style="201" customWidth="1"/>
    <col min="12290" max="12290" width="30.85546875" style="201" customWidth="1"/>
    <col min="12291" max="12293" width="12.7109375" style="201" customWidth="1"/>
    <col min="12294" max="12294" width="10.7109375" style="201" customWidth="1"/>
    <col min="12295" max="12300" width="11.42578125" style="201"/>
    <col min="12301" max="12301" width="13.7109375" style="201" customWidth="1"/>
    <col min="12302" max="12544" width="11.42578125" style="201"/>
    <col min="12545" max="12545" width="13.28515625" style="201" customWidth="1"/>
    <col min="12546" max="12546" width="30.85546875" style="201" customWidth="1"/>
    <col min="12547" max="12549" width="12.7109375" style="201" customWidth="1"/>
    <col min="12550" max="12550" width="10.7109375" style="201" customWidth="1"/>
    <col min="12551" max="12556" width="11.42578125" style="201"/>
    <col min="12557" max="12557" width="13.7109375" style="201" customWidth="1"/>
    <col min="12558" max="12800" width="11.42578125" style="201"/>
    <col min="12801" max="12801" width="13.28515625" style="201" customWidth="1"/>
    <col min="12802" max="12802" width="30.85546875" style="201" customWidth="1"/>
    <col min="12803" max="12805" width="12.7109375" style="201" customWidth="1"/>
    <col min="12806" max="12806" width="10.7109375" style="201" customWidth="1"/>
    <col min="12807" max="12812" width="11.42578125" style="201"/>
    <col min="12813" max="12813" width="13.7109375" style="201" customWidth="1"/>
    <col min="12814" max="13056" width="11.42578125" style="201"/>
    <col min="13057" max="13057" width="13.28515625" style="201" customWidth="1"/>
    <col min="13058" max="13058" width="30.85546875" style="201" customWidth="1"/>
    <col min="13059" max="13061" width="12.7109375" style="201" customWidth="1"/>
    <col min="13062" max="13062" width="10.7109375" style="201" customWidth="1"/>
    <col min="13063" max="13068" width="11.42578125" style="201"/>
    <col min="13069" max="13069" width="13.7109375" style="201" customWidth="1"/>
    <col min="13070" max="13312" width="11.42578125" style="201"/>
    <col min="13313" max="13313" width="13.28515625" style="201" customWidth="1"/>
    <col min="13314" max="13314" width="30.85546875" style="201" customWidth="1"/>
    <col min="13315" max="13317" width="12.7109375" style="201" customWidth="1"/>
    <col min="13318" max="13318" width="10.7109375" style="201" customWidth="1"/>
    <col min="13319" max="13324" width="11.42578125" style="201"/>
    <col min="13325" max="13325" width="13.7109375" style="201" customWidth="1"/>
    <col min="13326" max="13568" width="11.42578125" style="201"/>
    <col min="13569" max="13569" width="13.28515625" style="201" customWidth="1"/>
    <col min="13570" max="13570" width="30.85546875" style="201" customWidth="1"/>
    <col min="13571" max="13573" width="12.7109375" style="201" customWidth="1"/>
    <col min="13574" max="13574" width="10.7109375" style="201" customWidth="1"/>
    <col min="13575" max="13580" width="11.42578125" style="201"/>
    <col min="13581" max="13581" width="13.7109375" style="201" customWidth="1"/>
    <col min="13582" max="13824" width="11.42578125" style="201"/>
    <col min="13825" max="13825" width="13.28515625" style="201" customWidth="1"/>
    <col min="13826" max="13826" width="30.85546875" style="201" customWidth="1"/>
    <col min="13827" max="13829" width="12.7109375" style="201" customWidth="1"/>
    <col min="13830" max="13830" width="10.7109375" style="201" customWidth="1"/>
    <col min="13831" max="13836" width="11.42578125" style="201"/>
    <col min="13837" max="13837" width="13.7109375" style="201" customWidth="1"/>
    <col min="13838" max="14080" width="11.42578125" style="201"/>
    <col min="14081" max="14081" width="13.28515625" style="201" customWidth="1"/>
    <col min="14082" max="14082" width="30.85546875" style="201" customWidth="1"/>
    <col min="14083" max="14085" width="12.7109375" style="201" customWidth="1"/>
    <col min="14086" max="14086" width="10.7109375" style="201" customWidth="1"/>
    <col min="14087" max="14092" width="11.42578125" style="201"/>
    <col min="14093" max="14093" width="13.7109375" style="201" customWidth="1"/>
    <col min="14094" max="14336" width="11.42578125" style="201"/>
    <col min="14337" max="14337" width="13.28515625" style="201" customWidth="1"/>
    <col min="14338" max="14338" width="30.85546875" style="201" customWidth="1"/>
    <col min="14339" max="14341" width="12.7109375" style="201" customWidth="1"/>
    <col min="14342" max="14342" width="10.7109375" style="201" customWidth="1"/>
    <col min="14343" max="14348" width="11.42578125" style="201"/>
    <col min="14349" max="14349" width="13.7109375" style="201" customWidth="1"/>
    <col min="14350" max="14592" width="11.42578125" style="201"/>
    <col min="14593" max="14593" width="13.28515625" style="201" customWidth="1"/>
    <col min="14594" max="14594" width="30.85546875" style="201" customWidth="1"/>
    <col min="14595" max="14597" width="12.7109375" style="201" customWidth="1"/>
    <col min="14598" max="14598" width="10.7109375" style="201" customWidth="1"/>
    <col min="14599" max="14604" width="11.42578125" style="201"/>
    <col min="14605" max="14605" width="13.7109375" style="201" customWidth="1"/>
    <col min="14606" max="14848" width="11.42578125" style="201"/>
    <col min="14849" max="14849" width="13.28515625" style="201" customWidth="1"/>
    <col min="14850" max="14850" width="30.85546875" style="201" customWidth="1"/>
    <col min="14851" max="14853" width="12.7109375" style="201" customWidth="1"/>
    <col min="14854" max="14854" width="10.7109375" style="201" customWidth="1"/>
    <col min="14855" max="14860" width="11.42578125" style="201"/>
    <col min="14861" max="14861" width="13.7109375" style="201" customWidth="1"/>
    <col min="14862" max="15104" width="11.42578125" style="201"/>
    <col min="15105" max="15105" width="13.28515625" style="201" customWidth="1"/>
    <col min="15106" max="15106" width="30.85546875" style="201" customWidth="1"/>
    <col min="15107" max="15109" width="12.7109375" style="201" customWidth="1"/>
    <col min="15110" max="15110" width="10.7109375" style="201" customWidth="1"/>
    <col min="15111" max="15116" width="11.42578125" style="201"/>
    <col min="15117" max="15117" width="13.7109375" style="201" customWidth="1"/>
    <col min="15118" max="15360" width="11.42578125" style="201"/>
    <col min="15361" max="15361" width="13.28515625" style="201" customWidth="1"/>
    <col min="15362" max="15362" width="30.85546875" style="201" customWidth="1"/>
    <col min="15363" max="15365" width="12.7109375" style="201" customWidth="1"/>
    <col min="15366" max="15366" width="10.7109375" style="201" customWidth="1"/>
    <col min="15367" max="15372" width="11.42578125" style="201"/>
    <col min="15373" max="15373" width="13.7109375" style="201" customWidth="1"/>
    <col min="15374" max="15616" width="11.42578125" style="201"/>
    <col min="15617" max="15617" width="13.28515625" style="201" customWidth="1"/>
    <col min="15618" max="15618" width="30.85546875" style="201" customWidth="1"/>
    <col min="15619" max="15621" width="12.7109375" style="201" customWidth="1"/>
    <col min="15622" max="15622" width="10.7109375" style="201" customWidth="1"/>
    <col min="15623" max="15628" width="11.42578125" style="201"/>
    <col min="15629" max="15629" width="13.7109375" style="201" customWidth="1"/>
    <col min="15630" max="15872" width="11.42578125" style="201"/>
    <col min="15873" max="15873" width="13.28515625" style="201" customWidth="1"/>
    <col min="15874" max="15874" width="30.85546875" style="201" customWidth="1"/>
    <col min="15875" max="15877" width="12.7109375" style="201" customWidth="1"/>
    <col min="15878" max="15878" width="10.7109375" style="201" customWidth="1"/>
    <col min="15879" max="15884" width="11.42578125" style="201"/>
    <col min="15885" max="15885" width="13.7109375" style="201" customWidth="1"/>
    <col min="15886" max="16128" width="11.42578125" style="201"/>
    <col min="16129" max="16129" width="13.28515625" style="201" customWidth="1"/>
    <col min="16130" max="16130" width="30.85546875" style="201" customWidth="1"/>
    <col min="16131" max="16133" width="12.7109375" style="201" customWidth="1"/>
    <col min="16134" max="16134" width="10.7109375" style="201" customWidth="1"/>
    <col min="16135" max="16140" width="11.42578125" style="201"/>
    <col min="16141" max="16141" width="13.7109375" style="201" customWidth="1"/>
    <col min="16142" max="16384" width="11.42578125" style="201"/>
  </cols>
  <sheetData>
    <row r="6" spans="2:6" ht="30" customHeight="1">
      <c r="B6" s="489" t="s">
        <v>316</v>
      </c>
      <c r="C6" s="490"/>
      <c r="D6" s="490"/>
      <c r="E6" s="491"/>
    </row>
    <row r="7" spans="2:6" ht="40.5" customHeight="1">
      <c r="B7" s="431" t="s">
        <v>262</v>
      </c>
      <c r="C7" s="492" t="str">
        <f>actualizaciones!A3</f>
        <v>acumulado julio 2009</v>
      </c>
      <c r="D7" s="492" t="str">
        <f>actualizaciones!A2</f>
        <v xml:space="preserve">acumulado julio 2010 </v>
      </c>
      <c r="E7" s="493" t="s">
        <v>257</v>
      </c>
    </row>
    <row r="8" spans="2:6" ht="15" customHeight="1">
      <c r="B8" s="434" t="s">
        <v>263</v>
      </c>
      <c r="C8" s="494"/>
      <c r="D8" s="495"/>
      <c r="E8" s="496"/>
    </row>
    <row r="9" spans="2:6">
      <c r="B9" s="488" t="s">
        <v>105</v>
      </c>
      <c r="C9" s="345">
        <f>GETPIVOTDATA("Suma de TOTAL GENERAL",'[1]tabla dinámica municipios'!$G$18,"PAIS/INDICADOR","INDICE OCUPACION ACUMULADO","AÑO",2009)</f>
        <v>53.490004210812813</v>
      </c>
      <c r="D9" s="345">
        <f>GETPIVOTDATA("Suma de TOTAL GENERAL",'[1]tabla dinámica municipios'!$G$18,"PAIS/INDICADOR","INDICE OCUPACION ACUMULADO","AÑO",2010)</f>
        <v>54.358202977071883</v>
      </c>
      <c r="E9" s="497">
        <f>D9/C9-1</f>
        <v>1.6231046885645251E-2</v>
      </c>
    </row>
    <row r="10" spans="2:6">
      <c r="B10" s="498" t="s">
        <v>241</v>
      </c>
      <c r="C10" s="347">
        <f>GETPIVOTDATA("Suma de total hotelero",'[1]tabla dinámica municipios'!$G$18,"PAIS/INDICADOR","INDICE OCUPACION ACUMULADO","AÑO",2009)</f>
        <v>61.991647762397605</v>
      </c>
      <c r="D10" s="347">
        <f>GETPIVOTDATA("Suma de total hotelero",'[1]tabla dinámica municipios'!$G$18,"PAIS/INDICADOR","INDICE OCUPACION ACUMULADO","AÑO",2010)</f>
        <v>63.816408769433401</v>
      </c>
      <c r="E10" s="499">
        <f t="shared" ref="E10:E26" si="0">D10/C10-1</f>
        <v>2.9435594517986718E-2</v>
      </c>
      <c r="F10" s="500"/>
    </row>
    <row r="11" spans="2:6">
      <c r="B11" s="501" t="s">
        <v>243</v>
      </c>
      <c r="C11" s="502">
        <f>GETPIVOTDATA("Suma de extrahoteleros",'[1]tabla dinámica municipios'!$G$18,"PAIS/INDICADOR","INDICE OCUPACION ACUMULADO","AÑO",2009)</f>
        <v>45.751555188498372</v>
      </c>
      <c r="D11" s="502">
        <f>GETPIVOTDATA("Suma de extrahoteleros",'[1]tabla dinámica municipios'!$G$18,"PAIS/INDICADOR","INDICE OCUPACION ACUMULADO","AÑO",2010)</f>
        <v>45.442623699464505</v>
      </c>
      <c r="E11" s="503">
        <f t="shared" si="0"/>
        <v>-6.7523713185498879E-3</v>
      </c>
      <c r="F11" s="500"/>
    </row>
    <row r="12" spans="2:6" ht="15" customHeight="1">
      <c r="B12" s="434" t="s">
        <v>301</v>
      </c>
      <c r="C12" s="504"/>
      <c r="D12" s="504"/>
      <c r="E12" s="505"/>
    </row>
    <row r="13" spans="2:6">
      <c r="B13" s="488" t="s">
        <v>105</v>
      </c>
      <c r="C13" s="345">
        <f>'[1]tabla dinámica municipios'!$K$311*100</f>
        <v>55.615451674608849</v>
      </c>
      <c r="D13" s="345">
        <f>'[1]tabla dinámica municipios'!$U$311*100</f>
        <v>57.336689255463426</v>
      </c>
      <c r="E13" s="497">
        <f t="shared" si="0"/>
        <v>3.0948909503155209E-2</v>
      </c>
    </row>
    <row r="14" spans="2:6">
      <c r="B14" s="498" t="s">
        <v>241</v>
      </c>
      <c r="C14" s="347">
        <f>'[1]tabla dinámica municipios'!$J$311*100</f>
        <v>66.215013478371304</v>
      </c>
      <c r="D14" s="347">
        <f>'[1]tabla dinámica municipios'!$T$311*100</f>
        <v>69.815886269859277</v>
      </c>
      <c r="E14" s="499">
        <f t="shared" si="0"/>
        <v>5.4381515646208856E-2</v>
      </c>
      <c r="F14" s="500"/>
    </row>
    <row r="15" spans="2:6">
      <c r="B15" s="501" t="s">
        <v>243</v>
      </c>
      <c r="C15" s="506">
        <f>'[1]tabla dinámica municipios'!$I$311*100</f>
        <v>44.204648752749911</v>
      </c>
      <c r="D15" s="506">
        <f>'[1]tabla dinámica municipios'!$S$311*100</f>
        <v>43.885093047549042</v>
      </c>
      <c r="E15" s="499">
        <f t="shared" si="0"/>
        <v>-7.2290067723022045E-3</v>
      </c>
      <c r="F15" s="500"/>
    </row>
    <row r="16" spans="2:6" ht="15" customHeight="1">
      <c r="B16" s="434" t="s">
        <v>302</v>
      </c>
      <c r="C16" s="377"/>
      <c r="D16" s="377"/>
      <c r="E16" s="507"/>
      <c r="F16" s="500"/>
    </row>
    <row r="17" spans="2:12">
      <c r="B17" s="488" t="s">
        <v>105</v>
      </c>
      <c r="C17" s="345">
        <f>'[1]tabla dinámica municipios'!$K$338*100</f>
        <v>56.222793180322093</v>
      </c>
      <c r="D17" s="345">
        <f>'[1]tabla dinámica municipios'!$U$338*100</f>
        <v>56.991904181811258</v>
      </c>
      <c r="E17" s="497">
        <f t="shared" si="0"/>
        <v>1.3679701024856827E-2</v>
      </c>
    </row>
    <row r="18" spans="2:12">
      <c r="B18" s="498" t="s">
        <v>241</v>
      </c>
      <c r="C18" s="347">
        <f>'[1]tabla dinámica municipios'!$J$338*100</f>
        <v>64.814816537400404</v>
      </c>
      <c r="D18" s="347">
        <f>'[1]tabla dinámica municipios'!$T$338*100</f>
        <v>66.642848288749178</v>
      </c>
      <c r="E18" s="499">
        <f t="shared" si="0"/>
        <v>2.820391769980457E-2</v>
      </c>
      <c r="F18" s="500"/>
    </row>
    <row r="19" spans="2:12">
      <c r="B19" s="501" t="s">
        <v>243</v>
      </c>
      <c r="C19" s="506">
        <f>'[1]tabla dinámica municipios'!$I$338*100</f>
        <v>51.246327299783125</v>
      </c>
      <c r="D19" s="506">
        <f>'[1]tabla dinámica municipios'!$S$338*100</f>
        <v>51.081542657664549</v>
      </c>
      <c r="E19" s="503">
        <f t="shared" si="0"/>
        <v>-3.2155405236088397E-3</v>
      </c>
      <c r="F19" s="500"/>
    </row>
    <row r="20" spans="2:12" ht="15" customHeight="1">
      <c r="B20" s="434" t="s">
        <v>303</v>
      </c>
      <c r="C20" s="504"/>
      <c r="D20" s="504"/>
      <c r="E20" s="505"/>
      <c r="F20" s="500"/>
    </row>
    <row r="21" spans="2:12">
      <c r="B21" s="488" t="s">
        <v>105</v>
      </c>
      <c r="C21" s="345">
        <f>'[1]tabla dinámica municipios'!$K$365*100</f>
        <v>55.055308525715972</v>
      </c>
      <c r="D21" s="345">
        <f>'[1]tabla dinámica municipios'!$U$365*100</f>
        <v>53.995217413409314</v>
      </c>
      <c r="E21" s="497">
        <f t="shared" si="0"/>
        <v>-1.925502082712871E-2</v>
      </c>
    </row>
    <row r="22" spans="2:12">
      <c r="B22" s="498" t="s">
        <v>241</v>
      </c>
      <c r="C22" s="347">
        <f>'[1]tabla dinámica municipios'!$J$365*100</f>
        <v>59.624365206741246</v>
      </c>
      <c r="D22" s="347">
        <f>'[1]tabla dinámica municipios'!$T$365*100</f>
        <v>59.811096091345739</v>
      </c>
      <c r="E22" s="499">
        <f t="shared" si="0"/>
        <v>3.1317882204200398E-3</v>
      </c>
      <c r="F22" s="500"/>
    </row>
    <row r="23" spans="2:12">
      <c r="B23" s="501" t="s">
        <v>243</v>
      </c>
      <c r="C23" s="506">
        <f>'[1]tabla dinámica municipios'!$I$365*100</f>
        <v>48.597891400732699</v>
      </c>
      <c r="D23" s="506">
        <f>'[1]tabla dinámica municipios'!$S$365*100</f>
        <v>44.995128586186198</v>
      </c>
      <c r="E23" s="503">
        <f t="shared" si="0"/>
        <v>-7.4134138554253881E-2</v>
      </c>
      <c r="F23" s="500"/>
    </row>
    <row r="24" spans="2:12" ht="15" customHeight="1">
      <c r="B24" s="434" t="s">
        <v>89</v>
      </c>
      <c r="C24" s="504"/>
      <c r="D24" s="504"/>
      <c r="E24" s="505"/>
      <c r="F24" s="500"/>
    </row>
    <row r="25" spans="2:12">
      <c r="B25" s="488" t="s">
        <v>105</v>
      </c>
      <c r="C25" s="345">
        <f>'[1]tabla dinámica municipios'!$K$392*100</f>
        <v>41.859501432611275</v>
      </c>
      <c r="D25" s="345">
        <f>'[1]tabla dinámica municipios'!$U$392*100</f>
        <v>37.709338935825123</v>
      </c>
      <c r="E25" s="497">
        <f t="shared" si="0"/>
        <v>-9.9145053207750466E-2</v>
      </c>
    </row>
    <row r="26" spans="2:12">
      <c r="B26" s="498" t="s">
        <v>241</v>
      </c>
      <c r="C26" s="347">
        <f>'[1]tabla dinámica municipios'!$J$392*100</f>
        <v>41.859501432611275</v>
      </c>
      <c r="D26" s="347">
        <f>'[1]tabla dinámica municipios'!$T$392*100</f>
        <v>37.709338935825123</v>
      </c>
      <c r="E26" s="499">
        <f t="shared" si="0"/>
        <v>-9.9145053207750466E-2</v>
      </c>
    </row>
    <row r="27" spans="2:12">
      <c r="B27" s="501" t="s">
        <v>243</v>
      </c>
      <c r="C27" s="506" t="s">
        <v>32</v>
      </c>
      <c r="D27" s="506" t="s">
        <v>32</v>
      </c>
      <c r="E27" s="506" t="s">
        <v>32</v>
      </c>
    </row>
    <row r="28" spans="2:12" ht="22.5" customHeight="1">
      <c r="B28" s="508" t="s">
        <v>183</v>
      </c>
      <c r="C28" s="508"/>
      <c r="D28" s="508"/>
      <c r="E28" s="509"/>
    </row>
    <row r="29" spans="2:12" ht="15" customHeight="1" thickBot="1">
      <c r="B29" s="510"/>
      <c r="C29" s="511"/>
      <c r="D29" s="511"/>
    </row>
    <row r="30" spans="2:12" ht="30" customHeight="1" thickBot="1">
      <c r="B30" s="512"/>
      <c r="C30" s="512"/>
      <c r="D30" s="512"/>
      <c r="E30" s="60" t="s">
        <v>50</v>
      </c>
      <c r="F30" s="512"/>
      <c r="G30" s="512"/>
      <c r="H30" s="512"/>
      <c r="I30" s="512"/>
      <c r="J30" s="512"/>
      <c r="K30" s="512"/>
      <c r="L30" s="512"/>
    </row>
  </sheetData>
  <mergeCells count="2">
    <mergeCell ref="B6:E6"/>
    <mergeCell ref="B28:E28"/>
  </mergeCells>
  <hyperlinks>
    <hyperlink ref="E30" location="'gráfica IO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19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5" style="194" customWidth="1"/>
    <col min="2" max="8" width="11.42578125" style="194"/>
    <col min="9" max="9" width="12.5703125" style="194" customWidth="1"/>
    <col min="10" max="21" width="11.42578125" style="194"/>
    <col min="22" max="22" width="41" style="194" customWidth="1"/>
    <col min="23" max="23" width="12.7109375" style="194" customWidth="1"/>
    <col min="24" max="24" width="12.85546875" style="194" customWidth="1"/>
    <col min="25" max="25" width="10.5703125" style="194" customWidth="1"/>
    <col min="26" max="26" width="10.7109375" style="194" customWidth="1"/>
    <col min="27" max="32" width="11.42578125" style="194"/>
    <col min="33" max="33" width="13.7109375" style="194" customWidth="1"/>
    <col min="34" max="264" width="11.42578125" style="194"/>
    <col min="265" max="265" width="12.5703125" style="194" customWidth="1"/>
    <col min="266" max="277" width="11.42578125" style="194"/>
    <col min="278" max="278" width="41" style="194" customWidth="1"/>
    <col min="279" max="279" width="12.7109375" style="194" customWidth="1"/>
    <col min="280" max="280" width="12.85546875" style="194" customWidth="1"/>
    <col min="281" max="281" width="10.5703125" style="194" customWidth="1"/>
    <col min="282" max="282" width="10.7109375" style="194" customWidth="1"/>
    <col min="283" max="288" width="11.42578125" style="194"/>
    <col min="289" max="289" width="13.7109375" style="194" customWidth="1"/>
    <col min="290" max="520" width="11.42578125" style="194"/>
    <col min="521" max="521" width="12.5703125" style="194" customWidth="1"/>
    <col min="522" max="533" width="11.42578125" style="194"/>
    <col min="534" max="534" width="41" style="194" customWidth="1"/>
    <col min="535" max="535" width="12.7109375" style="194" customWidth="1"/>
    <col min="536" max="536" width="12.85546875" style="194" customWidth="1"/>
    <col min="537" max="537" width="10.5703125" style="194" customWidth="1"/>
    <col min="538" max="538" width="10.7109375" style="194" customWidth="1"/>
    <col min="539" max="544" width="11.42578125" style="194"/>
    <col min="545" max="545" width="13.7109375" style="194" customWidth="1"/>
    <col min="546" max="776" width="11.42578125" style="194"/>
    <col min="777" max="777" width="12.5703125" style="194" customWidth="1"/>
    <col min="778" max="789" width="11.42578125" style="194"/>
    <col min="790" max="790" width="41" style="194" customWidth="1"/>
    <col min="791" max="791" width="12.7109375" style="194" customWidth="1"/>
    <col min="792" max="792" width="12.85546875" style="194" customWidth="1"/>
    <col min="793" max="793" width="10.5703125" style="194" customWidth="1"/>
    <col min="794" max="794" width="10.7109375" style="194" customWidth="1"/>
    <col min="795" max="800" width="11.42578125" style="194"/>
    <col min="801" max="801" width="13.7109375" style="194" customWidth="1"/>
    <col min="802" max="1032" width="11.42578125" style="194"/>
    <col min="1033" max="1033" width="12.5703125" style="194" customWidth="1"/>
    <col min="1034" max="1045" width="11.42578125" style="194"/>
    <col min="1046" max="1046" width="41" style="194" customWidth="1"/>
    <col min="1047" max="1047" width="12.7109375" style="194" customWidth="1"/>
    <col min="1048" max="1048" width="12.85546875" style="194" customWidth="1"/>
    <col min="1049" max="1049" width="10.5703125" style="194" customWidth="1"/>
    <col min="1050" max="1050" width="10.7109375" style="194" customWidth="1"/>
    <col min="1051" max="1056" width="11.42578125" style="194"/>
    <col min="1057" max="1057" width="13.7109375" style="194" customWidth="1"/>
    <col min="1058" max="1288" width="11.42578125" style="194"/>
    <col min="1289" max="1289" width="12.5703125" style="194" customWidth="1"/>
    <col min="1290" max="1301" width="11.42578125" style="194"/>
    <col min="1302" max="1302" width="41" style="194" customWidth="1"/>
    <col min="1303" max="1303" width="12.7109375" style="194" customWidth="1"/>
    <col min="1304" max="1304" width="12.85546875" style="194" customWidth="1"/>
    <col min="1305" max="1305" width="10.5703125" style="194" customWidth="1"/>
    <col min="1306" max="1306" width="10.7109375" style="194" customWidth="1"/>
    <col min="1307" max="1312" width="11.42578125" style="194"/>
    <col min="1313" max="1313" width="13.7109375" style="194" customWidth="1"/>
    <col min="1314" max="1544" width="11.42578125" style="194"/>
    <col min="1545" max="1545" width="12.5703125" style="194" customWidth="1"/>
    <col min="1546" max="1557" width="11.42578125" style="194"/>
    <col min="1558" max="1558" width="41" style="194" customWidth="1"/>
    <col min="1559" max="1559" width="12.7109375" style="194" customWidth="1"/>
    <col min="1560" max="1560" width="12.85546875" style="194" customWidth="1"/>
    <col min="1561" max="1561" width="10.5703125" style="194" customWidth="1"/>
    <col min="1562" max="1562" width="10.7109375" style="194" customWidth="1"/>
    <col min="1563" max="1568" width="11.42578125" style="194"/>
    <col min="1569" max="1569" width="13.7109375" style="194" customWidth="1"/>
    <col min="1570" max="1800" width="11.42578125" style="194"/>
    <col min="1801" max="1801" width="12.5703125" style="194" customWidth="1"/>
    <col min="1802" max="1813" width="11.42578125" style="194"/>
    <col min="1814" max="1814" width="41" style="194" customWidth="1"/>
    <col min="1815" max="1815" width="12.7109375" style="194" customWidth="1"/>
    <col min="1816" max="1816" width="12.85546875" style="194" customWidth="1"/>
    <col min="1817" max="1817" width="10.5703125" style="194" customWidth="1"/>
    <col min="1818" max="1818" width="10.7109375" style="194" customWidth="1"/>
    <col min="1819" max="1824" width="11.42578125" style="194"/>
    <col min="1825" max="1825" width="13.7109375" style="194" customWidth="1"/>
    <col min="1826" max="2056" width="11.42578125" style="194"/>
    <col min="2057" max="2057" width="12.5703125" style="194" customWidth="1"/>
    <col min="2058" max="2069" width="11.42578125" style="194"/>
    <col min="2070" max="2070" width="41" style="194" customWidth="1"/>
    <col min="2071" max="2071" width="12.7109375" style="194" customWidth="1"/>
    <col min="2072" max="2072" width="12.85546875" style="194" customWidth="1"/>
    <col min="2073" max="2073" width="10.5703125" style="194" customWidth="1"/>
    <col min="2074" max="2074" width="10.7109375" style="194" customWidth="1"/>
    <col min="2075" max="2080" width="11.42578125" style="194"/>
    <col min="2081" max="2081" width="13.7109375" style="194" customWidth="1"/>
    <col min="2082" max="2312" width="11.42578125" style="194"/>
    <col min="2313" max="2313" width="12.5703125" style="194" customWidth="1"/>
    <col min="2314" max="2325" width="11.42578125" style="194"/>
    <col min="2326" max="2326" width="41" style="194" customWidth="1"/>
    <col min="2327" max="2327" width="12.7109375" style="194" customWidth="1"/>
    <col min="2328" max="2328" width="12.85546875" style="194" customWidth="1"/>
    <col min="2329" max="2329" width="10.5703125" style="194" customWidth="1"/>
    <col min="2330" max="2330" width="10.7109375" style="194" customWidth="1"/>
    <col min="2331" max="2336" width="11.42578125" style="194"/>
    <col min="2337" max="2337" width="13.7109375" style="194" customWidth="1"/>
    <col min="2338" max="2568" width="11.42578125" style="194"/>
    <col min="2569" max="2569" width="12.5703125" style="194" customWidth="1"/>
    <col min="2570" max="2581" width="11.42578125" style="194"/>
    <col min="2582" max="2582" width="41" style="194" customWidth="1"/>
    <col min="2583" max="2583" width="12.7109375" style="194" customWidth="1"/>
    <col min="2584" max="2584" width="12.85546875" style="194" customWidth="1"/>
    <col min="2585" max="2585" width="10.5703125" style="194" customWidth="1"/>
    <col min="2586" max="2586" width="10.7109375" style="194" customWidth="1"/>
    <col min="2587" max="2592" width="11.42578125" style="194"/>
    <col min="2593" max="2593" width="13.7109375" style="194" customWidth="1"/>
    <col min="2594" max="2824" width="11.42578125" style="194"/>
    <col min="2825" max="2825" width="12.5703125" style="194" customWidth="1"/>
    <col min="2826" max="2837" width="11.42578125" style="194"/>
    <col min="2838" max="2838" width="41" style="194" customWidth="1"/>
    <col min="2839" max="2839" width="12.7109375" style="194" customWidth="1"/>
    <col min="2840" max="2840" width="12.85546875" style="194" customWidth="1"/>
    <col min="2841" max="2841" width="10.5703125" style="194" customWidth="1"/>
    <col min="2842" max="2842" width="10.7109375" style="194" customWidth="1"/>
    <col min="2843" max="2848" width="11.42578125" style="194"/>
    <col min="2849" max="2849" width="13.7109375" style="194" customWidth="1"/>
    <col min="2850" max="3080" width="11.42578125" style="194"/>
    <col min="3081" max="3081" width="12.5703125" style="194" customWidth="1"/>
    <col min="3082" max="3093" width="11.42578125" style="194"/>
    <col min="3094" max="3094" width="41" style="194" customWidth="1"/>
    <col min="3095" max="3095" width="12.7109375" style="194" customWidth="1"/>
    <col min="3096" max="3096" width="12.85546875" style="194" customWidth="1"/>
    <col min="3097" max="3097" width="10.5703125" style="194" customWidth="1"/>
    <col min="3098" max="3098" width="10.7109375" style="194" customWidth="1"/>
    <col min="3099" max="3104" width="11.42578125" style="194"/>
    <col min="3105" max="3105" width="13.7109375" style="194" customWidth="1"/>
    <col min="3106" max="3336" width="11.42578125" style="194"/>
    <col min="3337" max="3337" width="12.5703125" style="194" customWidth="1"/>
    <col min="3338" max="3349" width="11.42578125" style="194"/>
    <col min="3350" max="3350" width="41" style="194" customWidth="1"/>
    <col min="3351" max="3351" width="12.7109375" style="194" customWidth="1"/>
    <col min="3352" max="3352" width="12.85546875" style="194" customWidth="1"/>
    <col min="3353" max="3353" width="10.5703125" style="194" customWidth="1"/>
    <col min="3354" max="3354" width="10.7109375" style="194" customWidth="1"/>
    <col min="3355" max="3360" width="11.42578125" style="194"/>
    <col min="3361" max="3361" width="13.7109375" style="194" customWidth="1"/>
    <col min="3362" max="3592" width="11.42578125" style="194"/>
    <col min="3593" max="3593" width="12.5703125" style="194" customWidth="1"/>
    <col min="3594" max="3605" width="11.42578125" style="194"/>
    <col min="3606" max="3606" width="41" style="194" customWidth="1"/>
    <col min="3607" max="3607" width="12.7109375" style="194" customWidth="1"/>
    <col min="3608" max="3608" width="12.85546875" style="194" customWidth="1"/>
    <col min="3609" max="3609" width="10.5703125" style="194" customWidth="1"/>
    <col min="3610" max="3610" width="10.7109375" style="194" customWidth="1"/>
    <col min="3611" max="3616" width="11.42578125" style="194"/>
    <col min="3617" max="3617" width="13.7109375" style="194" customWidth="1"/>
    <col min="3618" max="3848" width="11.42578125" style="194"/>
    <col min="3849" max="3849" width="12.5703125" style="194" customWidth="1"/>
    <col min="3850" max="3861" width="11.42578125" style="194"/>
    <col min="3862" max="3862" width="41" style="194" customWidth="1"/>
    <col min="3863" max="3863" width="12.7109375" style="194" customWidth="1"/>
    <col min="3864" max="3864" width="12.85546875" style="194" customWidth="1"/>
    <col min="3865" max="3865" width="10.5703125" style="194" customWidth="1"/>
    <col min="3866" max="3866" width="10.7109375" style="194" customWidth="1"/>
    <col min="3867" max="3872" width="11.42578125" style="194"/>
    <col min="3873" max="3873" width="13.7109375" style="194" customWidth="1"/>
    <col min="3874" max="4104" width="11.42578125" style="194"/>
    <col min="4105" max="4105" width="12.5703125" style="194" customWidth="1"/>
    <col min="4106" max="4117" width="11.42578125" style="194"/>
    <col min="4118" max="4118" width="41" style="194" customWidth="1"/>
    <col min="4119" max="4119" width="12.7109375" style="194" customWidth="1"/>
    <col min="4120" max="4120" width="12.85546875" style="194" customWidth="1"/>
    <col min="4121" max="4121" width="10.5703125" style="194" customWidth="1"/>
    <col min="4122" max="4122" width="10.7109375" style="194" customWidth="1"/>
    <col min="4123" max="4128" width="11.42578125" style="194"/>
    <col min="4129" max="4129" width="13.7109375" style="194" customWidth="1"/>
    <col min="4130" max="4360" width="11.42578125" style="194"/>
    <col min="4361" max="4361" width="12.5703125" style="194" customWidth="1"/>
    <col min="4362" max="4373" width="11.42578125" style="194"/>
    <col min="4374" max="4374" width="41" style="194" customWidth="1"/>
    <col min="4375" max="4375" width="12.7109375" style="194" customWidth="1"/>
    <col min="4376" max="4376" width="12.85546875" style="194" customWidth="1"/>
    <col min="4377" max="4377" width="10.5703125" style="194" customWidth="1"/>
    <col min="4378" max="4378" width="10.7109375" style="194" customWidth="1"/>
    <col min="4379" max="4384" width="11.42578125" style="194"/>
    <col min="4385" max="4385" width="13.7109375" style="194" customWidth="1"/>
    <col min="4386" max="4616" width="11.42578125" style="194"/>
    <col min="4617" max="4617" width="12.5703125" style="194" customWidth="1"/>
    <col min="4618" max="4629" width="11.42578125" style="194"/>
    <col min="4630" max="4630" width="41" style="194" customWidth="1"/>
    <col min="4631" max="4631" width="12.7109375" style="194" customWidth="1"/>
    <col min="4632" max="4632" width="12.85546875" style="194" customWidth="1"/>
    <col min="4633" max="4633" width="10.5703125" style="194" customWidth="1"/>
    <col min="4634" max="4634" width="10.7109375" style="194" customWidth="1"/>
    <col min="4635" max="4640" width="11.42578125" style="194"/>
    <col min="4641" max="4641" width="13.7109375" style="194" customWidth="1"/>
    <col min="4642" max="4872" width="11.42578125" style="194"/>
    <col min="4873" max="4873" width="12.5703125" style="194" customWidth="1"/>
    <col min="4874" max="4885" width="11.42578125" style="194"/>
    <col min="4886" max="4886" width="41" style="194" customWidth="1"/>
    <col min="4887" max="4887" width="12.7109375" style="194" customWidth="1"/>
    <col min="4888" max="4888" width="12.85546875" style="194" customWidth="1"/>
    <col min="4889" max="4889" width="10.5703125" style="194" customWidth="1"/>
    <col min="4890" max="4890" width="10.7109375" style="194" customWidth="1"/>
    <col min="4891" max="4896" width="11.42578125" style="194"/>
    <col min="4897" max="4897" width="13.7109375" style="194" customWidth="1"/>
    <col min="4898" max="5128" width="11.42578125" style="194"/>
    <col min="5129" max="5129" width="12.5703125" style="194" customWidth="1"/>
    <col min="5130" max="5141" width="11.42578125" style="194"/>
    <col min="5142" max="5142" width="41" style="194" customWidth="1"/>
    <col min="5143" max="5143" width="12.7109375" style="194" customWidth="1"/>
    <col min="5144" max="5144" width="12.85546875" style="194" customWidth="1"/>
    <col min="5145" max="5145" width="10.5703125" style="194" customWidth="1"/>
    <col min="5146" max="5146" width="10.7109375" style="194" customWidth="1"/>
    <col min="5147" max="5152" width="11.42578125" style="194"/>
    <col min="5153" max="5153" width="13.7109375" style="194" customWidth="1"/>
    <col min="5154" max="5384" width="11.42578125" style="194"/>
    <col min="5385" max="5385" width="12.5703125" style="194" customWidth="1"/>
    <col min="5386" max="5397" width="11.42578125" style="194"/>
    <col min="5398" max="5398" width="41" style="194" customWidth="1"/>
    <col min="5399" max="5399" width="12.7109375" style="194" customWidth="1"/>
    <col min="5400" max="5400" width="12.85546875" style="194" customWidth="1"/>
    <col min="5401" max="5401" width="10.5703125" style="194" customWidth="1"/>
    <col min="5402" max="5402" width="10.7109375" style="194" customWidth="1"/>
    <col min="5403" max="5408" width="11.42578125" style="194"/>
    <col min="5409" max="5409" width="13.7109375" style="194" customWidth="1"/>
    <col min="5410" max="5640" width="11.42578125" style="194"/>
    <col min="5641" max="5641" width="12.5703125" style="194" customWidth="1"/>
    <col min="5642" max="5653" width="11.42578125" style="194"/>
    <col min="5654" max="5654" width="41" style="194" customWidth="1"/>
    <col min="5655" max="5655" width="12.7109375" style="194" customWidth="1"/>
    <col min="5656" max="5656" width="12.85546875" style="194" customWidth="1"/>
    <col min="5657" max="5657" width="10.5703125" style="194" customWidth="1"/>
    <col min="5658" max="5658" width="10.7109375" style="194" customWidth="1"/>
    <col min="5659" max="5664" width="11.42578125" style="194"/>
    <col min="5665" max="5665" width="13.7109375" style="194" customWidth="1"/>
    <col min="5666" max="5896" width="11.42578125" style="194"/>
    <col min="5897" max="5897" width="12.5703125" style="194" customWidth="1"/>
    <col min="5898" max="5909" width="11.42578125" style="194"/>
    <col min="5910" max="5910" width="41" style="194" customWidth="1"/>
    <col min="5911" max="5911" width="12.7109375" style="194" customWidth="1"/>
    <col min="5912" max="5912" width="12.85546875" style="194" customWidth="1"/>
    <col min="5913" max="5913" width="10.5703125" style="194" customWidth="1"/>
    <col min="5914" max="5914" width="10.7109375" style="194" customWidth="1"/>
    <col min="5915" max="5920" width="11.42578125" style="194"/>
    <col min="5921" max="5921" width="13.7109375" style="194" customWidth="1"/>
    <col min="5922" max="6152" width="11.42578125" style="194"/>
    <col min="6153" max="6153" width="12.5703125" style="194" customWidth="1"/>
    <col min="6154" max="6165" width="11.42578125" style="194"/>
    <col min="6166" max="6166" width="41" style="194" customWidth="1"/>
    <col min="6167" max="6167" width="12.7109375" style="194" customWidth="1"/>
    <col min="6168" max="6168" width="12.85546875" style="194" customWidth="1"/>
    <col min="6169" max="6169" width="10.5703125" style="194" customWidth="1"/>
    <col min="6170" max="6170" width="10.7109375" style="194" customWidth="1"/>
    <col min="6171" max="6176" width="11.42578125" style="194"/>
    <col min="6177" max="6177" width="13.7109375" style="194" customWidth="1"/>
    <col min="6178" max="6408" width="11.42578125" style="194"/>
    <col min="6409" max="6409" width="12.5703125" style="194" customWidth="1"/>
    <col min="6410" max="6421" width="11.42578125" style="194"/>
    <col min="6422" max="6422" width="41" style="194" customWidth="1"/>
    <col min="6423" max="6423" width="12.7109375" style="194" customWidth="1"/>
    <col min="6424" max="6424" width="12.85546875" style="194" customWidth="1"/>
    <col min="6425" max="6425" width="10.5703125" style="194" customWidth="1"/>
    <col min="6426" max="6426" width="10.7109375" style="194" customWidth="1"/>
    <col min="6427" max="6432" width="11.42578125" style="194"/>
    <col min="6433" max="6433" width="13.7109375" style="194" customWidth="1"/>
    <col min="6434" max="6664" width="11.42578125" style="194"/>
    <col min="6665" max="6665" width="12.5703125" style="194" customWidth="1"/>
    <col min="6666" max="6677" width="11.42578125" style="194"/>
    <col min="6678" max="6678" width="41" style="194" customWidth="1"/>
    <col min="6679" max="6679" width="12.7109375" style="194" customWidth="1"/>
    <col min="6680" max="6680" width="12.85546875" style="194" customWidth="1"/>
    <col min="6681" max="6681" width="10.5703125" style="194" customWidth="1"/>
    <col min="6682" max="6682" width="10.7109375" style="194" customWidth="1"/>
    <col min="6683" max="6688" width="11.42578125" style="194"/>
    <col min="6689" max="6689" width="13.7109375" style="194" customWidth="1"/>
    <col min="6690" max="6920" width="11.42578125" style="194"/>
    <col min="6921" max="6921" width="12.5703125" style="194" customWidth="1"/>
    <col min="6922" max="6933" width="11.42578125" style="194"/>
    <col min="6934" max="6934" width="41" style="194" customWidth="1"/>
    <col min="6935" max="6935" width="12.7109375" style="194" customWidth="1"/>
    <col min="6936" max="6936" width="12.85546875" style="194" customWidth="1"/>
    <col min="6937" max="6937" width="10.5703125" style="194" customWidth="1"/>
    <col min="6938" max="6938" width="10.7109375" style="194" customWidth="1"/>
    <col min="6939" max="6944" width="11.42578125" style="194"/>
    <col min="6945" max="6945" width="13.7109375" style="194" customWidth="1"/>
    <col min="6946" max="7176" width="11.42578125" style="194"/>
    <col min="7177" max="7177" width="12.5703125" style="194" customWidth="1"/>
    <col min="7178" max="7189" width="11.42578125" style="194"/>
    <col min="7190" max="7190" width="41" style="194" customWidth="1"/>
    <col min="7191" max="7191" width="12.7109375" style="194" customWidth="1"/>
    <col min="7192" max="7192" width="12.85546875" style="194" customWidth="1"/>
    <col min="7193" max="7193" width="10.5703125" style="194" customWidth="1"/>
    <col min="7194" max="7194" width="10.7109375" style="194" customWidth="1"/>
    <col min="7195" max="7200" width="11.42578125" style="194"/>
    <col min="7201" max="7201" width="13.7109375" style="194" customWidth="1"/>
    <col min="7202" max="7432" width="11.42578125" style="194"/>
    <col min="7433" max="7433" width="12.5703125" style="194" customWidth="1"/>
    <col min="7434" max="7445" width="11.42578125" style="194"/>
    <col min="7446" max="7446" width="41" style="194" customWidth="1"/>
    <col min="7447" max="7447" width="12.7109375" style="194" customWidth="1"/>
    <col min="7448" max="7448" width="12.85546875" style="194" customWidth="1"/>
    <col min="7449" max="7449" width="10.5703125" style="194" customWidth="1"/>
    <col min="7450" max="7450" width="10.7109375" style="194" customWidth="1"/>
    <col min="7451" max="7456" width="11.42578125" style="194"/>
    <col min="7457" max="7457" width="13.7109375" style="194" customWidth="1"/>
    <col min="7458" max="7688" width="11.42578125" style="194"/>
    <col min="7689" max="7689" width="12.5703125" style="194" customWidth="1"/>
    <col min="7690" max="7701" width="11.42578125" style="194"/>
    <col min="7702" max="7702" width="41" style="194" customWidth="1"/>
    <col min="7703" max="7703" width="12.7109375" style="194" customWidth="1"/>
    <col min="7704" max="7704" width="12.85546875" style="194" customWidth="1"/>
    <col min="7705" max="7705" width="10.5703125" style="194" customWidth="1"/>
    <col min="7706" max="7706" width="10.7109375" style="194" customWidth="1"/>
    <col min="7707" max="7712" width="11.42578125" style="194"/>
    <col min="7713" max="7713" width="13.7109375" style="194" customWidth="1"/>
    <col min="7714" max="7944" width="11.42578125" style="194"/>
    <col min="7945" max="7945" width="12.5703125" style="194" customWidth="1"/>
    <col min="7946" max="7957" width="11.42578125" style="194"/>
    <col min="7958" max="7958" width="41" style="194" customWidth="1"/>
    <col min="7959" max="7959" width="12.7109375" style="194" customWidth="1"/>
    <col min="7960" max="7960" width="12.85546875" style="194" customWidth="1"/>
    <col min="7961" max="7961" width="10.5703125" style="194" customWidth="1"/>
    <col min="7962" max="7962" width="10.7109375" style="194" customWidth="1"/>
    <col min="7963" max="7968" width="11.42578125" style="194"/>
    <col min="7969" max="7969" width="13.7109375" style="194" customWidth="1"/>
    <col min="7970" max="8200" width="11.42578125" style="194"/>
    <col min="8201" max="8201" width="12.5703125" style="194" customWidth="1"/>
    <col min="8202" max="8213" width="11.42578125" style="194"/>
    <col min="8214" max="8214" width="41" style="194" customWidth="1"/>
    <col min="8215" max="8215" width="12.7109375" style="194" customWidth="1"/>
    <col min="8216" max="8216" width="12.85546875" style="194" customWidth="1"/>
    <col min="8217" max="8217" width="10.5703125" style="194" customWidth="1"/>
    <col min="8218" max="8218" width="10.7109375" style="194" customWidth="1"/>
    <col min="8219" max="8224" width="11.42578125" style="194"/>
    <col min="8225" max="8225" width="13.7109375" style="194" customWidth="1"/>
    <col min="8226" max="8456" width="11.42578125" style="194"/>
    <col min="8457" max="8457" width="12.5703125" style="194" customWidth="1"/>
    <col min="8458" max="8469" width="11.42578125" style="194"/>
    <col min="8470" max="8470" width="41" style="194" customWidth="1"/>
    <col min="8471" max="8471" width="12.7109375" style="194" customWidth="1"/>
    <col min="8472" max="8472" width="12.85546875" style="194" customWidth="1"/>
    <col min="8473" max="8473" width="10.5703125" style="194" customWidth="1"/>
    <col min="8474" max="8474" width="10.7109375" style="194" customWidth="1"/>
    <col min="8475" max="8480" width="11.42578125" style="194"/>
    <col min="8481" max="8481" width="13.7109375" style="194" customWidth="1"/>
    <col min="8482" max="8712" width="11.42578125" style="194"/>
    <col min="8713" max="8713" width="12.5703125" style="194" customWidth="1"/>
    <col min="8714" max="8725" width="11.42578125" style="194"/>
    <col min="8726" max="8726" width="41" style="194" customWidth="1"/>
    <col min="8727" max="8727" width="12.7109375" style="194" customWidth="1"/>
    <col min="8728" max="8728" width="12.85546875" style="194" customWidth="1"/>
    <col min="8729" max="8729" width="10.5703125" style="194" customWidth="1"/>
    <col min="8730" max="8730" width="10.7109375" style="194" customWidth="1"/>
    <col min="8731" max="8736" width="11.42578125" style="194"/>
    <col min="8737" max="8737" width="13.7109375" style="194" customWidth="1"/>
    <col min="8738" max="8968" width="11.42578125" style="194"/>
    <col min="8969" max="8969" width="12.5703125" style="194" customWidth="1"/>
    <col min="8970" max="8981" width="11.42578125" style="194"/>
    <col min="8982" max="8982" width="41" style="194" customWidth="1"/>
    <col min="8983" max="8983" width="12.7109375" style="194" customWidth="1"/>
    <col min="8984" max="8984" width="12.85546875" style="194" customWidth="1"/>
    <col min="8985" max="8985" width="10.5703125" style="194" customWidth="1"/>
    <col min="8986" max="8986" width="10.7109375" style="194" customWidth="1"/>
    <col min="8987" max="8992" width="11.42578125" style="194"/>
    <col min="8993" max="8993" width="13.7109375" style="194" customWidth="1"/>
    <col min="8994" max="9224" width="11.42578125" style="194"/>
    <col min="9225" max="9225" width="12.5703125" style="194" customWidth="1"/>
    <col min="9226" max="9237" width="11.42578125" style="194"/>
    <col min="9238" max="9238" width="41" style="194" customWidth="1"/>
    <col min="9239" max="9239" width="12.7109375" style="194" customWidth="1"/>
    <col min="9240" max="9240" width="12.85546875" style="194" customWidth="1"/>
    <col min="9241" max="9241" width="10.5703125" style="194" customWidth="1"/>
    <col min="9242" max="9242" width="10.7109375" style="194" customWidth="1"/>
    <col min="9243" max="9248" width="11.42578125" style="194"/>
    <col min="9249" max="9249" width="13.7109375" style="194" customWidth="1"/>
    <col min="9250" max="9480" width="11.42578125" style="194"/>
    <col min="9481" max="9481" width="12.5703125" style="194" customWidth="1"/>
    <col min="9482" max="9493" width="11.42578125" style="194"/>
    <col min="9494" max="9494" width="41" style="194" customWidth="1"/>
    <col min="9495" max="9495" width="12.7109375" style="194" customWidth="1"/>
    <col min="9496" max="9496" width="12.85546875" style="194" customWidth="1"/>
    <col min="9497" max="9497" width="10.5703125" style="194" customWidth="1"/>
    <col min="9498" max="9498" width="10.7109375" style="194" customWidth="1"/>
    <col min="9499" max="9504" width="11.42578125" style="194"/>
    <col min="9505" max="9505" width="13.7109375" style="194" customWidth="1"/>
    <col min="9506" max="9736" width="11.42578125" style="194"/>
    <col min="9737" max="9737" width="12.5703125" style="194" customWidth="1"/>
    <col min="9738" max="9749" width="11.42578125" style="194"/>
    <col min="9750" max="9750" width="41" style="194" customWidth="1"/>
    <col min="9751" max="9751" width="12.7109375" style="194" customWidth="1"/>
    <col min="9752" max="9752" width="12.85546875" style="194" customWidth="1"/>
    <col min="9753" max="9753" width="10.5703125" style="194" customWidth="1"/>
    <col min="9754" max="9754" width="10.7109375" style="194" customWidth="1"/>
    <col min="9755" max="9760" width="11.42578125" style="194"/>
    <col min="9761" max="9761" width="13.7109375" style="194" customWidth="1"/>
    <col min="9762" max="9992" width="11.42578125" style="194"/>
    <col min="9993" max="9993" width="12.5703125" style="194" customWidth="1"/>
    <col min="9994" max="10005" width="11.42578125" style="194"/>
    <col min="10006" max="10006" width="41" style="194" customWidth="1"/>
    <col min="10007" max="10007" width="12.7109375" style="194" customWidth="1"/>
    <col min="10008" max="10008" width="12.85546875" style="194" customWidth="1"/>
    <col min="10009" max="10009" width="10.5703125" style="194" customWidth="1"/>
    <col min="10010" max="10010" width="10.7109375" style="194" customWidth="1"/>
    <col min="10011" max="10016" width="11.42578125" style="194"/>
    <col min="10017" max="10017" width="13.7109375" style="194" customWidth="1"/>
    <col min="10018" max="10248" width="11.42578125" style="194"/>
    <col min="10249" max="10249" width="12.5703125" style="194" customWidth="1"/>
    <col min="10250" max="10261" width="11.42578125" style="194"/>
    <col min="10262" max="10262" width="41" style="194" customWidth="1"/>
    <col min="10263" max="10263" width="12.7109375" style="194" customWidth="1"/>
    <col min="10264" max="10264" width="12.85546875" style="194" customWidth="1"/>
    <col min="10265" max="10265" width="10.5703125" style="194" customWidth="1"/>
    <col min="10266" max="10266" width="10.7109375" style="194" customWidth="1"/>
    <col min="10267" max="10272" width="11.42578125" style="194"/>
    <col min="10273" max="10273" width="13.7109375" style="194" customWidth="1"/>
    <col min="10274" max="10504" width="11.42578125" style="194"/>
    <col min="10505" max="10505" width="12.5703125" style="194" customWidth="1"/>
    <col min="10506" max="10517" width="11.42578125" style="194"/>
    <col min="10518" max="10518" width="41" style="194" customWidth="1"/>
    <col min="10519" max="10519" width="12.7109375" style="194" customWidth="1"/>
    <col min="10520" max="10520" width="12.85546875" style="194" customWidth="1"/>
    <col min="10521" max="10521" width="10.5703125" style="194" customWidth="1"/>
    <col min="10522" max="10522" width="10.7109375" style="194" customWidth="1"/>
    <col min="10523" max="10528" width="11.42578125" style="194"/>
    <col min="10529" max="10529" width="13.7109375" style="194" customWidth="1"/>
    <col min="10530" max="10760" width="11.42578125" style="194"/>
    <col min="10761" max="10761" width="12.5703125" style="194" customWidth="1"/>
    <col min="10762" max="10773" width="11.42578125" style="194"/>
    <col min="10774" max="10774" width="41" style="194" customWidth="1"/>
    <col min="10775" max="10775" width="12.7109375" style="194" customWidth="1"/>
    <col min="10776" max="10776" width="12.85546875" style="194" customWidth="1"/>
    <col min="10777" max="10777" width="10.5703125" style="194" customWidth="1"/>
    <col min="10778" max="10778" width="10.7109375" style="194" customWidth="1"/>
    <col min="10779" max="10784" width="11.42578125" style="194"/>
    <col min="10785" max="10785" width="13.7109375" style="194" customWidth="1"/>
    <col min="10786" max="11016" width="11.42578125" style="194"/>
    <col min="11017" max="11017" width="12.5703125" style="194" customWidth="1"/>
    <col min="11018" max="11029" width="11.42578125" style="194"/>
    <col min="11030" max="11030" width="41" style="194" customWidth="1"/>
    <col min="11031" max="11031" width="12.7109375" style="194" customWidth="1"/>
    <col min="11032" max="11032" width="12.85546875" style="194" customWidth="1"/>
    <col min="11033" max="11033" width="10.5703125" style="194" customWidth="1"/>
    <col min="11034" max="11034" width="10.7109375" style="194" customWidth="1"/>
    <col min="11035" max="11040" width="11.42578125" style="194"/>
    <col min="11041" max="11041" width="13.7109375" style="194" customWidth="1"/>
    <col min="11042" max="11272" width="11.42578125" style="194"/>
    <col min="11273" max="11273" width="12.5703125" style="194" customWidth="1"/>
    <col min="11274" max="11285" width="11.42578125" style="194"/>
    <col min="11286" max="11286" width="41" style="194" customWidth="1"/>
    <col min="11287" max="11287" width="12.7109375" style="194" customWidth="1"/>
    <col min="11288" max="11288" width="12.85546875" style="194" customWidth="1"/>
    <col min="11289" max="11289" width="10.5703125" style="194" customWidth="1"/>
    <col min="11290" max="11290" width="10.7109375" style="194" customWidth="1"/>
    <col min="11291" max="11296" width="11.42578125" style="194"/>
    <col min="11297" max="11297" width="13.7109375" style="194" customWidth="1"/>
    <col min="11298" max="11528" width="11.42578125" style="194"/>
    <col min="11529" max="11529" width="12.5703125" style="194" customWidth="1"/>
    <col min="11530" max="11541" width="11.42578125" style="194"/>
    <col min="11542" max="11542" width="41" style="194" customWidth="1"/>
    <col min="11543" max="11543" width="12.7109375" style="194" customWidth="1"/>
    <col min="11544" max="11544" width="12.85546875" style="194" customWidth="1"/>
    <col min="11545" max="11545" width="10.5703125" style="194" customWidth="1"/>
    <col min="11546" max="11546" width="10.7109375" style="194" customWidth="1"/>
    <col min="11547" max="11552" width="11.42578125" style="194"/>
    <col min="11553" max="11553" width="13.7109375" style="194" customWidth="1"/>
    <col min="11554" max="11784" width="11.42578125" style="194"/>
    <col min="11785" max="11785" width="12.5703125" style="194" customWidth="1"/>
    <col min="11786" max="11797" width="11.42578125" style="194"/>
    <col min="11798" max="11798" width="41" style="194" customWidth="1"/>
    <col min="11799" max="11799" width="12.7109375" style="194" customWidth="1"/>
    <col min="11800" max="11800" width="12.85546875" style="194" customWidth="1"/>
    <col min="11801" max="11801" width="10.5703125" style="194" customWidth="1"/>
    <col min="11802" max="11802" width="10.7109375" style="194" customWidth="1"/>
    <col min="11803" max="11808" width="11.42578125" style="194"/>
    <col min="11809" max="11809" width="13.7109375" style="194" customWidth="1"/>
    <col min="11810" max="12040" width="11.42578125" style="194"/>
    <col min="12041" max="12041" width="12.5703125" style="194" customWidth="1"/>
    <col min="12042" max="12053" width="11.42578125" style="194"/>
    <col min="12054" max="12054" width="41" style="194" customWidth="1"/>
    <col min="12055" max="12055" width="12.7109375" style="194" customWidth="1"/>
    <col min="12056" max="12056" width="12.85546875" style="194" customWidth="1"/>
    <col min="12057" max="12057" width="10.5703125" style="194" customWidth="1"/>
    <col min="12058" max="12058" width="10.7109375" style="194" customWidth="1"/>
    <col min="12059" max="12064" width="11.42578125" style="194"/>
    <col min="12065" max="12065" width="13.7109375" style="194" customWidth="1"/>
    <col min="12066" max="12296" width="11.42578125" style="194"/>
    <col min="12297" max="12297" width="12.5703125" style="194" customWidth="1"/>
    <col min="12298" max="12309" width="11.42578125" style="194"/>
    <col min="12310" max="12310" width="41" style="194" customWidth="1"/>
    <col min="12311" max="12311" width="12.7109375" style="194" customWidth="1"/>
    <col min="12312" max="12312" width="12.85546875" style="194" customWidth="1"/>
    <col min="12313" max="12313" width="10.5703125" style="194" customWidth="1"/>
    <col min="12314" max="12314" width="10.7109375" style="194" customWidth="1"/>
    <col min="12315" max="12320" width="11.42578125" style="194"/>
    <col min="12321" max="12321" width="13.7109375" style="194" customWidth="1"/>
    <col min="12322" max="12552" width="11.42578125" style="194"/>
    <col min="12553" max="12553" width="12.5703125" style="194" customWidth="1"/>
    <col min="12554" max="12565" width="11.42578125" style="194"/>
    <col min="12566" max="12566" width="41" style="194" customWidth="1"/>
    <col min="12567" max="12567" width="12.7109375" style="194" customWidth="1"/>
    <col min="12568" max="12568" width="12.85546875" style="194" customWidth="1"/>
    <col min="12569" max="12569" width="10.5703125" style="194" customWidth="1"/>
    <col min="12570" max="12570" width="10.7109375" style="194" customWidth="1"/>
    <col min="12571" max="12576" width="11.42578125" style="194"/>
    <col min="12577" max="12577" width="13.7109375" style="194" customWidth="1"/>
    <col min="12578" max="12808" width="11.42578125" style="194"/>
    <col min="12809" max="12809" width="12.5703125" style="194" customWidth="1"/>
    <col min="12810" max="12821" width="11.42578125" style="194"/>
    <col min="12822" max="12822" width="41" style="194" customWidth="1"/>
    <col min="12823" max="12823" width="12.7109375" style="194" customWidth="1"/>
    <col min="12824" max="12824" width="12.85546875" style="194" customWidth="1"/>
    <col min="12825" max="12825" width="10.5703125" style="194" customWidth="1"/>
    <col min="12826" max="12826" width="10.7109375" style="194" customWidth="1"/>
    <col min="12827" max="12832" width="11.42578125" style="194"/>
    <col min="12833" max="12833" width="13.7109375" style="194" customWidth="1"/>
    <col min="12834" max="13064" width="11.42578125" style="194"/>
    <col min="13065" max="13065" width="12.5703125" style="194" customWidth="1"/>
    <col min="13066" max="13077" width="11.42578125" style="194"/>
    <col min="13078" max="13078" width="41" style="194" customWidth="1"/>
    <col min="13079" max="13079" width="12.7109375" style="194" customWidth="1"/>
    <col min="13080" max="13080" width="12.85546875" style="194" customWidth="1"/>
    <col min="13081" max="13081" width="10.5703125" style="194" customWidth="1"/>
    <col min="13082" max="13082" width="10.7109375" style="194" customWidth="1"/>
    <col min="13083" max="13088" width="11.42578125" style="194"/>
    <col min="13089" max="13089" width="13.7109375" style="194" customWidth="1"/>
    <col min="13090" max="13320" width="11.42578125" style="194"/>
    <col min="13321" max="13321" width="12.5703125" style="194" customWidth="1"/>
    <col min="13322" max="13333" width="11.42578125" style="194"/>
    <col min="13334" max="13334" width="41" style="194" customWidth="1"/>
    <col min="13335" max="13335" width="12.7109375" style="194" customWidth="1"/>
    <col min="13336" max="13336" width="12.85546875" style="194" customWidth="1"/>
    <col min="13337" max="13337" width="10.5703125" style="194" customWidth="1"/>
    <col min="13338" max="13338" width="10.7109375" style="194" customWidth="1"/>
    <col min="13339" max="13344" width="11.42578125" style="194"/>
    <col min="13345" max="13345" width="13.7109375" style="194" customWidth="1"/>
    <col min="13346" max="13576" width="11.42578125" style="194"/>
    <col min="13577" max="13577" width="12.5703125" style="194" customWidth="1"/>
    <col min="13578" max="13589" width="11.42578125" style="194"/>
    <col min="13590" max="13590" width="41" style="194" customWidth="1"/>
    <col min="13591" max="13591" width="12.7109375" style="194" customWidth="1"/>
    <col min="13592" max="13592" width="12.85546875" style="194" customWidth="1"/>
    <col min="13593" max="13593" width="10.5703125" style="194" customWidth="1"/>
    <col min="13594" max="13594" width="10.7109375" style="194" customWidth="1"/>
    <col min="13595" max="13600" width="11.42578125" style="194"/>
    <col min="13601" max="13601" width="13.7109375" style="194" customWidth="1"/>
    <col min="13602" max="13832" width="11.42578125" style="194"/>
    <col min="13833" max="13833" width="12.5703125" style="194" customWidth="1"/>
    <col min="13834" max="13845" width="11.42578125" style="194"/>
    <col min="13846" max="13846" width="41" style="194" customWidth="1"/>
    <col min="13847" max="13847" width="12.7109375" style="194" customWidth="1"/>
    <col min="13848" max="13848" width="12.85546875" style="194" customWidth="1"/>
    <col min="13849" max="13849" width="10.5703125" style="194" customWidth="1"/>
    <col min="13850" max="13850" width="10.7109375" style="194" customWidth="1"/>
    <col min="13851" max="13856" width="11.42578125" style="194"/>
    <col min="13857" max="13857" width="13.7109375" style="194" customWidth="1"/>
    <col min="13858" max="14088" width="11.42578125" style="194"/>
    <col min="14089" max="14089" width="12.5703125" style="194" customWidth="1"/>
    <col min="14090" max="14101" width="11.42578125" style="194"/>
    <col min="14102" max="14102" width="41" style="194" customWidth="1"/>
    <col min="14103" max="14103" width="12.7109375" style="194" customWidth="1"/>
    <col min="14104" max="14104" width="12.85546875" style="194" customWidth="1"/>
    <col min="14105" max="14105" width="10.5703125" style="194" customWidth="1"/>
    <col min="14106" max="14106" width="10.7109375" style="194" customWidth="1"/>
    <col min="14107" max="14112" width="11.42578125" style="194"/>
    <col min="14113" max="14113" width="13.7109375" style="194" customWidth="1"/>
    <col min="14114" max="14344" width="11.42578125" style="194"/>
    <col min="14345" max="14345" width="12.5703125" style="194" customWidth="1"/>
    <col min="14346" max="14357" width="11.42578125" style="194"/>
    <col min="14358" max="14358" width="41" style="194" customWidth="1"/>
    <col min="14359" max="14359" width="12.7109375" style="194" customWidth="1"/>
    <col min="14360" max="14360" width="12.85546875" style="194" customWidth="1"/>
    <col min="14361" max="14361" width="10.5703125" style="194" customWidth="1"/>
    <col min="14362" max="14362" width="10.7109375" style="194" customWidth="1"/>
    <col min="14363" max="14368" width="11.42578125" style="194"/>
    <col min="14369" max="14369" width="13.7109375" style="194" customWidth="1"/>
    <col min="14370" max="14600" width="11.42578125" style="194"/>
    <col min="14601" max="14601" width="12.5703125" style="194" customWidth="1"/>
    <col min="14602" max="14613" width="11.42578125" style="194"/>
    <col min="14614" max="14614" width="41" style="194" customWidth="1"/>
    <col min="14615" max="14615" width="12.7109375" style="194" customWidth="1"/>
    <col min="14616" max="14616" width="12.85546875" style="194" customWidth="1"/>
    <col min="14617" max="14617" width="10.5703125" style="194" customWidth="1"/>
    <col min="14618" max="14618" width="10.7109375" style="194" customWidth="1"/>
    <col min="14619" max="14624" width="11.42578125" style="194"/>
    <col min="14625" max="14625" width="13.7109375" style="194" customWidth="1"/>
    <col min="14626" max="14856" width="11.42578125" style="194"/>
    <col min="14857" max="14857" width="12.5703125" style="194" customWidth="1"/>
    <col min="14858" max="14869" width="11.42578125" style="194"/>
    <col min="14870" max="14870" width="41" style="194" customWidth="1"/>
    <col min="14871" max="14871" width="12.7109375" style="194" customWidth="1"/>
    <col min="14872" max="14872" width="12.85546875" style="194" customWidth="1"/>
    <col min="14873" max="14873" width="10.5703125" style="194" customWidth="1"/>
    <col min="14874" max="14874" width="10.7109375" style="194" customWidth="1"/>
    <col min="14875" max="14880" width="11.42578125" style="194"/>
    <col min="14881" max="14881" width="13.7109375" style="194" customWidth="1"/>
    <col min="14882" max="15112" width="11.42578125" style="194"/>
    <col min="15113" max="15113" width="12.5703125" style="194" customWidth="1"/>
    <col min="15114" max="15125" width="11.42578125" style="194"/>
    <col min="15126" max="15126" width="41" style="194" customWidth="1"/>
    <col min="15127" max="15127" width="12.7109375" style="194" customWidth="1"/>
    <col min="15128" max="15128" width="12.85546875" style="194" customWidth="1"/>
    <col min="15129" max="15129" width="10.5703125" style="194" customWidth="1"/>
    <col min="15130" max="15130" width="10.7109375" style="194" customWidth="1"/>
    <col min="15131" max="15136" width="11.42578125" style="194"/>
    <col min="15137" max="15137" width="13.7109375" style="194" customWidth="1"/>
    <col min="15138" max="15368" width="11.42578125" style="194"/>
    <col min="15369" max="15369" width="12.5703125" style="194" customWidth="1"/>
    <col min="15370" max="15381" width="11.42578125" style="194"/>
    <col min="15382" max="15382" width="41" style="194" customWidth="1"/>
    <col min="15383" max="15383" width="12.7109375" style="194" customWidth="1"/>
    <col min="15384" max="15384" width="12.85546875" style="194" customWidth="1"/>
    <col min="15385" max="15385" width="10.5703125" style="194" customWidth="1"/>
    <col min="15386" max="15386" width="10.7109375" style="194" customWidth="1"/>
    <col min="15387" max="15392" width="11.42578125" style="194"/>
    <col min="15393" max="15393" width="13.7109375" style="194" customWidth="1"/>
    <col min="15394" max="15624" width="11.42578125" style="194"/>
    <col min="15625" max="15625" width="12.5703125" style="194" customWidth="1"/>
    <col min="15626" max="15637" width="11.42578125" style="194"/>
    <col min="15638" max="15638" width="41" style="194" customWidth="1"/>
    <col min="15639" max="15639" width="12.7109375" style="194" customWidth="1"/>
    <col min="15640" max="15640" width="12.85546875" style="194" customWidth="1"/>
    <col min="15641" max="15641" width="10.5703125" style="194" customWidth="1"/>
    <col min="15642" max="15642" width="10.7109375" style="194" customWidth="1"/>
    <col min="15643" max="15648" width="11.42578125" style="194"/>
    <col min="15649" max="15649" width="13.7109375" style="194" customWidth="1"/>
    <col min="15650" max="15880" width="11.42578125" style="194"/>
    <col min="15881" max="15881" width="12.5703125" style="194" customWidth="1"/>
    <col min="15882" max="15893" width="11.42578125" style="194"/>
    <col min="15894" max="15894" width="41" style="194" customWidth="1"/>
    <col min="15895" max="15895" width="12.7109375" style="194" customWidth="1"/>
    <col min="15896" max="15896" width="12.85546875" style="194" customWidth="1"/>
    <col min="15897" max="15897" width="10.5703125" style="194" customWidth="1"/>
    <col min="15898" max="15898" width="10.7109375" style="194" customWidth="1"/>
    <col min="15899" max="15904" width="11.42578125" style="194"/>
    <col min="15905" max="15905" width="13.7109375" style="194" customWidth="1"/>
    <col min="15906" max="16136" width="11.42578125" style="194"/>
    <col min="16137" max="16137" width="12.5703125" style="194" customWidth="1"/>
    <col min="16138" max="16149" width="11.42578125" style="194"/>
    <col min="16150" max="16150" width="41" style="194" customWidth="1"/>
    <col min="16151" max="16151" width="12.7109375" style="194" customWidth="1"/>
    <col min="16152" max="16152" width="12.85546875" style="194" customWidth="1"/>
    <col min="16153" max="16153" width="10.5703125" style="194" customWidth="1"/>
    <col min="16154" max="16154" width="10.7109375" style="194" customWidth="1"/>
    <col min="16155" max="16160" width="11.42578125" style="194"/>
    <col min="16161" max="16161" width="13.7109375" style="194" customWidth="1"/>
    <col min="16162" max="16384" width="11.42578125" style="194"/>
  </cols>
  <sheetData>
    <row r="1" spans="21:21" ht="25.5" customHeight="1"/>
    <row r="2" spans="21:21" ht="25.5" customHeight="1"/>
    <row r="3" spans="21:21">
      <c r="U3" s="513"/>
    </row>
    <row r="4" spans="21:21">
      <c r="U4" s="513"/>
    </row>
    <row r="5" spans="21:21">
      <c r="U5" s="513"/>
    </row>
    <row r="8" spans="21:21" ht="25.5" customHeight="1"/>
    <row r="9" spans="21:21" ht="25.5" customHeight="1"/>
    <row r="11" spans="21:21">
      <c r="U11" s="513"/>
    </row>
    <row r="12" spans="21:21">
      <c r="U12" s="513"/>
    </row>
    <row r="15" spans="21:21">
      <c r="U15" s="513"/>
    </row>
    <row r="16" spans="21:21">
      <c r="U16" s="513"/>
    </row>
    <row r="17" spans="2:21">
      <c r="U17" s="513"/>
    </row>
    <row r="19" spans="2:21">
      <c r="U19" s="513"/>
    </row>
    <row r="20" spans="2:21">
      <c r="U20" s="513"/>
    </row>
    <row r="21" spans="2:21">
      <c r="U21" s="513"/>
    </row>
    <row r="23" spans="2:21">
      <c r="U23" s="513"/>
    </row>
    <row r="24" spans="2:21" ht="16.5" customHeight="1">
      <c r="U24" s="513"/>
    </row>
    <row r="25" spans="2:21">
      <c r="U25" s="513"/>
    </row>
    <row r="26" spans="2:21" ht="15" customHeight="1" thickBot="1"/>
    <row r="27" spans="2:21" ht="30" customHeight="1" thickBot="1">
      <c r="I27" s="60" t="s">
        <v>52</v>
      </c>
    </row>
    <row r="28" spans="2:21">
      <c r="B28" s="427"/>
      <c r="C28" s="427"/>
      <c r="D28" s="427"/>
      <c r="E28" s="427"/>
      <c r="F28" s="427"/>
      <c r="G28" s="427"/>
      <c r="L28" s="427"/>
    </row>
    <row r="29" spans="2:21">
      <c r="H29" s="427"/>
      <c r="I29" s="427"/>
      <c r="J29" s="427"/>
      <c r="K29" s="427"/>
    </row>
  </sheetData>
  <hyperlinks>
    <hyperlink ref="I27" location="'IO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44">
    <tabColor rgb="FF000099"/>
    <pageSetUpPr autoPageBreaks="0" fitToPage="1"/>
  </sheetPr>
  <dimension ref="B1:L33"/>
  <sheetViews>
    <sheetView showGridLines="0" showRowColHeaders="0" showOutlineSymbols="0" topLeftCell="A7" zoomScaleNormal="100" workbookViewId="0">
      <selection activeCell="I13" sqref="I13"/>
    </sheetView>
  </sheetViews>
  <sheetFormatPr baseColWidth="10" defaultRowHeight="12.75"/>
  <cols>
    <col min="1" max="1" width="11.42578125" style="425"/>
    <col min="2" max="2" width="28.85546875" style="425" customWidth="1"/>
    <col min="3" max="4" width="12.7109375" style="425" customWidth="1"/>
    <col min="5" max="5" width="10.7109375" style="425" customWidth="1"/>
    <col min="6" max="6" width="11.42578125" style="425"/>
    <col min="7" max="7" width="28.7109375" style="425" customWidth="1"/>
    <col min="8" max="9" width="11.42578125" style="425"/>
    <col min="10" max="10" width="12.28515625" style="425" bestFit="1" customWidth="1"/>
    <col min="11" max="11" width="13.28515625" style="425" customWidth="1"/>
    <col min="12" max="253" width="11.42578125" style="425"/>
    <col min="254" max="254" width="36.7109375" style="425" customWidth="1"/>
    <col min="255" max="255" width="12.7109375" style="425" customWidth="1"/>
    <col min="256" max="256" width="10.7109375" style="425" customWidth="1"/>
    <col min="257" max="257" width="12.7109375" style="425" customWidth="1"/>
    <col min="258" max="259" width="10.7109375" style="425" customWidth="1"/>
    <col min="260" max="266" width="11.42578125" style="425"/>
    <col min="267" max="267" width="13.28515625" style="425" customWidth="1"/>
    <col min="268" max="509" width="11.42578125" style="425"/>
    <col min="510" max="510" width="36.7109375" style="425" customWidth="1"/>
    <col min="511" max="511" width="12.7109375" style="425" customWidth="1"/>
    <col min="512" max="512" width="10.7109375" style="425" customWidth="1"/>
    <col min="513" max="513" width="12.7109375" style="425" customWidth="1"/>
    <col min="514" max="515" width="10.7109375" style="425" customWidth="1"/>
    <col min="516" max="522" width="11.42578125" style="425"/>
    <col min="523" max="523" width="13.28515625" style="425" customWidth="1"/>
    <col min="524" max="765" width="11.42578125" style="425"/>
    <col min="766" max="766" width="36.7109375" style="425" customWidth="1"/>
    <col min="767" max="767" width="12.7109375" style="425" customWidth="1"/>
    <col min="768" max="768" width="10.7109375" style="425" customWidth="1"/>
    <col min="769" max="769" width="12.7109375" style="425" customWidth="1"/>
    <col min="770" max="771" width="10.7109375" style="425" customWidth="1"/>
    <col min="772" max="778" width="11.42578125" style="425"/>
    <col min="779" max="779" width="13.28515625" style="425" customWidth="1"/>
    <col min="780" max="1021" width="11.42578125" style="425"/>
    <col min="1022" max="1022" width="36.7109375" style="425" customWidth="1"/>
    <col min="1023" max="1023" width="12.7109375" style="425" customWidth="1"/>
    <col min="1024" max="1024" width="10.7109375" style="425" customWidth="1"/>
    <col min="1025" max="1025" width="12.7109375" style="425" customWidth="1"/>
    <col min="1026" max="1027" width="10.7109375" style="425" customWidth="1"/>
    <col min="1028" max="1034" width="11.42578125" style="425"/>
    <col min="1035" max="1035" width="13.28515625" style="425" customWidth="1"/>
    <col min="1036" max="1277" width="11.42578125" style="425"/>
    <col min="1278" max="1278" width="36.7109375" style="425" customWidth="1"/>
    <col min="1279" max="1279" width="12.7109375" style="425" customWidth="1"/>
    <col min="1280" max="1280" width="10.7109375" style="425" customWidth="1"/>
    <col min="1281" max="1281" width="12.7109375" style="425" customWidth="1"/>
    <col min="1282" max="1283" width="10.7109375" style="425" customWidth="1"/>
    <col min="1284" max="1290" width="11.42578125" style="425"/>
    <col min="1291" max="1291" width="13.28515625" style="425" customWidth="1"/>
    <col min="1292" max="1533" width="11.42578125" style="425"/>
    <col min="1534" max="1534" width="36.7109375" style="425" customWidth="1"/>
    <col min="1535" max="1535" width="12.7109375" style="425" customWidth="1"/>
    <col min="1536" max="1536" width="10.7109375" style="425" customWidth="1"/>
    <col min="1537" max="1537" width="12.7109375" style="425" customWidth="1"/>
    <col min="1538" max="1539" width="10.7109375" style="425" customWidth="1"/>
    <col min="1540" max="1546" width="11.42578125" style="425"/>
    <col min="1547" max="1547" width="13.28515625" style="425" customWidth="1"/>
    <col min="1548" max="1789" width="11.42578125" style="425"/>
    <col min="1790" max="1790" width="36.7109375" style="425" customWidth="1"/>
    <col min="1791" max="1791" width="12.7109375" style="425" customWidth="1"/>
    <col min="1792" max="1792" width="10.7109375" style="425" customWidth="1"/>
    <col min="1793" max="1793" width="12.7109375" style="425" customWidth="1"/>
    <col min="1794" max="1795" width="10.7109375" style="425" customWidth="1"/>
    <col min="1796" max="1802" width="11.42578125" style="425"/>
    <col min="1803" max="1803" width="13.28515625" style="425" customWidth="1"/>
    <col min="1804" max="2045" width="11.42578125" style="425"/>
    <col min="2046" max="2046" width="36.7109375" style="425" customWidth="1"/>
    <col min="2047" max="2047" width="12.7109375" style="425" customWidth="1"/>
    <col min="2048" max="2048" width="10.7109375" style="425" customWidth="1"/>
    <col min="2049" max="2049" width="12.7109375" style="425" customWidth="1"/>
    <col min="2050" max="2051" width="10.7109375" style="425" customWidth="1"/>
    <col min="2052" max="2058" width="11.42578125" style="425"/>
    <col min="2059" max="2059" width="13.28515625" style="425" customWidth="1"/>
    <col min="2060" max="2301" width="11.42578125" style="425"/>
    <col min="2302" max="2302" width="36.7109375" style="425" customWidth="1"/>
    <col min="2303" max="2303" width="12.7109375" style="425" customWidth="1"/>
    <col min="2304" max="2304" width="10.7109375" style="425" customWidth="1"/>
    <col min="2305" max="2305" width="12.7109375" style="425" customWidth="1"/>
    <col min="2306" max="2307" width="10.7109375" style="425" customWidth="1"/>
    <col min="2308" max="2314" width="11.42578125" style="425"/>
    <col min="2315" max="2315" width="13.28515625" style="425" customWidth="1"/>
    <col min="2316" max="2557" width="11.42578125" style="425"/>
    <col min="2558" max="2558" width="36.7109375" style="425" customWidth="1"/>
    <col min="2559" max="2559" width="12.7109375" style="425" customWidth="1"/>
    <col min="2560" max="2560" width="10.7109375" style="425" customWidth="1"/>
    <col min="2561" max="2561" width="12.7109375" style="425" customWidth="1"/>
    <col min="2562" max="2563" width="10.7109375" style="425" customWidth="1"/>
    <col min="2564" max="2570" width="11.42578125" style="425"/>
    <col min="2571" max="2571" width="13.28515625" style="425" customWidth="1"/>
    <col min="2572" max="2813" width="11.42578125" style="425"/>
    <col min="2814" max="2814" width="36.7109375" style="425" customWidth="1"/>
    <col min="2815" max="2815" width="12.7109375" style="425" customWidth="1"/>
    <col min="2816" max="2816" width="10.7109375" style="425" customWidth="1"/>
    <col min="2817" max="2817" width="12.7109375" style="425" customWidth="1"/>
    <col min="2818" max="2819" width="10.7109375" style="425" customWidth="1"/>
    <col min="2820" max="2826" width="11.42578125" style="425"/>
    <col min="2827" max="2827" width="13.28515625" style="425" customWidth="1"/>
    <col min="2828" max="3069" width="11.42578125" style="425"/>
    <col min="3070" max="3070" width="36.7109375" style="425" customWidth="1"/>
    <col min="3071" max="3071" width="12.7109375" style="425" customWidth="1"/>
    <col min="3072" max="3072" width="10.7109375" style="425" customWidth="1"/>
    <col min="3073" max="3073" width="12.7109375" style="425" customWidth="1"/>
    <col min="3074" max="3075" width="10.7109375" style="425" customWidth="1"/>
    <col min="3076" max="3082" width="11.42578125" style="425"/>
    <col min="3083" max="3083" width="13.28515625" style="425" customWidth="1"/>
    <col min="3084" max="3325" width="11.42578125" style="425"/>
    <col min="3326" max="3326" width="36.7109375" style="425" customWidth="1"/>
    <col min="3327" max="3327" width="12.7109375" style="425" customWidth="1"/>
    <col min="3328" max="3328" width="10.7109375" style="425" customWidth="1"/>
    <col min="3329" max="3329" width="12.7109375" style="425" customWidth="1"/>
    <col min="3330" max="3331" width="10.7109375" style="425" customWidth="1"/>
    <col min="3332" max="3338" width="11.42578125" style="425"/>
    <col min="3339" max="3339" width="13.28515625" style="425" customWidth="1"/>
    <col min="3340" max="3581" width="11.42578125" style="425"/>
    <col min="3582" max="3582" width="36.7109375" style="425" customWidth="1"/>
    <col min="3583" max="3583" width="12.7109375" style="425" customWidth="1"/>
    <col min="3584" max="3584" width="10.7109375" style="425" customWidth="1"/>
    <col min="3585" max="3585" width="12.7109375" style="425" customWidth="1"/>
    <col min="3586" max="3587" width="10.7109375" style="425" customWidth="1"/>
    <col min="3588" max="3594" width="11.42578125" style="425"/>
    <col min="3595" max="3595" width="13.28515625" style="425" customWidth="1"/>
    <col min="3596" max="3837" width="11.42578125" style="425"/>
    <col min="3838" max="3838" width="36.7109375" style="425" customWidth="1"/>
    <col min="3839" max="3839" width="12.7109375" style="425" customWidth="1"/>
    <col min="3840" max="3840" width="10.7109375" style="425" customWidth="1"/>
    <col min="3841" max="3841" width="12.7109375" style="425" customWidth="1"/>
    <col min="3842" max="3843" width="10.7109375" style="425" customWidth="1"/>
    <col min="3844" max="3850" width="11.42578125" style="425"/>
    <col min="3851" max="3851" width="13.28515625" style="425" customWidth="1"/>
    <col min="3852" max="4093" width="11.42578125" style="425"/>
    <col min="4094" max="4094" width="36.7109375" style="425" customWidth="1"/>
    <col min="4095" max="4095" width="12.7109375" style="425" customWidth="1"/>
    <col min="4096" max="4096" width="10.7109375" style="425" customWidth="1"/>
    <col min="4097" max="4097" width="12.7109375" style="425" customWidth="1"/>
    <col min="4098" max="4099" width="10.7109375" style="425" customWidth="1"/>
    <col min="4100" max="4106" width="11.42578125" style="425"/>
    <col min="4107" max="4107" width="13.28515625" style="425" customWidth="1"/>
    <col min="4108" max="4349" width="11.42578125" style="425"/>
    <col min="4350" max="4350" width="36.7109375" style="425" customWidth="1"/>
    <col min="4351" max="4351" width="12.7109375" style="425" customWidth="1"/>
    <col min="4352" max="4352" width="10.7109375" style="425" customWidth="1"/>
    <col min="4353" max="4353" width="12.7109375" style="425" customWidth="1"/>
    <col min="4354" max="4355" width="10.7109375" style="425" customWidth="1"/>
    <col min="4356" max="4362" width="11.42578125" style="425"/>
    <col min="4363" max="4363" width="13.28515625" style="425" customWidth="1"/>
    <col min="4364" max="4605" width="11.42578125" style="425"/>
    <col min="4606" max="4606" width="36.7109375" style="425" customWidth="1"/>
    <col min="4607" max="4607" width="12.7109375" style="425" customWidth="1"/>
    <col min="4608" max="4608" width="10.7109375" style="425" customWidth="1"/>
    <col min="4609" max="4609" width="12.7109375" style="425" customWidth="1"/>
    <col min="4610" max="4611" width="10.7109375" style="425" customWidth="1"/>
    <col min="4612" max="4618" width="11.42578125" style="425"/>
    <col min="4619" max="4619" width="13.28515625" style="425" customWidth="1"/>
    <col min="4620" max="4861" width="11.42578125" style="425"/>
    <col min="4862" max="4862" width="36.7109375" style="425" customWidth="1"/>
    <col min="4863" max="4863" width="12.7109375" style="425" customWidth="1"/>
    <col min="4864" max="4864" width="10.7109375" style="425" customWidth="1"/>
    <col min="4865" max="4865" width="12.7109375" style="425" customWidth="1"/>
    <col min="4866" max="4867" width="10.7109375" style="425" customWidth="1"/>
    <col min="4868" max="4874" width="11.42578125" style="425"/>
    <col min="4875" max="4875" width="13.28515625" style="425" customWidth="1"/>
    <col min="4876" max="5117" width="11.42578125" style="425"/>
    <col min="5118" max="5118" width="36.7109375" style="425" customWidth="1"/>
    <col min="5119" max="5119" width="12.7109375" style="425" customWidth="1"/>
    <col min="5120" max="5120" width="10.7109375" style="425" customWidth="1"/>
    <col min="5121" max="5121" width="12.7109375" style="425" customWidth="1"/>
    <col min="5122" max="5123" width="10.7109375" style="425" customWidth="1"/>
    <col min="5124" max="5130" width="11.42578125" style="425"/>
    <col min="5131" max="5131" width="13.28515625" style="425" customWidth="1"/>
    <col min="5132" max="5373" width="11.42578125" style="425"/>
    <col min="5374" max="5374" width="36.7109375" style="425" customWidth="1"/>
    <col min="5375" max="5375" width="12.7109375" style="425" customWidth="1"/>
    <col min="5376" max="5376" width="10.7109375" style="425" customWidth="1"/>
    <col min="5377" max="5377" width="12.7109375" style="425" customWidth="1"/>
    <col min="5378" max="5379" width="10.7109375" style="425" customWidth="1"/>
    <col min="5380" max="5386" width="11.42578125" style="425"/>
    <col min="5387" max="5387" width="13.28515625" style="425" customWidth="1"/>
    <col min="5388" max="5629" width="11.42578125" style="425"/>
    <col min="5630" max="5630" width="36.7109375" style="425" customWidth="1"/>
    <col min="5631" max="5631" width="12.7109375" style="425" customWidth="1"/>
    <col min="5632" max="5632" width="10.7109375" style="425" customWidth="1"/>
    <col min="5633" max="5633" width="12.7109375" style="425" customWidth="1"/>
    <col min="5634" max="5635" width="10.7109375" style="425" customWidth="1"/>
    <col min="5636" max="5642" width="11.42578125" style="425"/>
    <col min="5643" max="5643" width="13.28515625" style="425" customWidth="1"/>
    <col min="5644" max="5885" width="11.42578125" style="425"/>
    <col min="5886" max="5886" width="36.7109375" style="425" customWidth="1"/>
    <col min="5887" max="5887" width="12.7109375" style="425" customWidth="1"/>
    <col min="5888" max="5888" width="10.7109375" style="425" customWidth="1"/>
    <col min="5889" max="5889" width="12.7109375" style="425" customWidth="1"/>
    <col min="5890" max="5891" width="10.7109375" style="425" customWidth="1"/>
    <col min="5892" max="5898" width="11.42578125" style="425"/>
    <col min="5899" max="5899" width="13.28515625" style="425" customWidth="1"/>
    <col min="5900" max="6141" width="11.42578125" style="425"/>
    <col min="6142" max="6142" width="36.7109375" style="425" customWidth="1"/>
    <col min="6143" max="6143" width="12.7109375" style="425" customWidth="1"/>
    <col min="6144" max="6144" width="10.7109375" style="425" customWidth="1"/>
    <col min="6145" max="6145" width="12.7109375" style="425" customWidth="1"/>
    <col min="6146" max="6147" width="10.7109375" style="425" customWidth="1"/>
    <col min="6148" max="6154" width="11.42578125" style="425"/>
    <col min="6155" max="6155" width="13.28515625" style="425" customWidth="1"/>
    <col min="6156" max="6397" width="11.42578125" style="425"/>
    <col min="6398" max="6398" width="36.7109375" style="425" customWidth="1"/>
    <col min="6399" max="6399" width="12.7109375" style="425" customWidth="1"/>
    <col min="6400" max="6400" width="10.7109375" style="425" customWidth="1"/>
    <col min="6401" max="6401" width="12.7109375" style="425" customWidth="1"/>
    <col min="6402" max="6403" width="10.7109375" style="425" customWidth="1"/>
    <col min="6404" max="6410" width="11.42578125" style="425"/>
    <col min="6411" max="6411" width="13.28515625" style="425" customWidth="1"/>
    <col min="6412" max="6653" width="11.42578125" style="425"/>
    <col min="6654" max="6654" width="36.7109375" style="425" customWidth="1"/>
    <col min="6655" max="6655" width="12.7109375" style="425" customWidth="1"/>
    <col min="6656" max="6656" width="10.7109375" style="425" customWidth="1"/>
    <col min="6657" max="6657" width="12.7109375" style="425" customWidth="1"/>
    <col min="6658" max="6659" width="10.7109375" style="425" customWidth="1"/>
    <col min="6660" max="6666" width="11.42578125" style="425"/>
    <col min="6667" max="6667" width="13.28515625" style="425" customWidth="1"/>
    <col min="6668" max="6909" width="11.42578125" style="425"/>
    <col min="6910" max="6910" width="36.7109375" style="425" customWidth="1"/>
    <col min="6911" max="6911" width="12.7109375" style="425" customWidth="1"/>
    <col min="6912" max="6912" width="10.7109375" style="425" customWidth="1"/>
    <col min="6913" max="6913" width="12.7109375" style="425" customWidth="1"/>
    <col min="6914" max="6915" width="10.7109375" style="425" customWidth="1"/>
    <col min="6916" max="6922" width="11.42578125" style="425"/>
    <col min="6923" max="6923" width="13.28515625" style="425" customWidth="1"/>
    <col min="6924" max="7165" width="11.42578125" style="425"/>
    <col min="7166" max="7166" width="36.7109375" style="425" customWidth="1"/>
    <col min="7167" max="7167" width="12.7109375" style="425" customWidth="1"/>
    <col min="7168" max="7168" width="10.7109375" style="425" customWidth="1"/>
    <col min="7169" max="7169" width="12.7109375" style="425" customWidth="1"/>
    <col min="7170" max="7171" width="10.7109375" style="425" customWidth="1"/>
    <col min="7172" max="7178" width="11.42578125" style="425"/>
    <col min="7179" max="7179" width="13.28515625" style="425" customWidth="1"/>
    <col min="7180" max="7421" width="11.42578125" style="425"/>
    <col min="7422" max="7422" width="36.7109375" style="425" customWidth="1"/>
    <col min="7423" max="7423" width="12.7109375" style="425" customWidth="1"/>
    <col min="7424" max="7424" width="10.7109375" style="425" customWidth="1"/>
    <col min="7425" max="7425" width="12.7109375" style="425" customWidth="1"/>
    <col min="7426" max="7427" width="10.7109375" style="425" customWidth="1"/>
    <col min="7428" max="7434" width="11.42578125" style="425"/>
    <col min="7435" max="7435" width="13.28515625" style="425" customWidth="1"/>
    <col min="7436" max="7677" width="11.42578125" style="425"/>
    <col min="7678" max="7678" width="36.7109375" style="425" customWidth="1"/>
    <col min="7679" max="7679" width="12.7109375" style="425" customWidth="1"/>
    <col min="7680" max="7680" width="10.7109375" style="425" customWidth="1"/>
    <col min="7681" max="7681" width="12.7109375" style="425" customWidth="1"/>
    <col min="7682" max="7683" width="10.7109375" style="425" customWidth="1"/>
    <col min="7684" max="7690" width="11.42578125" style="425"/>
    <col min="7691" max="7691" width="13.28515625" style="425" customWidth="1"/>
    <col min="7692" max="7933" width="11.42578125" style="425"/>
    <col min="7934" max="7934" width="36.7109375" style="425" customWidth="1"/>
    <col min="7935" max="7935" width="12.7109375" style="425" customWidth="1"/>
    <col min="7936" max="7936" width="10.7109375" style="425" customWidth="1"/>
    <col min="7937" max="7937" width="12.7109375" style="425" customWidth="1"/>
    <col min="7938" max="7939" width="10.7109375" style="425" customWidth="1"/>
    <col min="7940" max="7946" width="11.42578125" style="425"/>
    <col min="7947" max="7947" width="13.28515625" style="425" customWidth="1"/>
    <col min="7948" max="8189" width="11.42578125" style="425"/>
    <col min="8190" max="8190" width="36.7109375" style="425" customWidth="1"/>
    <col min="8191" max="8191" width="12.7109375" style="425" customWidth="1"/>
    <col min="8192" max="8192" width="10.7109375" style="425" customWidth="1"/>
    <col min="8193" max="8193" width="12.7109375" style="425" customWidth="1"/>
    <col min="8194" max="8195" width="10.7109375" style="425" customWidth="1"/>
    <col min="8196" max="8202" width="11.42578125" style="425"/>
    <col min="8203" max="8203" width="13.28515625" style="425" customWidth="1"/>
    <col min="8204" max="8445" width="11.42578125" style="425"/>
    <col min="8446" max="8446" width="36.7109375" style="425" customWidth="1"/>
    <col min="8447" max="8447" width="12.7109375" style="425" customWidth="1"/>
    <col min="8448" max="8448" width="10.7109375" style="425" customWidth="1"/>
    <col min="8449" max="8449" width="12.7109375" style="425" customWidth="1"/>
    <col min="8450" max="8451" width="10.7109375" style="425" customWidth="1"/>
    <col min="8452" max="8458" width="11.42578125" style="425"/>
    <col min="8459" max="8459" width="13.28515625" style="425" customWidth="1"/>
    <col min="8460" max="8701" width="11.42578125" style="425"/>
    <col min="8702" max="8702" width="36.7109375" style="425" customWidth="1"/>
    <col min="8703" max="8703" width="12.7109375" style="425" customWidth="1"/>
    <col min="8704" max="8704" width="10.7109375" style="425" customWidth="1"/>
    <col min="8705" max="8705" width="12.7109375" style="425" customWidth="1"/>
    <col min="8706" max="8707" width="10.7109375" style="425" customWidth="1"/>
    <col min="8708" max="8714" width="11.42578125" style="425"/>
    <col min="8715" max="8715" width="13.28515625" style="425" customWidth="1"/>
    <col min="8716" max="8957" width="11.42578125" style="425"/>
    <col min="8958" max="8958" width="36.7109375" style="425" customWidth="1"/>
    <col min="8959" max="8959" width="12.7109375" style="425" customWidth="1"/>
    <col min="8960" max="8960" width="10.7109375" style="425" customWidth="1"/>
    <col min="8961" max="8961" width="12.7109375" style="425" customWidth="1"/>
    <col min="8962" max="8963" width="10.7109375" style="425" customWidth="1"/>
    <col min="8964" max="8970" width="11.42578125" style="425"/>
    <col min="8971" max="8971" width="13.28515625" style="425" customWidth="1"/>
    <col min="8972" max="9213" width="11.42578125" style="425"/>
    <col min="9214" max="9214" width="36.7109375" style="425" customWidth="1"/>
    <col min="9215" max="9215" width="12.7109375" style="425" customWidth="1"/>
    <col min="9216" max="9216" width="10.7109375" style="425" customWidth="1"/>
    <col min="9217" max="9217" width="12.7109375" style="425" customWidth="1"/>
    <col min="9218" max="9219" width="10.7109375" style="425" customWidth="1"/>
    <col min="9220" max="9226" width="11.42578125" style="425"/>
    <col min="9227" max="9227" width="13.28515625" style="425" customWidth="1"/>
    <col min="9228" max="9469" width="11.42578125" style="425"/>
    <col min="9470" max="9470" width="36.7109375" style="425" customWidth="1"/>
    <col min="9471" max="9471" width="12.7109375" style="425" customWidth="1"/>
    <col min="9472" max="9472" width="10.7109375" style="425" customWidth="1"/>
    <col min="9473" max="9473" width="12.7109375" style="425" customWidth="1"/>
    <col min="9474" max="9475" width="10.7109375" style="425" customWidth="1"/>
    <col min="9476" max="9482" width="11.42578125" style="425"/>
    <col min="9483" max="9483" width="13.28515625" style="425" customWidth="1"/>
    <col min="9484" max="9725" width="11.42578125" style="425"/>
    <col min="9726" max="9726" width="36.7109375" style="425" customWidth="1"/>
    <col min="9727" max="9727" width="12.7109375" style="425" customWidth="1"/>
    <col min="9728" max="9728" width="10.7109375" style="425" customWidth="1"/>
    <col min="9729" max="9729" width="12.7109375" style="425" customWidth="1"/>
    <col min="9730" max="9731" width="10.7109375" style="425" customWidth="1"/>
    <col min="9732" max="9738" width="11.42578125" style="425"/>
    <col min="9739" max="9739" width="13.28515625" style="425" customWidth="1"/>
    <col min="9740" max="9981" width="11.42578125" style="425"/>
    <col min="9982" max="9982" width="36.7109375" style="425" customWidth="1"/>
    <col min="9983" max="9983" width="12.7109375" style="425" customWidth="1"/>
    <col min="9984" max="9984" width="10.7109375" style="425" customWidth="1"/>
    <col min="9985" max="9985" width="12.7109375" style="425" customWidth="1"/>
    <col min="9986" max="9987" width="10.7109375" style="425" customWidth="1"/>
    <col min="9988" max="9994" width="11.42578125" style="425"/>
    <col min="9995" max="9995" width="13.28515625" style="425" customWidth="1"/>
    <col min="9996" max="10237" width="11.42578125" style="425"/>
    <col min="10238" max="10238" width="36.7109375" style="425" customWidth="1"/>
    <col min="10239" max="10239" width="12.7109375" style="425" customWidth="1"/>
    <col min="10240" max="10240" width="10.7109375" style="425" customWidth="1"/>
    <col min="10241" max="10241" width="12.7109375" style="425" customWidth="1"/>
    <col min="10242" max="10243" width="10.7109375" style="425" customWidth="1"/>
    <col min="10244" max="10250" width="11.42578125" style="425"/>
    <col min="10251" max="10251" width="13.28515625" style="425" customWidth="1"/>
    <col min="10252" max="10493" width="11.42578125" style="425"/>
    <col min="10494" max="10494" width="36.7109375" style="425" customWidth="1"/>
    <col min="10495" max="10495" width="12.7109375" style="425" customWidth="1"/>
    <col min="10496" max="10496" width="10.7109375" style="425" customWidth="1"/>
    <col min="10497" max="10497" width="12.7109375" style="425" customWidth="1"/>
    <col min="10498" max="10499" width="10.7109375" style="425" customWidth="1"/>
    <col min="10500" max="10506" width="11.42578125" style="425"/>
    <col min="10507" max="10507" width="13.28515625" style="425" customWidth="1"/>
    <col min="10508" max="10749" width="11.42578125" style="425"/>
    <col min="10750" max="10750" width="36.7109375" style="425" customWidth="1"/>
    <col min="10751" max="10751" width="12.7109375" style="425" customWidth="1"/>
    <col min="10752" max="10752" width="10.7109375" style="425" customWidth="1"/>
    <col min="10753" max="10753" width="12.7109375" style="425" customWidth="1"/>
    <col min="10754" max="10755" width="10.7109375" style="425" customWidth="1"/>
    <col min="10756" max="10762" width="11.42578125" style="425"/>
    <col min="10763" max="10763" width="13.28515625" style="425" customWidth="1"/>
    <col min="10764" max="11005" width="11.42578125" style="425"/>
    <col min="11006" max="11006" width="36.7109375" style="425" customWidth="1"/>
    <col min="11007" max="11007" width="12.7109375" style="425" customWidth="1"/>
    <col min="11008" max="11008" width="10.7109375" style="425" customWidth="1"/>
    <col min="11009" max="11009" width="12.7109375" style="425" customWidth="1"/>
    <col min="11010" max="11011" width="10.7109375" style="425" customWidth="1"/>
    <col min="11012" max="11018" width="11.42578125" style="425"/>
    <col min="11019" max="11019" width="13.28515625" style="425" customWidth="1"/>
    <col min="11020" max="11261" width="11.42578125" style="425"/>
    <col min="11262" max="11262" width="36.7109375" style="425" customWidth="1"/>
    <col min="11263" max="11263" width="12.7109375" style="425" customWidth="1"/>
    <col min="11264" max="11264" width="10.7109375" style="425" customWidth="1"/>
    <col min="11265" max="11265" width="12.7109375" style="425" customWidth="1"/>
    <col min="11266" max="11267" width="10.7109375" style="425" customWidth="1"/>
    <col min="11268" max="11274" width="11.42578125" style="425"/>
    <col min="11275" max="11275" width="13.28515625" style="425" customWidth="1"/>
    <col min="11276" max="11517" width="11.42578125" style="425"/>
    <col min="11518" max="11518" width="36.7109375" style="425" customWidth="1"/>
    <col min="11519" max="11519" width="12.7109375" style="425" customWidth="1"/>
    <col min="11520" max="11520" width="10.7109375" style="425" customWidth="1"/>
    <col min="11521" max="11521" width="12.7109375" style="425" customWidth="1"/>
    <col min="11522" max="11523" width="10.7109375" style="425" customWidth="1"/>
    <col min="11524" max="11530" width="11.42578125" style="425"/>
    <col min="11531" max="11531" width="13.28515625" style="425" customWidth="1"/>
    <col min="11532" max="11773" width="11.42578125" style="425"/>
    <col min="11774" max="11774" width="36.7109375" style="425" customWidth="1"/>
    <col min="11775" max="11775" width="12.7109375" style="425" customWidth="1"/>
    <col min="11776" max="11776" width="10.7109375" style="425" customWidth="1"/>
    <col min="11777" max="11777" width="12.7109375" style="425" customWidth="1"/>
    <col min="11778" max="11779" width="10.7109375" style="425" customWidth="1"/>
    <col min="11780" max="11786" width="11.42578125" style="425"/>
    <col min="11787" max="11787" width="13.28515625" style="425" customWidth="1"/>
    <col min="11788" max="12029" width="11.42578125" style="425"/>
    <col min="12030" max="12030" width="36.7109375" style="425" customWidth="1"/>
    <col min="12031" max="12031" width="12.7109375" style="425" customWidth="1"/>
    <col min="12032" max="12032" width="10.7109375" style="425" customWidth="1"/>
    <col min="12033" max="12033" width="12.7109375" style="425" customWidth="1"/>
    <col min="12034" max="12035" width="10.7109375" style="425" customWidth="1"/>
    <col min="12036" max="12042" width="11.42578125" style="425"/>
    <col min="12043" max="12043" width="13.28515625" style="425" customWidth="1"/>
    <col min="12044" max="12285" width="11.42578125" style="425"/>
    <col min="12286" max="12286" width="36.7109375" style="425" customWidth="1"/>
    <col min="12287" max="12287" width="12.7109375" style="425" customWidth="1"/>
    <col min="12288" max="12288" width="10.7109375" style="425" customWidth="1"/>
    <col min="12289" max="12289" width="12.7109375" style="425" customWidth="1"/>
    <col min="12290" max="12291" width="10.7109375" style="425" customWidth="1"/>
    <col min="12292" max="12298" width="11.42578125" style="425"/>
    <col min="12299" max="12299" width="13.28515625" style="425" customWidth="1"/>
    <col min="12300" max="12541" width="11.42578125" style="425"/>
    <col min="12542" max="12542" width="36.7109375" style="425" customWidth="1"/>
    <col min="12543" max="12543" width="12.7109375" style="425" customWidth="1"/>
    <col min="12544" max="12544" width="10.7109375" style="425" customWidth="1"/>
    <col min="12545" max="12545" width="12.7109375" style="425" customWidth="1"/>
    <col min="12546" max="12547" width="10.7109375" style="425" customWidth="1"/>
    <col min="12548" max="12554" width="11.42578125" style="425"/>
    <col min="12555" max="12555" width="13.28515625" style="425" customWidth="1"/>
    <col min="12556" max="12797" width="11.42578125" style="425"/>
    <col min="12798" max="12798" width="36.7109375" style="425" customWidth="1"/>
    <col min="12799" max="12799" width="12.7109375" style="425" customWidth="1"/>
    <col min="12800" max="12800" width="10.7109375" style="425" customWidth="1"/>
    <col min="12801" max="12801" width="12.7109375" style="425" customWidth="1"/>
    <col min="12802" max="12803" width="10.7109375" style="425" customWidth="1"/>
    <col min="12804" max="12810" width="11.42578125" style="425"/>
    <col min="12811" max="12811" width="13.28515625" style="425" customWidth="1"/>
    <col min="12812" max="13053" width="11.42578125" style="425"/>
    <col min="13054" max="13054" width="36.7109375" style="425" customWidth="1"/>
    <col min="13055" max="13055" width="12.7109375" style="425" customWidth="1"/>
    <col min="13056" max="13056" width="10.7109375" style="425" customWidth="1"/>
    <col min="13057" max="13057" width="12.7109375" style="425" customWidth="1"/>
    <col min="13058" max="13059" width="10.7109375" style="425" customWidth="1"/>
    <col min="13060" max="13066" width="11.42578125" style="425"/>
    <col min="13067" max="13067" width="13.28515625" style="425" customWidth="1"/>
    <col min="13068" max="13309" width="11.42578125" style="425"/>
    <col min="13310" max="13310" width="36.7109375" style="425" customWidth="1"/>
    <col min="13311" max="13311" width="12.7109375" style="425" customWidth="1"/>
    <col min="13312" max="13312" width="10.7109375" style="425" customWidth="1"/>
    <col min="13313" max="13313" width="12.7109375" style="425" customWidth="1"/>
    <col min="13314" max="13315" width="10.7109375" style="425" customWidth="1"/>
    <col min="13316" max="13322" width="11.42578125" style="425"/>
    <col min="13323" max="13323" width="13.28515625" style="425" customWidth="1"/>
    <col min="13324" max="13565" width="11.42578125" style="425"/>
    <col min="13566" max="13566" width="36.7109375" style="425" customWidth="1"/>
    <col min="13567" max="13567" width="12.7109375" style="425" customWidth="1"/>
    <col min="13568" max="13568" width="10.7109375" style="425" customWidth="1"/>
    <col min="13569" max="13569" width="12.7109375" style="425" customWidth="1"/>
    <col min="13570" max="13571" width="10.7109375" style="425" customWidth="1"/>
    <col min="13572" max="13578" width="11.42578125" style="425"/>
    <col min="13579" max="13579" width="13.28515625" style="425" customWidth="1"/>
    <col min="13580" max="13821" width="11.42578125" style="425"/>
    <col min="13822" max="13822" width="36.7109375" style="425" customWidth="1"/>
    <col min="13823" max="13823" width="12.7109375" style="425" customWidth="1"/>
    <col min="13824" max="13824" width="10.7109375" style="425" customWidth="1"/>
    <col min="13825" max="13825" width="12.7109375" style="425" customWidth="1"/>
    <col min="13826" max="13827" width="10.7109375" style="425" customWidth="1"/>
    <col min="13828" max="13834" width="11.42578125" style="425"/>
    <col min="13835" max="13835" width="13.28515625" style="425" customWidth="1"/>
    <col min="13836" max="14077" width="11.42578125" style="425"/>
    <col min="14078" max="14078" width="36.7109375" style="425" customWidth="1"/>
    <col min="14079" max="14079" width="12.7109375" style="425" customWidth="1"/>
    <col min="14080" max="14080" width="10.7109375" style="425" customWidth="1"/>
    <col min="14081" max="14081" width="12.7109375" style="425" customWidth="1"/>
    <col min="14082" max="14083" width="10.7109375" style="425" customWidth="1"/>
    <col min="14084" max="14090" width="11.42578125" style="425"/>
    <col min="14091" max="14091" width="13.28515625" style="425" customWidth="1"/>
    <col min="14092" max="14333" width="11.42578125" style="425"/>
    <col min="14334" max="14334" width="36.7109375" style="425" customWidth="1"/>
    <col min="14335" max="14335" width="12.7109375" style="425" customWidth="1"/>
    <col min="14336" max="14336" width="10.7109375" style="425" customWidth="1"/>
    <col min="14337" max="14337" width="12.7109375" style="425" customWidth="1"/>
    <col min="14338" max="14339" width="10.7109375" style="425" customWidth="1"/>
    <col min="14340" max="14346" width="11.42578125" style="425"/>
    <col min="14347" max="14347" width="13.28515625" style="425" customWidth="1"/>
    <col min="14348" max="14589" width="11.42578125" style="425"/>
    <col min="14590" max="14590" width="36.7109375" style="425" customWidth="1"/>
    <col min="14591" max="14591" width="12.7109375" style="425" customWidth="1"/>
    <col min="14592" max="14592" width="10.7109375" style="425" customWidth="1"/>
    <col min="14593" max="14593" width="12.7109375" style="425" customWidth="1"/>
    <col min="14594" max="14595" width="10.7109375" style="425" customWidth="1"/>
    <col min="14596" max="14602" width="11.42578125" style="425"/>
    <col min="14603" max="14603" width="13.28515625" style="425" customWidth="1"/>
    <col min="14604" max="14845" width="11.42578125" style="425"/>
    <col min="14846" max="14846" width="36.7109375" style="425" customWidth="1"/>
    <col min="14847" max="14847" width="12.7109375" style="425" customWidth="1"/>
    <col min="14848" max="14848" width="10.7109375" style="425" customWidth="1"/>
    <col min="14849" max="14849" width="12.7109375" style="425" customWidth="1"/>
    <col min="14850" max="14851" width="10.7109375" style="425" customWidth="1"/>
    <col min="14852" max="14858" width="11.42578125" style="425"/>
    <col min="14859" max="14859" width="13.28515625" style="425" customWidth="1"/>
    <col min="14860" max="15101" width="11.42578125" style="425"/>
    <col min="15102" max="15102" width="36.7109375" style="425" customWidth="1"/>
    <col min="15103" max="15103" width="12.7109375" style="425" customWidth="1"/>
    <col min="15104" max="15104" width="10.7109375" style="425" customWidth="1"/>
    <col min="15105" max="15105" width="12.7109375" style="425" customWidth="1"/>
    <col min="15106" max="15107" width="10.7109375" style="425" customWidth="1"/>
    <col min="15108" max="15114" width="11.42578125" style="425"/>
    <col min="15115" max="15115" width="13.28515625" style="425" customWidth="1"/>
    <col min="15116" max="15357" width="11.42578125" style="425"/>
    <col min="15358" max="15358" width="36.7109375" style="425" customWidth="1"/>
    <col min="15359" max="15359" width="12.7109375" style="425" customWidth="1"/>
    <col min="15360" max="15360" width="10.7109375" style="425" customWidth="1"/>
    <col min="15361" max="15361" width="12.7109375" style="425" customWidth="1"/>
    <col min="15362" max="15363" width="10.7109375" style="425" customWidth="1"/>
    <col min="15364" max="15370" width="11.42578125" style="425"/>
    <col min="15371" max="15371" width="13.28515625" style="425" customWidth="1"/>
    <col min="15372" max="15613" width="11.42578125" style="425"/>
    <col min="15614" max="15614" width="36.7109375" style="425" customWidth="1"/>
    <col min="15615" max="15615" width="12.7109375" style="425" customWidth="1"/>
    <col min="15616" max="15616" width="10.7109375" style="425" customWidth="1"/>
    <col min="15617" max="15617" width="12.7109375" style="425" customWidth="1"/>
    <col min="15618" max="15619" width="10.7109375" style="425" customWidth="1"/>
    <col min="15620" max="15626" width="11.42578125" style="425"/>
    <col min="15627" max="15627" width="13.28515625" style="425" customWidth="1"/>
    <col min="15628" max="15869" width="11.42578125" style="425"/>
    <col min="15870" max="15870" width="36.7109375" style="425" customWidth="1"/>
    <col min="15871" max="15871" width="12.7109375" style="425" customWidth="1"/>
    <col min="15872" max="15872" width="10.7109375" style="425" customWidth="1"/>
    <col min="15873" max="15873" width="12.7109375" style="425" customWidth="1"/>
    <col min="15874" max="15875" width="10.7109375" style="425" customWidth="1"/>
    <col min="15876" max="15882" width="11.42578125" style="425"/>
    <col min="15883" max="15883" width="13.28515625" style="425" customWidth="1"/>
    <col min="15884" max="16125" width="11.42578125" style="425"/>
    <col min="16126" max="16126" width="36.7109375" style="425" customWidth="1"/>
    <col min="16127" max="16127" width="12.7109375" style="425" customWidth="1"/>
    <col min="16128" max="16128" width="10.7109375" style="425" customWidth="1"/>
    <col min="16129" max="16129" width="12.7109375" style="425" customWidth="1"/>
    <col min="16130" max="16131" width="10.7109375" style="425" customWidth="1"/>
    <col min="16132" max="16138" width="11.42578125" style="425"/>
    <col min="16139" max="16139" width="13.28515625" style="425" customWidth="1"/>
    <col min="16140" max="16384" width="11.42578125" style="425"/>
  </cols>
  <sheetData>
    <row r="1" spans="2:10" ht="26.25">
      <c r="B1" s="462"/>
    </row>
    <row r="7" spans="2:10" ht="52.5" customHeight="1">
      <c r="B7" s="463" t="s">
        <v>317</v>
      </c>
      <c r="C7" s="464"/>
      <c r="D7" s="464"/>
      <c r="E7" s="465"/>
      <c r="G7" s="463" t="s">
        <v>318</v>
      </c>
      <c r="H7" s="464"/>
      <c r="I7" s="464"/>
      <c r="J7" s="465"/>
    </row>
    <row r="8" spans="2:10" ht="41.25" customHeight="1">
      <c r="B8" s="431" t="s">
        <v>237</v>
      </c>
      <c r="C8" s="432" t="str">
        <f>actualizaciones!$A$3</f>
        <v>acumulado julio 2009</v>
      </c>
      <c r="D8" s="432" t="str">
        <f>actualizaciones!$A$2</f>
        <v xml:space="preserve">acumulado julio 2010 </v>
      </c>
      <c r="E8" s="433" t="s">
        <v>28</v>
      </c>
      <c r="G8" s="431" t="s">
        <v>237</v>
      </c>
      <c r="H8" s="432" t="str">
        <f>actualizaciones!$A$3</f>
        <v>acumulado julio 2009</v>
      </c>
      <c r="I8" s="432" t="str">
        <f>actualizaciones!$A$2</f>
        <v xml:space="preserve">acumulado julio 2010 </v>
      </c>
      <c r="J8" s="433" t="s">
        <v>28</v>
      </c>
    </row>
    <row r="9" spans="2:10">
      <c r="B9" s="434" t="s">
        <v>238</v>
      </c>
      <c r="C9" s="466"/>
      <c r="D9" s="466"/>
      <c r="E9" s="467"/>
      <c r="G9" s="434" t="s">
        <v>238</v>
      </c>
      <c r="H9" s="466"/>
      <c r="I9" s="466"/>
      <c r="J9" s="467"/>
    </row>
    <row r="10" spans="2:10">
      <c r="B10" s="468" t="s">
        <v>319</v>
      </c>
      <c r="C10" s="514">
        <f>'[1]tabla dinámica municipios'!$K$311*100</f>
        <v>55.615451674608849</v>
      </c>
      <c r="D10" s="514">
        <f>'[1]tabla dinámica municipios'!$U$311*100</f>
        <v>57.336689255463426</v>
      </c>
      <c r="E10" s="515">
        <f>(D10-C10)/C10</f>
        <v>3.094890950315532E-2</v>
      </c>
      <c r="G10" s="468" t="s">
        <v>319</v>
      </c>
      <c r="H10" s="514">
        <f>'[1]tabla dinámica municipios'!$K$338*100</f>
        <v>56.222793180322093</v>
      </c>
      <c r="I10" s="514">
        <f>'[1]tabla dinámica municipios'!$U$338*100</f>
        <v>56.991904181811258</v>
      </c>
      <c r="J10" s="515">
        <f>(I10-H10)/H10</f>
        <v>1.3679701024856815E-2</v>
      </c>
    </row>
    <row r="11" spans="2:10">
      <c r="B11" s="434" t="s">
        <v>240</v>
      </c>
      <c r="C11" s="466"/>
      <c r="D11" s="466"/>
      <c r="E11" s="516"/>
      <c r="G11" s="434" t="s">
        <v>240</v>
      </c>
      <c r="H11" s="466"/>
      <c r="I11" s="466"/>
      <c r="J11" s="516"/>
    </row>
    <row r="12" spans="2:10">
      <c r="B12" s="452" t="s">
        <v>241</v>
      </c>
      <c r="C12" s="517">
        <f>'[1]tabla dinámica municipios'!$J$311*100</f>
        <v>66.215013478371304</v>
      </c>
      <c r="D12" s="517">
        <f>'[1]tabla dinámica municipios'!$T$311*100</f>
        <v>69.815886269859277</v>
      </c>
      <c r="E12" s="518">
        <f>(D12-C12)/C12</f>
        <v>5.4381515646208758E-2</v>
      </c>
      <c r="G12" s="452" t="s">
        <v>241</v>
      </c>
      <c r="H12" s="517">
        <f>'[1]tabla dinámica municipios'!$J$338*100</f>
        <v>64.814816537400404</v>
      </c>
      <c r="I12" s="517">
        <f>'[1]tabla dinámica municipios'!$T$338*100</f>
        <v>66.642848288749178</v>
      </c>
      <c r="J12" s="518">
        <f>(I12-H12)/H12</f>
        <v>2.8203917699804591E-2</v>
      </c>
    </row>
    <row r="13" spans="2:10">
      <c r="B13" s="452" t="s">
        <v>306</v>
      </c>
      <c r="C13" s="519">
        <f>'[1]tabla dinámica municipios'!$H$311*100</f>
        <v>60.808670061779935</v>
      </c>
      <c r="D13" s="519">
        <f>'[1]tabla dinámica municipios'!$R$311*100</f>
        <v>65.362406238641242</v>
      </c>
      <c r="E13" s="520">
        <f>(D13-C13)/C13</f>
        <v>7.4886297829484444E-2</v>
      </c>
      <c r="G13" s="452" t="s">
        <v>306</v>
      </c>
      <c r="H13" s="519">
        <f>'[1]tabla dinámica municipios'!$H$338*100</f>
        <v>60.720066261901685</v>
      </c>
      <c r="I13" s="519">
        <f>'[1]tabla dinámica municipios'!$R$338*100</f>
        <v>65.21896063039992</v>
      </c>
      <c r="J13" s="520">
        <f>(I13-H13)/H13</f>
        <v>7.4092382394533543E-2</v>
      </c>
    </row>
    <row r="14" spans="2:10">
      <c r="B14" s="452" t="s">
        <v>307</v>
      </c>
      <c r="C14" s="519">
        <f>'[1]tabla dinámica municipios'!$F$311*100</f>
        <v>68.555698158423098</v>
      </c>
      <c r="D14" s="519">
        <f>'[1]tabla dinámica municipios'!$P$311*100</f>
        <v>72.957887808063489</v>
      </c>
      <c r="E14" s="520">
        <f>(D14-C14)/C14</f>
        <v>6.4213329714293277E-2</v>
      </c>
      <c r="G14" s="452" t="s">
        <v>307</v>
      </c>
      <c r="H14" s="519">
        <f>'[1]tabla dinámica municipios'!$F$338*100</f>
        <v>71.387114299494897</v>
      </c>
      <c r="I14" s="519">
        <f>'[1]tabla dinámica municipios'!$P$338*100</f>
        <v>74.220568695189996</v>
      </c>
      <c r="J14" s="520">
        <f>(I14-H14)/H14</f>
        <v>3.9691398419716591E-2</v>
      </c>
    </row>
    <row r="15" spans="2:10">
      <c r="B15" s="452" t="s">
        <v>228</v>
      </c>
      <c r="C15" s="519">
        <f>'[1]tabla dinámica municipios'!$E$311*100</f>
        <v>62.37064566418772</v>
      </c>
      <c r="D15" s="519">
        <f>'[1]tabla dinámica municipios'!$O$311*100</f>
        <v>61.985202958174767</v>
      </c>
      <c r="E15" s="520">
        <f>(D15-C15)/C15</f>
        <v>-6.1798735913081585E-3</v>
      </c>
      <c r="G15" s="452" t="s">
        <v>228</v>
      </c>
      <c r="H15" s="519">
        <f>'[1]tabla dinámica municipios'!$E$338*100</f>
        <v>57.568979584922594</v>
      </c>
      <c r="I15" s="519">
        <f>'[1]tabla dinámica municipios'!$O$338*100</f>
        <v>56.756159672952208</v>
      </c>
      <c r="J15" s="520">
        <f>(I15-H15)/H15</f>
        <v>-1.4119060609218533E-2</v>
      </c>
    </row>
    <row r="16" spans="2:10">
      <c r="B16" s="452" t="s">
        <v>308</v>
      </c>
      <c r="C16" s="521">
        <f>'[1]tabla dinámica municipios'!$C$311*100</f>
        <v>69.193095142513044</v>
      </c>
      <c r="D16" s="521">
        <f>'[1]tabla dinámica municipios'!$M$311*100</f>
        <v>69.971898835808915</v>
      </c>
      <c r="E16" s="522">
        <f>(D16-C16)/C16</f>
        <v>1.125551171965661E-2</v>
      </c>
      <c r="G16" s="452" t="s">
        <v>308</v>
      </c>
      <c r="H16" s="521">
        <f>'[1]tabla dinámica municipios'!$C$338*100</f>
        <v>47.04599524187153</v>
      </c>
      <c r="I16" s="521">
        <f>'[1]tabla dinámica municipios'!$M$338*100</f>
        <v>46.190968931245273</v>
      </c>
      <c r="J16" s="522">
        <f>(I16-H16)/H16</f>
        <v>-1.8174263425195295E-2</v>
      </c>
    </row>
    <row r="17" spans="2:12">
      <c r="B17" s="434" t="s">
        <v>242</v>
      </c>
      <c r="C17" s="435"/>
      <c r="D17" s="435"/>
      <c r="E17" s="523"/>
      <c r="G17" s="434" t="s">
        <v>242</v>
      </c>
      <c r="H17" s="435"/>
      <c r="I17" s="435"/>
      <c r="J17" s="523"/>
    </row>
    <row r="18" spans="2:12">
      <c r="B18" s="481" t="s">
        <v>243</v>
      </c>
      <c r="C18" s="521">
        <f>'[1]tabla dinámica municipios'!$I$311*100</f>
        <v>44.204648752749911</v>
      </c>
      <c r="D18" s="521">
        <f>'[1]tabla dinámica municipios'!$S$311*100</f>
        <v>43.885093047549042</v>
      </c>
      <c r="E18" s="522">
        <f>(D18-C18)/C18</f>
        <v>-7.2290067723022088E-3</v>
      </c>
      <c r="G18" s="481" t="s">
        <v>243</v>
      </c>
      <c r="H18" s="521">
        <f>'[1]tabla dinámica municipios'!$I$338*100</f>
        <v>51.246327299783125</v>
      </c>
      <c r="I18" s="521">
        <f>'[1]tabla dinámica municipios'!$S$338*100</f>
        <v>51.081542657664549</v>
      </c>
      <c r="J18" s="522">
        <f>(I18-H18)/H18</f>
        <v>-3.2155405236088696E-3</v>
      </c>
    </row>
    <row r="19" spans="2:12">
      <c r="B19" s="484" t="s">
        <v>90</v>
      </c>
      <c r="C19" s="485"/>
      <c r="D19" s="485"/>
      <c r="E19" s="486"/>
      <c r="G19" s="484" t="s">
        <v>90</v>
      </c>
      <c r="H19" s="485"/>
      <c r="I19" s="485"/>
      <c r="J19" s="486"/>
    </row>
    <row r="20" spans="2:12" ht="20.100000000000001" customHeight="1" thickBot="1"/>
    <row r="21" spans="2:12" ht="51.75" customHeight="1" thickBot="1">
      <c r="B21" s="463" t="s">
        <v>320</v>
      </c>
      <c r="C21" s="464"/>
      <c r="D21" s="464"/>
      <c r="E21" s="465"/>
      <c r="G21" s="463" t="s">
        <v>321</v>
      </c>
      <c r="H21" s="464"/>
      <c r="I21" s="464"/>
      <c r="J21" s="465"/>
      <c r="L21" s="60" t="s">
        <v>50</v>
      </c>
    </row>
    <row r="22" spans="2:12" ht="33.75" customHeight="1">
      <c r="B22" s="431" t="s">
        <v>237</v>
      </c>
      <c r="C22" s="432" t="str">
        <f>actualizaciones!$A$3</f>
        <v>acumulado julio 2009</v>
      </c>
      <c r="D22" s="432" t="str">
        <f>actualizaciones!$A$2</f>
        <v xml:space="preserve">acumulado julio 2010 </v>
      </c>
      <c r="E22" s="433" t="s">
        <v>28</v>
      </c>
      <c r="G22" s="431" t="s">
        <v>237</v>
      </c>
      <c r="H22" s="432" t="str">
        <f>actualizaciones!$A$3</f>
        <v>acumulado julio 2009</v>
      </c>
      <c r="I22" s="432" t="str">
        <f>actualizaciones!$A$2</f>
        <v xml:space="preserve">acumulado julio 2010 </v>
      </c>
      <c r="J22" s="433" t="s">
        <v>28</v>
      </c>
    </row>
    <row r="23" spans="2:12">
      <c r="B23" s="434" t="s">
        <v>238</v>
      </c>
      <c r="C23" s="466"/>
      <c r="D23" s="466"/>
      <c r="E23" s="467"/>
      <c r="G23" s="434" t="s">
        <v>238</v>
      </c>
      <c r="H23" s="466"/>
      <c r="I23" s="466"/>
      <c r="J23" s="467"/>
    </row>
    <row r="24" spans="2:12">
      <c r="B24" s="468" t="s">
        <v>319</v>
      </c>
      <c r="C24" s="514">
        <f>'[1]tabla dinámica municipios'!$K$365*100</f>
        <v>55.055308525715972</v>
      </c>
      <c r="D24" s="514">
        <f>'[1]tabla dinámica municipios'!$U$365*100</f>
        <v>53.995217413409314</v>
      </c>
      <c r="E24" s="515">
        <f>(D24-C24)/C24</f>
        <v>-1.9255020827128714E-2</v>
      </c>
      <c r="G24" s="468" t="s">
        <v>319</v>
      </c>
      <c r="H24" s="514">
        <f>'[1]tabla dinámica municipios'!K392*100</f>
        <v>41.859501432611275</v>
      </c>
      <c r="I24" s="514">
        <f>'[1]tabla dinámica municipios'!$U$392*100</f>
        <v>37.709338935825123</v>
      </c>
      <c r="J24" s="515">
        <f>(I24-H24)/H24</f>
        <v>-9.9145053207750466E-2</v>
      </c>
    </row>
    <row r="25" spans="2:12">
      <c r="B25" s="434" t="s">
        <v>240</v>
      </c>
      <c r="C25" s="466"/>
      <c r="D25" s="466"/>
      <c r="E25" s="516"/>
      <c r="G25" s="434" t="s">
        <v>240</v>
      </c>
      <c r="H25" s="466"/>
      <c r="I25" s="466"/>
      <c r="J25" s="516"/>
    </row>
    <row r="26" spans="2:12">
      <c r="B26" s="452" t="s">
        <v>241</v>
      </c>
      <c r="C26" s="517">
        <f>'[1]tabla dinámica municipios'!$J$365*100</f>
        <v>59.624365206741246</v>
      </c>
      <c r="D26" s="517">
        <f>'[1]tabla dinámica municipios'!$T$365*100</f>
        <v>59.811096091345739</v>
      </c>
      <c r="E26" s="518">
        <f>(D26-C26)/C26</f>
        <v>3.1317882204200194E-3</v>
      </c>
      <c r="G26" s="452" t="s">
        <v>241</v>
      </c>
      <c r="H26" s="517">
        <f>'[1]tabla dinámica municipios'!$J$392*100</f>
        <v>41.859501432611275</v>
      </c>
      <c r="I26" s="517">
        <f>'[1]tabla dinámica municipios'!$T$392*100</f>
        <v>37.709338935825123</v>
      </c>
      <c r="J26" s="518">
        <f>(I26-H26)/H26</f>
        <v>-9.9145053207750466E-2</v>
      </c>
    </row>
    <row r="27" spans="2:12">
      <c r="B27" s="452" t="s">
        <v>229</v>
      </c>
      <c r="C27" s="519">
        <f>'[1]tabla dinámica municipios'!$G$365*100</f>
        <v>62.301000589417463</v>
      </c>
      <c r="D27" s="519">
        <f>'[1]tabla dinámica municipios'!$Q$365*100</f>
        <v>63.245450507198356</v>
      </c>
      <c r="E27" s="520">
        <f>(D27-C27)/C27</f>
        <v>1.5159466282172669E-2</v>
      </c>
      <c r="G27" s="452" t="s">
        <v>229</v>
      </c>
      <c r="H27" s="519">
        <f>'[1]tabla dinámica municipios'!$G$392*100</f>
        <v>32.173405211141059</v>
      </c>
      <c r="I27" s="519">
        <f>'[1]tabla dinámica municipios'!$Q$392*100</f>
        <v>26.802316237526359</v>
      </c>
      <c r="J27" s="520">
        <f>(I27-H27)/H27</f>
        <v>-0.16694188688969705</v>
      </c>
    </row>
    <row r="28" spans="2:12">
      <c r="B28" s="452" t="s">
        <v>228</v>
      </c>
      <c r="C28" s="519">
        <f>'[1]tabla dinámica municipios'!$E$365*100</f>
        <v>52.323487535576355</v>
      </c>
      <c r="D28" s="519">
        <f>'[1]tabla dinámica municipios'!$O$365*100</f>
        <v>49.170663407864112</v>
      </c>
      <c r="E28" s="520">
        <f>(D28-C28)/C28</f>
        <v>-6.0256383437142659E-2</v>
      </c>
      <c r="G28" s="452" t="s">
        <v>228</v>
      </c>
      <c r="H28" s="519">
        <f>'[1]tabla dinámica municipios'!$E$392*100</f>
        <v>46.6590761223162</v>
      </c>
      <c r="I28" s="519">
        <f>'[1]tabla dinámica municipios'!$O$392*100</f>
        <v>47.711450878334418</v>
      </c>
      <c r="J28" s="520">
        <f>(I28-H28)/H28</f>
        <v>2.2554556229519625E-2</v>
      </c>
    </row>
    <row r="29" spans="2:12">
      <c r="B29" s="452" t="s">
        <v>308</v>
      </c>
      <c r="C29" s="521">
        <f>'[1]tabla dinámica municipios'!$C$365*100</f>
        <v>27.000607010976779</v>
      </c>
      <c r="D29" s="521">
        <f>'[1]tabla dinámica municipios'!$M$365*100</f>
        <v>28.176690778491576</v>
      </c>
      <c r="E29" s="522">
        <f>(D29-C29)/C29</f>
        <v>4.355767879724607E-2</v>
      </c>
      <c r="G29" s="452" t="s">
        <v>227</v>
      </c>
      <c r="H29" s="519">
        <f>'[1]tabla dinámica municipios'!$D$392*100</f>
        <v>52.776300319131067</v>
      </c>
      <c r="I29" s="519">
        <f>'[1]tabla dinámica municipios'!$N$392*100</f>
        <v>43.23316163708639</v>
      </c>
      <c r="J29" s="520">
        <f>(I29-H29)/H29</f>
        <v>-0.18082242643646151</v>
      </c>
    </row>
    <row r="30" spans="2:12">
      <c r="B30" s="434" t="s">
        <v>242</v>
      </c>
      <c r="C30" s="435"/>
      <c r="D30" s="435"/>
      <c r="E30" s="523"/>
      <c r="G30" s="452" t="s">
        <v>226</v>
      </c>
      <c r="H30" s="521">
        <f>'[1]tabla dinámica municipios'!$B$392*100</f>
        <v>41.988284306469012</v>
      </c>
      <c r="I30" s="521">
        <f>'[1]tabla dinámica municipios'!$L$392*100</f>
        <v>42.908018867924532</v>
      </c>
      <c r="J30" s="522">
        <f>(I30-H30)/H30</f>
        <v>2.1904552106546054E-2</v>
      </c>
    </row>
    <row r="31" spans="2:12">
      <c r="B31" s="481" t="s">
        <v>243</v>
      </c>
      <c r="C31" s="521">
        <f>'[1]tabla dinámica municipios'!$I$365*100</f>
        <v>48.597891400732699</v>
      </c>
      <c r="D31" s="521">
        <f>'[1]tabla dinámica municipios'!$S$365*100</f>
        <v>44.995128586186198</v>
      </c>
      <c r="E31" s="522">
        <f>(D31-C31)/C31</f>
        <v>-7.4134138554253895E-2</v>
      </c>
      <c r="G31" s="434" t="s">
        <v>242</v>
      </c>
      <c r="H31" s="435"/>
      <c r="I31" s="435"/>
      <c r="J31" s="523"/>
    </row>
    <row r="32" spans="2:12">
      <c r="B32" s="484" t="s">
        <v>90</v>
      </c>
      <c r="C32" s="485"/>
      <c r="D32" s="485"/>
      <c r="E32" s="486"/>
      <c r="G32" s="481" t="s">
        <v>243</v>
      </c>
      <c r="H32" s="482">
        <f>GETPIVOTDATA("dato",'[1]tabla dinámica municipios'!$A$4,"indicador","Pernoctaciones","categoría","Extrahoteleros","municipio","SANTA CRUZ","año",2009)</f>
        <v>0</v>
      </c>
      <c r="I32" s="482">
        <f>GETPIVOTDATA("dato",'[1]tabla dinámica municipios'!$A$4,"indicador","Pernoctaciones","categoría","Extrahoteleros","municipio","SANTA CRUZ","año",2010)</f>
        <v>0</v>
      </c>
      <c r="J32" s="524" t="str">
        <f>IFERROR((I32-H32)/H32,"-")</f>
        <v>-</v>
      </c>
    </row>
    <row r="33" spans="7:10">
      <c r="G33" s="484" t="s">
        <v>90</v>
      </c>
      <c r="H33" s="485"/>
      <c r="I33" s="485"/>
      <c r="J33" s="486"/>
    </row>
  </sheetData>
  <mergeCells count="8">
    <mergeCell ref="B32:E32"/>
    <mergeCell ref="G33:J33"/>
    <mergeCell ref="B7:E7"/>
    <mergeCell ref="G7:J7"/>
    <mergeCell ref="B19:E19"/>
    <mergeCell ref="G19:J19"/>
    <mergeCell ref="B21:E21"/>
    <mergeCell ref="G21:J21"/>
  </mergeCells>
  <hyperlinks>
    <hyperlink ref="L21" location="'Gráfico IOa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5" max="43" man="1"/>
  </colBreaks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46">
    <tabColor rgb="FF000099"/>
    <pageSetUpPr autoPageBreaks="0" fitToPage="1"/>
  </sheetPr>
  <dimension ref="B6:S44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5" style="194" customWidth="1"/>
    <col min="2" max="8" width="12.42578125" style="194" customWidth="1"/>
    <col min="9" max="9" width="11.42578125" style="194"/>
    <col min="10" max="10" width="11.85546875" style="194" customWidth="1"/>
    <col min="11" max="11" width="3.7109375" style="194" customWidth="1"/>
    <col min="12" max="16" width="11.42578125" style="194"/>
    <col min="17" max="17" width="16.42578125" style="194" customWidth="1"/>
    <col min="18" max="265" width="11.42578125" style="194"/>
    <col min="266" max="266" width="11.85546875" style="194" customWidth="1"/>
    <col min="267" max="267" width="3.7109375" style="194" customWidth="1"/>
    <col min="268" max="521" width="11.42578125" style="194"/>
    <col min="522" max="522" width="11.85546875" style="194" customWidth="1"/>
    <col min="523" max="523" width="3.7109375" style="194" customWidth="1"/>
    <col min="524" max="777" width="11.42578125" style="194"/>
    <col min="778" max="778" width="11.85546875" style="194" customWidth="1"/>
    <col min="779" max="779" width="3.7109375" style="194" customWidth="1"/>
    <col min="780" max="1033" width="11.42578125" style="194"/>
    <col min="1034" max="1034" width="11.85546875" style="194" customWidth="1"/>
    <col min="1035" max="1035" width="3.7109375" style="194" customWidth="1"/>
    <col min="1036" max="1289" width="11.42578125" style="194"/>
    <col min="1290" max="1290" width="11.85546875" style="194" customWidth="1"/>
    <col min="1291" max="1291" width="3.7109375" style="194" customWidth="1"/>
    <col min="1292" max="1545" width="11.42578125" style="194"/>
    <col min="1546" max="1546" width="11.85546875" style="194" customWidth="1"/>
    <col min="1547" max="1547" width="3.7109375" style="194" customWidth="1"/>
    <col min="1548" max="1801" width="11.42578125" style="194"/>
    <col min="1802" max="1802" width="11.85546875" style="194" customWidth="1"/>
    <col min="1803" max="1803" width="3.7109375" style="194" customWidth="1"/>
    <col min="1804" max="2057" width="11.42578125" style="194"/>
    <col min="2058" max="2058" width="11.85546875" style="194" customWidth="1"/>
    <col min="2059" max="2059" width="3.7109375" style="194" customWidth="1"/>
    <col min="2060" max="2313" width="11.42578125" style="194"/>
    <col min="2314" max="2314" width="11.85546875" style="194" customWidth="1"/>
    <col min="2315" max="2315" width="3.7109375" style="194" customWidth="1"/>
    <col min="2316" max="2569" width="11.42578125" style="194"/>
    <col min="2570" max="2570" width="11.85546875" style="194" customWidth="1"/>
    <col min="2571" max="2571" width="3.7109375" style="194" customWidth="1"/>
    <col min="2572" max="2825" width="11.42578125" style="194"/>
    <col min="2826" max="2826" width="11.85546875" style="194" customWidth="1"/>
    <col min="2827" max="2827" width="3.7109375" style="194" customWidth="1"/>
    <col min="2828" max="3081" width="11.42578125" style="194"/>
    <col min="3082" max="3082" width="11.85546875" style="194" customWidth="1"/>
    <col min="3083" max="3083" width="3.7109375" style="194" customWidth="1"/>
    <col min="3084" max="3337" width="11.42578125" style="194"/>
    <col min="3338" max="3338" width="11.85546875" style="194" customWidth="1"/>
    <col min="3339" max="3339" width="3.7109375" style="194" customWidth="1"/>
    <col min="3340" max="3593" width="11.42578125" style="194"/>
    <col min="3594" max="3594" width="11.85546875" style="194" customWidth="1"/>
    <col min="3595" max="3595" width="3.7109375" style="194" customWidth="1"/>
    <col min="3596" max="3849" width="11.42578125" style="194"/>
    <col min="3850" max="3850" width="11.85546875" style="194" customWidth="1"/>
    <col min="3851" max="3851" width="3.7109375" style="194" customWidth="1"/>
    <col min="3852" max="4105" width="11.42578125" style="194"/>
    <col min="4106" max="4106" width="11.85546875" style="194" customWidth="1"/>
    <col min="4107" max="4107" width="3.7109375" style="194" customWidth="1"/>
    <col min="4108" max="4361" width="11.42578125" style="194"/>
    <col min="4362" max="4362" width="11.85546875" style="194" customWidth="1"/>
    <col min="4363" max="4363" width="3.7109375" style="194" customWidth="1"/>
    <col min="4364" max="4617" width="11.42578125" style="194"/>
    <col min="4618" max="4618" width="11.85546875" style="194" customWidth="1"/>
    <col min="4619" max="4619" width="3.7109375" style="194" customWidth="1"/>
    <col min="4620" max="4873" width="11.42578125" style="194"/>
    <col min="4874" max="4874" width="11.85546875" style="194" customWidth="1"/>
    <col min="4875" max="4875" width="3.7109375" style="194" customWidth="1"/>
    <col min="4876" max="5129" width="11.42578125" style="194"/>
    <col min="5130" max="5130" width="11.85546875" style="194" customWidth="1"/>
    <col min="5131" max="5131" width="3.7109375" style="194" customWidth="1"/>
    <col min="5132" max="5385" width="11.42578125" style="194"/>
    <col min="5386" max="5386" width="11.85546875" style="194" customWidth="1"/>
    <col min="5387" max="5387" width="3.7109375" style="194" customWidth="1"/>
    <col min="5388" max="5641" width="11.42578125" style="194"/>
    <col min="5642" max="5642" width="11.85546875" style="194" customWidth="1"/>
    <col min="5643" max="5643" width="3.7109375" style="194" customWidth="1"/>
    <col min="5644" max="5897" width="11.42578125" style="194"/>
    <col min="5898" max="5898" width="11.85546875" style="194" customWidth="1"/>
    <col min="5899" max="5899" width="3.7109375" style="194" customWidth="1"/>
    <col min="5900" max="6153" width="11.42578125" style="194"/>
    <col min="6154" max="6154" width="11.85546875" style="194" customWidth="1"/>
    <col min="6155" max="6155" width="3.7109375" style="194" customWidth="1"/>
    <col min="6156" max="6409" width="11.42578125" style="194"/>
    <col min="6410" max="6410" width="11.85546875" style="194" customWidth="1"/>
    <col min="6411" max="6411" width="3.7109375" style="194" customWidth="1"/>
    <col min="6412" max="6665" width="11.42578125" style="194"/>
    <col min="6666" max="6666" width="11.85546875" style="194" customWidth="1"/>
    <col min="6667" max="6667" width="3.7109375" style="194" customWidth="1"/>
    <col min="6668" max="6921" width="11.42578125" style="194"/>
    <col min="6922" max="6922" width="11.85546875" style="194" customWidth="1"/>
    <col min="6923" max="6923" width="3.7109375" style="194" customWidth="1"/>
    <col min="6924" max="7177" width="11.42578125" style="194"/>
    <col min="7178" max="7178" width="11.85546875" style="194" customWidth="1"/>
    <col min="7179" max="7179" width="3.7109375" style="194" customWidth="1"/>
    <col min="7180" max="7433" width="11.42578125" style="194"/>
    <col min="7434" max="7434" width="11.85546875" style="194" customWidth="1"/>
    <col min="7435" max="7435" width="3.7109375" style="194" customWidth="1"/>
    <col min="7436" max="7689" width="11.42578125" style="194"/>
    <col min="7690" max="7690" width="11.85546875" style="194" customWidth="1"/>
    <col min="7691" max="7691" width="3.7109375" style="194" customWidth="1"/>
    <col min="7692" max="7945" width="11.42578125" style="194"/>
    <col min="7946" max="7946" width="11.85546875" style="194" customWidth="1"/>
    <col min="7947" max="7947" width="3.7109375" style="194" customWidth="1"/>
    <col min="7948" max="8201" width="11.42578125" style="194"/>
    <col min="8202" max="8202" width="11.85546875" style="194" customWidth="1"/>
    <col min="8203" max="8203" width="3.7109375" style="194" customWidth="1"/>
    <col min="8204" max="8457" width="11.42578125" style="194"/>
    <col min="8458" max="8458" width="11.85546875" style="194" customWidth="1"/>
    <col min="8459" max="8459" width="3.7109375" style="194" customWidth="1"/>
    <col min="8460" max="8713" width="11.42578125" style="194"/>
    <col min="8714" max="8714" width="11.85546875" style="194" customWidth="1"/>
    <col min="8715" max="8715" width="3.7109375" style="194" customWidth="1"/>
    <col min="8716" max="8969" width="11.42578125" style="194"/>
    <col min="8970" max="8970" width="11.85546875" style="194" customWidth="1"/>
    <col min="8971" max="8971" width="3.7109375" style="194" customWidth="1"/>
    <col min="8972" max="9225" width="11.42578125" style="194"/>
    <col min="9226" max="9226" width="11.85546875" style="194" customWidth="1"/>
    <col min="9227" max="9227" width="3.7109375" style="194" customWidth="1"/>
    <col min="9228" max="9481" width="11.42578125" style="194"/>
    <col min="9482" max="9482" width="11.85546875" style="194" customWidth="1"/>
    <col min="9483" max="9483" width="3.7109375" style="194" customWidth="1"/>
    <col min="9484" max="9737" width="11.42578125" style="194"/>
    <col min="9738" max="9738" width="11.85546875" style="194" customWidth="1"/>
    <col min="9739" max="9739" width="3.7109375" style="194" customWidth="1"/>
    <col min="9740" max="9993" width="11.42578125" style="194"/>
    <col min="9994" max="9994" width="11.85546875" style="194" customWidth="1"/>
    <col min="9995" max="9995" width="3.7109375" style="194" customWidth="1"/>
    <col min="9996" max="10249" width="11.42578125" style="194"/>
    <col min="10250" max="10250" width="11.85546875" style="194" customWidth="1"/>
    <col min="10251" max="10251" width="3.7109375" style="194" customWidth="1"/>
    <col min="10252" max="10505" width="11.42578125" style="194"/>
    <col min="10506" max="10506" width="11.85546875" style="194" customWidth="1"/>
    <col min="10507" max="10507" width="3.7109375" style="194" customWidth="1"/>
    <col min="10508" max="10761" width="11.42578125" style="194"/>
    <col min="10762" max="10762" width="11.85546875" style="194" customWidth="1"/>
    <col min="10763" max="10763" width="3.7109375" style="194" customWidth="1"/>
    <col min="10764" max="11017" width="11.42578125" style="194"/>
    <col min="11018" max="11018" width="11.85546875" style="194" customWidth="1"/>
    <col min="11019" max="11019" width="3.7109375" style="194" customWidth="1"/>
    <col min="11020" max="11273" width="11.42578125" style="194"/>
    <col min="11274" max="11274" width="11.85546875" style="194" customWidth="1"/>
    <col min="11275" max="11275" width="3.7109375" style="194" customWidth="1"/>
    <col min="11276" max="11529" width="11.42578125" style="194"/>
    <col min="11530" max="11530" width="11.85546875" style="194" customWidth="1"/>
    <col min="11531" max="11531" width="3.7109375" style="194" customWidth="1"/>
    <col min="11532" max="11785" width="11.42578125" style="194"/>
    <col min="11786" max="11786" width="11.85546875" style="194" customWidth="1"/>
    <col min="11787" max="11787" width="3.7109375" style="194" customWidth="1"/>
    <col min="11788" max="12041" width="11.42578125" style="194"/>
    <col min="12042" max="12042" width="11.85546875" style="194" customWidth="1"/>
    <col min="12043" max="12043" width="3.7109375" style="194" customWidth="1"/>
    <col min="12044" max="12297" width="11.42578125" style="194"/>
    <col min="12298" max="12298" width="11.85546875" style="194" customWidth="1"/>
    <col min="12299" max="12299" width="3.7109375" style="194" customWidth="1"/>
    <col min="12300" max="12553" width="11.42578125" style="194"/>
    <col min="12554" max="12554" width="11.85546875" style="194" customWidth="1"/>
    <col min="12555" max="12555" width="3.7109375" style="194" customWidth="1"/>
    <col min="12556" max="12809" width="11.42578125" style="194"/>
    <col min="12810" max="12810" width="11.85546875" style="194" customWidth="1"/>
    <col min="12811" max="12811" width="3.7109375" style="194" customWidth="1"/>
    <col min="12812" max="13065" width="11.42578125" style="194"/>
    <col min="13066" max="13066" width="11.85546875" style="194" customWidth="1"/>
    <col min="13067" max="13067" width="3.7109375" style="194" customWidth="1"/>
    <col min="13068" max="13321" width="11.42578125" style="194"/>
    <col min="13322" max="13322" width="11.85546875" style="194" customWidth="1"/>
    <col min="13323" max="13323" width="3.7109375" style="194" customWidth="1"/>
    <col min="13324" max="13577" width="11.42578125" style="194"/>
    <col min="13578" max="13578" width="11.85546875" style="194" customWidth="1"/>
    <col min="13579" max="13579" width="3.7109375" style="194" customWidth="1"/>
    <col min="13580" max="13833" width="11.42578125" style="194"/>
    <col min="13834" max="13834" width="11.85546875" style="194" customWidth="1"/>
    <col min="13835" max="13835" width="3.7109375" style="194" customWidth="1"/>
    <col min="13836" max="14089" width="11.42578125" style="194"/>
    <col min="14090" max="14090" width="11.85546875" style="194" customWidth="1"/>
    <col min="14091" max="14091" width="3.7109375" style="194" customWidth="1"/>
    <col min="14092" max="14345" width="11.42578125" style="194"/>
    <col min="14346" max="14346" width="11.85546875" style="194" customWidth="1"/>
    <col min="14347" max="14347" width="3.7109375" style="194" customWidth="1"/>
    <col min="14348" max="14601" width="11.42578125" style="194"/>
    <col min="14602" max="14602" width="11.85546875" style="194" customWidth="1"/>
    <col min="14603" max="14603" width="3.7109375" style="194" customWidth="1"/>
    <col min="14604" max="14857" width="11.42578125" style="194"/>
    <col min="14858" max="14858" width="11.85546875" style="194" customWidth="1"/>
    <col min="14859" max="14859" width="3.7109375" style="194" customWidth="1"/>
    <col min="14860" max="15113" width="11.42578125" style="194"/>
    <col min="15114" max="15114" width="11.85546875" style="194" customWidth="1"/>
    <col min="15115" max="15115" width="3.7109375" style="194" customWidth="1"/>
    <col min="15116" max="15369" width="11.42578125" style="194"/>
    <col min="15370" max="15370" width="11.85546875" style="194" customWidth="1"/>
    <col min="15371" max="15371" width="3.7109375" style="194" customWidth="1"/>
    <col min="15372" max="15625" width="11.42578125" style="194"/>
    <col min="15626" max="15626" width="11.85546875" style="194" customWidth="1"/>
    <col min="15627" max="15627" width="3.7109375" style="194" customWidth="1"/>
    <col min="15628" max="15881" width="11.42578125" style="194"/>
    <col min="15882" max="15882" width="11.85546875" style="194" customWidth="1"/>
    <col min="15883" max="15883" width="3.7109375" style="194" customWidth="1"/>
    <col min="15884" max="16137" width="11.42578125" style="194"/>
    <col min="16138" max="16138" width="11.85546875" style="194" customWidth="1"/>
    <col min="16139" max="16139" width="3.7109375" style="194" customWidth="1"/>
    <col min="16140" max="16384" width="11.42578125" style="194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0" t="s">
        <v>52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IO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21">
    <tabColor rgb="FF000099"/>
    <pageSetUpPr autoPageBreaks="0" fitToPage="1"/>
  </sheetPr>
  <dimension ref="B6:L30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3.5703125" style="425" customWidth="1"/>
    <col min="2" max="2" width="35.7109375" style="425" customWidth="1"/>
    <col min="3" max="4" width="12.85546875" style="425" customWidth="1"/>
    <col min="5" max="5" width="13.7109375" style="425" customWidth="1"/>
    <col min="6" max="6" width="10.7109375" style="425" customWidth="1"/>
    <col min="7" max="12" width="11.42578125" style="425"/>
    <col min="13" max="13" width="14.42578125" style="425" customWidth="1"/>
    <col min="14" max="256" width="11.42578125" style="425"/>
    <col min="257" max="257" width="13.5703125" style="425" customWidth="1"/>
    <col min="258" max="258" width="35.7109375" style="425" customWidth="1"/>
    <col min="259" max="260" width="12.85546875" style="425" customWidth="1"/>
    <col min="261" max="261" width="13.7109375" style="425" customWidth="1"/>
    <col min="262" max="262" width="10.7109375" style="425" customWidth="1"/>
    <col min="263" max="268" width="11.42578125" style="425"/>
    <col min="269" max="269" width="14.42578125" style="425" customWidth="1"/>
    <col min="270" max="512" width="11.42578125" style="425"/>
    <col min="513" max="513" width="13.5703125" style="425" customWidth="1"/>
    <col min="514" max="514" width="35.7109375" style="425" customWidth="1"/>
    <col min="515" max="516" width="12.85546875" style="425" customWidth="1"/>
    <col min="517" max="517" width="13.7109375" style="425" customWidth="1"/>
    <col min="518" max="518" width="10.7109375" style="425" customWidth="1"/>
    <col min="519" max="524" width="11.42578125" style="425"/>
    <col min="525" max="525" width="14.42578125" style="425" customWidth="1"/>
    <col min="526" max="768" width="11.42578125" style="425"/>
    <col min="769" max="769" width="13.5703125" style="425" customWidth="1"/>
    <col min="770" max="770" width="35.7109375" style="425" customWidth="1"/>
    <col min="771" max="772" width="12.85546875" style="425" customWidth="1"/>
    <col min="773" max="773" width="13.7109375" style="425" customWidth="1"/>
    <col min="774" max="774" width="10.7109375" style="425" customWidth="1"/>
    <col min="775" max="780" width="11.42578125" style="425"/>
    <col min="781" max="781" width="14.42578125" style="425" customWidth="1"/>
    <col min="782" max="1024" width="11.42578125" style="425"/>
    <col min="1025" max="1025" width="13.5703125" style="425" customWidth="1"/>
    <col min="1026" max="1026" width="35.7109375" style="425" customWidth="1"/>
    <col min="1027" max="1028" width="12.85546875" style="425" customWidth="1"/>
    <col min="1029" max="1029" width="13.7109375" style="425" customWidth="1"/>
    <col min="1030" max="1030" width="10.7109375" style="425" customWidth="1"/>
    <col min="1031" max="1036" width="11.42578125" style="425"/>
    <col min="1037" max="1037" width="14.42578125" style="425" customWidth="1"/>
    <col min="1038" max="1280" width="11.42578125" style="425"/>
    <col min="1281" max="1281" width="13.5703125" style="425" customWidth="1"/>
    <col min="1282" max="1282" width="35.7109375" style="425" customWidth="1"/>
    <col min="1283" max="1284" width="12.85546875" style="425" customWidth="1"/>
    <col min="1285" max="1285" width="13.7109375" style="425" customWidth="1"/>
    <col min="1286" max="1286" width="10.7109375" style="425" customWidth="1"/>
    <col min="1287" max="1292" width="11.42578125" style="425"/>
    <col min="1293" max="1293" width="14.42578125" style="425" customWidth="1"/>
    <col min="1294" max="1536" width="11.42578125" style="425"/>
    <col min="1537" max="1537" width="13.5703125" style="425" customWidth="1"/>
    <col min="1538" max="1538" width="35.7109375" style="425" customWidth="1"/>
    <col min="1539" max="1540" width="12.85546875" style="425" customWidth="1"/>
    <col min="1541" max="1541" width="13.7109375" style="425" customWidth="1"/>
    <col min="1542" max="1542" width="10.7109375" style="425" customWidth="1"/>
    <col min="1543" max="1548" width="11.42578125" style="425"/>
    <col min="1549" max="1549" width="14.42578125" style="425" customWidth="1"/>
    <col min="1550" max="1792" width="11.42578125" style="425"/>
    <col min="1793" max="1793" width="13.5703125" style="425" customWidth="1"/>
    <col min="1794" max="1794" width="35.7109375" style="425" customWidth="1"/>
    <col min="1795" max="1796" width="12.85546875" style="425" customWidth="1"/>
    <col min="1797" max="1797" width="13.7109375" style="425" customWidth="1"/>
    <col min="1798" max="1798" width="10.7109375" style="425" customWidth="1"/>
    <col min="1799" max="1804" width="11.42578125" style="425"/>
    <col min="1805" max="1805" width="14.42578125" style="425" customWidth="1"/>
    <col min="1806" max="2048" width="11.42578125" style="425"/>
    <col min="2049" max="2049" width="13.5703125" style="425" customWidth="1"/>
    <col min="2050" max="2050" width="35.7109375" style="425" customWidth="1"/>
    <col min="2051" max="2052" width="12.85546875" style="425" customWidth="1"/>
    <col min="2053" max="2053" width="13.7109375" style="425" customWidth="1"/>
    <col min="2054" max="2054" width="10.7109375" style="425" customWidth="1"/>
    <col min="2055" max="2060" width="11.42578125" style="425"/>
    <col min="2061" max="2061" width="14.42578125" style="425" customWidth="1"/>
    <col min="2062" max="2304" width="11.42578125" style="425"/>
    <col min="2305" max="2305" width="13.5703125" style="425" customWidth="1"/>
    <col min="2306" max="2306" width="35.7109375" style="425" customWidth="1"/>
    <col min="2307" max="2308" width="12.85546875" style="425" customWidth="1"/>
    <col min="2309" max="2309" width="13.7109375" style="425" customWidth="1"/>
    <col min="2310" max="2310" width="10.7109375" style="425" customWidth="1"/>
    <col min="2311" max="2316" width="11.42578125" style="425"/>
    <col min="2317" max="2317" width="14.42578125" style="425" customWidth="1"/>
    <col min="2318" max="2560" width="11.42578125" style="425"/>
    <col min="2561" max="2561" width="13.5703125" style="425" customWidth="1"/>
    <col min="2562" max="2562" width="35.7109375" style="425" customWidth="1"/>
    <col min="2563" max="2564" width="12.85546875" style="425" customWidth="1"/>
    <col min="2565" max="2565" width="13.7109375" style="425" customWidth="1"/>
    <col min="2566" max="2566" width="10.7109375" style="425" customWidth="1"/>
    <col min="2567" max="2572" width="11.42578125" style="425"/>
    <col min="2573" max="2573" width="14.42578125" style="425" customWidth="1"/>
    <col min="2574" max="2816" width="11.42578125" style="425"/>
    <col min="2817" max="2817" width="13.5703125" style="425" customWidth="1"/>
    <col min="2818" max="2818" width="35.7109375" style="425" customWidth="1"/>
    <col min="2819" max="2820" width="12.85546875" style="425" customWidth="1"/>
    <col min="2821" max="2821" width="13.7109375" style="425" customWidth="1"/>
    <col min="2822" max="2822" width="10.7109375" style="425" customWidth="1"/>
    <col min="2823" max="2828" width="11.42578125" style="425"/>
    <col min="2829" max="2829" width="14.42578125" style="425" customWidth="1"/>
    <col min="2830" max="3072" width="11.42578125" style="425"/>
    <col min="3073" max="3073" width="13.5703125" style="425" customWidth="1"/>
    <col min="3074" max="3074" width="35.7109375" style="425" customWidth="1"/>
    <col min="3075" max="3076" width="12.85546875" style="425" customWidth="1"/>
    <col min="3077" max="3077" width="13.7109375" style="425" customWidth="1"/>
    <col min="3078" max="3078" width="10.7109375" style="425" customWidth="1"/>
    <col min="3079" max="3084" width="11.42578125" style="425"/>
    <col min="3085" max="3085" width="14.42578125" style="425" customWidth="1"/>
    <col min="3086" max="3328" width="11.42578125" style="425"/>
    <col min="3329" max="3329" width="13.5703125" style="425" customWidth="1"/>
    <col min="3330" max="3330" width="35.7109375" style="425" customWidth="1"/>
    <col min="3331" max="3332" width="12.85546875" style="425" customWidth="1"/>
    <col min="3333" max="3333" width="13.7109375" style="425" customWidth="1"/>
    <col min="3334" max="3334" width="10.7109375" style="425" customWidth="1"/>
    <col min="3335" max="3340" width="11.42578125" style="425"/>
    <col min="3341" max="3341" width="14.42578125" style="425" customWidth="1"/>
    <col min="3342" max="3584" width="11.42578125" style="425"/>
    <col min="3585" max="3585" width="13.5703125" style="425" customWidth="1"/>
    <col min="3586" max="3586" width="35.7109375" style="425" customWidth="1"/>
    <col min="3587" max="3588" width="12.85546875" style="425" customWidth="1"/>
    <col min="3589" max="3589" width="13.7109375" style="425" customWidth="1"/>
    <col min="3590" max="3590" width="10.7109375" style="425" customWidth="1"/>
    <col min="3591" max="3596" width="11.42578125" style="425"/>
    <col min="3597" max="3597" width="14.42578125" style="425" customWidth="1"/>
    <col min="3598" max="3840" width="11.42578125" style="425"/>
    <col min="3841" max="3841" width="13.5703125" style="425" customWidth="1"/>
    <col min="3842" max="3842" width="35.7109375" style="425" customWidth="1"/>
    <col min="3843" max="3844" width="12.85546875" style="425" customWidth="1"/>
    <col min="3845" max="3845" width="13.7109375" style="425" customWidth="1"/>
    <col min="3846" max="3846" width="10.7109375" style="425" customWidth="1"/>
    <col min="3847" max="3852" width="11.42578125" style="425"/>
    <col min="3853" max="3853" width="14.42578125" style="425" customWidth="1"/>
    <col min="3854" max="4096" width="11.42578125" style="425"/>
    <col min="4097" max="4097" width="13.5703125" style="425" customWidth="1"/>
    <col min="4098" max="4098" width="35.7109375" style="425" customWidth="1"/>
    <col min="4099" max="4100" width="12.85546875" style="425" customWidth="1"/>
    <col min="4101" max="4101" width="13.7109375" style="425" customWidth="1"/>
    <col min="4102" max="4102" width="10.7109375" style="425" customWidth="1"/>
    <col min="4103" max="4108" width="11.42578125" style="425"/>
    <col min="4109" max="4109" width="14.42578125" style="425" customWidth="1"/>
    <col min="4110" max="4352" width="11.42578125" style="425"/>
    <col min="4353" max="4353" width="13.5703125" style="425" customWidth="1"/>
    <col min="4354" max="4354" width="35.7109375" style="425" customWidth="1"/>
    <col min="4355" max="4356" width="12.85546875" style="425" customWidth="1"/>
    <col min="4357" max="4357" width="13.7109375" style="425" customWidth="1"/>
    <col min="4358" max="4358" width="10.7109375" style="425" customWidth="1"/>
    <col min="4359" max="4364" width="11.42578125" style="425"/>
    <col min="4365" max="4365" width="14.42578125" style="425" customWidth="1"/>
    <col min="4366" max="4608" width="11.42578125" style="425"/>
    <col min="4609" max="4609" width="13.5703125" style="425" customWidth="1"/>
    <col min="4610" max="4610" width="35.7109375" style="425" customWidth="1"/>
    <col min="4611" max="4612" width="12.85546875" style="425" customWidth="1"/>
    <col min="4613" max="4613" width="13.7109375" style="425" customWidth="1"/>
    <col min="4614" max="4614" width="10.7109375" style="425" customWidth="1"/>
    <col min="4615" max="4620" width="11.42578125" style="425"/>
    <col min="4621" max="4621" width="14.42578125" style="425" customWidth="1"/>
    <col min="4622" max="4864" width="11.42578125" style="425"/>
    <col min="4865" max="4865" width="13.5703125" style="425" customWidth="1"/>
    <col min="4866" max="4866" width="35.7109375" style="425" customWidth="1"/>
    <col min="4867" max="4868" width="12.85546875" style="425" customWidth="1"/>
    <col min="4869" max="4869" width="13.7109375" style="425" customWidth="1"/>
    <col min="4870" max="4870" width="10.7109375" style="425" customWidth="1"/>
    <col min="4871" max="4876" width="11.42578125" style="425"/>
    <col min="4877" max="4877" width="14.42578125" style="425" customWidth="1"/>
    <col min="4878" max="5120" width="11.42578125" style="425"/>
    <col min="5121" max="5121" width="13.5703125" style="425" customWidth="1"/>
    <col min="5122" max="5122" width="35.7109375" style="425" customWidth="1"/>
    <col min="5123" max="5124" width="12.85546875" style="425" customWidth="1"/>
    <col min="5125" max="5125" width="13.7109375" style="425" customWidth="1"/>
    <col min="5126" max="5126" width="10.7109375" style="425" customWidth="1"/>
    <col min="5127" max="5132" width="11.42578125" style="425"/>
    <col min="5133" max="5133" width="14.42578125" style="425" customWidth="1"/>
    <col min="5134" max="5376" width="11.42578125" style="425"/>
    <col min="5377" max="5377" width="13.5703125" style="425" customWidth="1"/>
    <col min="5378" max="5378" width="35.7109375" style="425" customWidth="1"/>
    <col min="5379" max="5380" width="12.85546875" style="425" customWidth="1"/>
    <col min="5381" max="5381" width="13.7109375" style="425" customWidth="1"/>
    <col min="5382" max="5382" width="10.7109375" style="425" customWidth="1"/>
    <col min="5383" max="5388" width="11.42578125" style="425"/>
    <col min="5389" max="5389" width="14.42578125" style="425" customWidth="1"/>
    <col min="5390" max="5632" width="11.42578125" style="425"/>
    <col min="5633" max="5633" width="13.5703125" style="425" customWidth="1"/>
    <col min="5634" max="5634" width="35.7109375" style="425" customWidth="1"/>
    <col min="5635" max="5636" width="12.85546875" style="425" customWidth="1"/>
    <col min="5637" max="5637" width="13.7109375" style="425" customWidth="1"/>
    <col min="5638" max="5638" width="10.7109375" style="425" customWidth="1"/>
    <col min="5639" max="5644" width="11.42578125" style="425"/>
    <col min="5645" max="5645" width="14.42578125" style="425" customWidth="1"/>
    <col min="5646" max="5888" width="11.42578125" style="425"/>
    <col min="5889" max="5889" width="13.5703125" style="425" customWidth="1"/>
    <col min="5890" max="5890" width="35.7109375" style="425" customWidth="1"/>
    <col min="5891" max="5892" width="12.85546875" style="425" customWidth="1"/>
    <col min="5893" max="5893" width="13.7109375" style="425" customWidth="1"/>
    <col min="5894" max="5894" width="10.7109375" style="425" customWidth="1"/>
    <col min="5895" max="5900" width="11.42578125" style="425"/>
    <col min="5901" max="5901" width="14.42578125" style="425" customWidth="1"/>
    <col min="5902" max="6144" width="11.42578125" style="425"/>
    <col min="6145" max="6145" width="13.5703125" style="425" customWidth="1"/>
    <col min="6146" max="6146" width="35.7109375" style="425" customWidth="1"/>
    <col min="6147" max="6148" width="12.85546875" style="425" customWidth="1"/>
    <col min="6149" max="6149" width="13.7109375" style="425" customWidth="1"/>
    <col min="6150" max="6150" width="10.7109375" style="425" customWidth="1"/>
    <col min="6151" max="6156" width="11.42578125" style="425"/>
    <col min="6157" max="6157" width="14.42578125" style="425" customWidth="1"/>
    <col min="6158" max="6400" width="11.42578125" style="425"/>
    <col min="6401" max="6401" width="13.5703125" style="425" customWidth="1"/>
    <col min="6402" max="6402" width="35.7109375" style="425" customWidth="1"/>
    <col min="6403" max="6404" width="12.85546875" style="425" customWidth="1"/>
    <col min="6405" max="6405" width="13.7109375" style="425" customWidth="1"/>
    <col min="6406" max="6406" width="10.7109375" style="425" customWidth="1"/>
    <col min="6407" max="6412" width="11.42578125" style="425"/>
    <col min="6413" max="6413" width="14.42578125" style="425" customWidth="1"/>
    <col min="6414" max="6656" width="11.42578125" style="425"/>
    <col min="6657" max="6657" width="13.5703125" style="425" customWidth="1"/>
    <col min="6658" max="6658" width="35.7109375" style="425" customWidth="1"/>
    <col min="6659" max="6660" width="12.85546875" style="425" customWidth="1"/>
    <col min="6661" max="6661" width="13.7109375" style="425" customWidth="1"/>
    <col min="6662" max="6662" width="10.7109375" style="425" customWidth="1"/>
    <col min="6663" max="6668" width="11.42578125" style="425"/>
    <col min="6669" max="6669" width="14.42578125" style="425" customWidth="1"/>
    <col min="6670" max="6912" width="11.42578125" style="425"/>
    <col min="6913" max="6913" width="13.5703125" style="425" customWidth="1"/>
    <col min="6914" max="6914" width="35.7109375" style="425" customWidth="1"/>
    <col min="6915" max="6916" width="12.85546875" style="425" customWidth="1"/>
    <col min="6917" max="6917" width="13.7109375" style="425" customWidth="1"/>
    <col min="6918" max="6918" width="10.7109375" style="425" customWidth="1"/>
    <col min="6919" max="6924" width="11.42578125" style="425"/>
    <col min="6925" max="6925" width="14.42578125" style="425" customWidth="1"/>
    <col min="6926" max="7168" width="11.42578125" style="425"/>
    <col min="7169" max="7169" width="13.5703125" style="425" customWidth="1"/>
    <col min="7170" max="7170" width="35.7109375" style="425" customWidth="1"/>
    <col min="7171" max="7172" width="12.85546875" style="425" customWidth="1"/>
    <col min="7173" max="7173" width="13.7109375" style="425" customWidth="1"/>
    <col min="7174" max="7174" width="10.7109375" style="425" customWidth="1"/>
    <col min="7175" max="7180" width="11.42578125" style="425"/>
    <col min="7181" max="7181" width="14.42578125" style="425" customWidth="1"/>
    <col min="7182" max="7424" width="11.42578125" style="425"/>
    <col min="7425" max="7425" width="13.5703125" style="425" customWidth="1"/>
    <col min="7426" max="7426" width="35.7109375" style="425" customWidth="1"/>
    <col min="7427" max="7428" width="12.85546875" style="425" customWidth="1"/>
    <col min="7429" max="7429" width="13.7109375" style="425" customWidth="1"/>
    <col min="7430" max="7430" width="10.7109375" style="425" customWidth="1"/>
    <col min="7431" max="7436" width="11.42578125" style="425"/>
    <col min="7437" max="7437" width="14.42578125" style="425" customWidth="1"/>
    <col min="7438" max="7680" width="11.42578125" style="425"/>
    <col min="7681" max="7681" width="13.5703125" style="425" customWidth="1"/>
    <col min="7682" max="7682" width="35.7109375" style="425" customWidth="1"/>
    <col min="7683" max="7684" width="12.85546875" style="425" customWidth="1"/>
    <col min="7685" max="7685" width="13.7109375" style="425" customWidth="1"/>
    <col min="7686" max="7686" width="10.7109375" style="425" customWidth="1"/>
    <col min="7687" max="7692" width="11.42578125" style="425"/>
    <col min="7693" max="7693" width="14.42578125" style="425" customWidth="1"/>
    <col min="7694" max="7936" width="11.42578125" style="425"/>
    <col min="7937" max="7937" width="13.5703125" style="425" customWidth="1"/>
    <col min="7938" max="7938" width="35.7109375" style="425" customWidth="1"/>
    <col min="7939" max="7940" width="12.85546875" style="425" customWidth="1"/>
    <col min="7941" max="7941" width="13.7109375" style="425" customWidth="1"/>
    <col min="7942" max="7942" width="10.7109375" style="425" customWidth="1"/>
    <col min="7943" max="7948" width="11.42578125" style="425"/>
    <col min="7949" max="7949" width="14.42578125" style="425" customWidth="1"/>
    <col min="7950" max="8192" width="11.42578125" style="425"/>
    <col min="8193" max="8193" width="13.5703125" style="425" customWidth="1"/>
    <col min="8194" max="8194" width="35.7109375" style="425" customWidth="1"/>
    <col min="8195" max="8196" width="12.85546875" style="425" customWidth="1"/>
    <col min="8197" max="8197" width="13.7109375" style="425" customWidth="1"/>
    <col min="8198" max="8198" width="10.7109375" style="425" customWidth="1"/>
    <col min="8199" max="8204" width="11.42578125" style="425"/>
    <col min="8205" max="8205" width="14.42578125" style="425" customWidth="1"/>
    <col min="8206" max="8448" width="11.42578125" style="425"/>
    <col min="8449" max="8449" width="13.5703125" style="425" customWidth="1"/>
    <col min="8450" max="8450" width="35.7109375" style="425" customWidth="1"/>
    <col min="8451" max="8452" width="12.85546875" style="425" customWidth="1"/>
    <col min="8453" max="8453" width="13.7109375" style="425" customWidth="1"/>
    <col min="8454" max="8454" width="10.7109375" style="425" customWidth="1"/>
    <col min="8455" max="8460" width="11.42578125" style="425"/>
    <col min="8461" max="8461" width="14.42578125" style="425" customWidth="1"/>
    <col min="8462" max="8704" width="11.42578125" style="425"/>
    <col min="8705" max="8705" width="13.5703125" style="425" customWidth="1"/>
    <col min="8706" max="8706" width="35.7109375" style="425" customWidth="1"/>
    <col min="8707" max="8708" width="12.85546875" style="425" customWidth="1"/>
    <col min="8709" max="8709" width="13.7109375" style="425" customWidth="1"/>
    <col min="8710" max="8710" width="10.7109375" style="425" customWidth="1"/>
    <col min="8711" max="8716" width="11.42578125" style="425"/>
    <col min="8717" max="8717" width="14.42578125" style="425" customWidth="1"/>
    <col min="8718" max="8960" width="11.42578125" style="425"/>
    <col min="8961" max="8961" width="13.5703125" style="425" customWidth="1"/>
    <col min="8962" max="8962" width="35.7109375" style="425" customWidth="1"/>
    <col min="8963" max="8964" width="12.85546875" style="425" customWidth="1"/>
    <col min="8965" max="8965" width="13.7109375" style="425" customWidth="1"/>
    <col min="8966" max="8966" width="10.7109375" style="425" customWidth="1"/>
    <col min="8967" max="8972" width="11.42578125" style="425"/>
    <col min="8973" max="8973" width="14.42578125" style="425" customWidth="1"/>
    <col min="8974" max="9216" width="11.42578125" style="425"/>
    <col min="9217" max="9217" width="13.5703125" style="425" customWidth="1"/>
    <col min="9218" max="9218" width="35.7109375" style="425" customWidth="1"/>
    <col min="9219" max="9220" width="12.85546875" style="425" customWidth="1"/>
    <col min="9221" max="9221" width="13.7109375" style="425" customWidth="1"/>
    <col min="9222" max="9222" width="10.7109375" style="425" customWidth="1"/>
    <col min="9223" max="9228" width="11.42578125" style="425"/>
    <col min="9229" max="9229" width="14.42578125" style="425" customWidth="1"/>
    <col min="9230" max="9472" width="11.42578125" style="425"/>
    <col min="9473" max="9473" width="13.5703125" style="425" customWidth="1"/>
    <col min="9474" max="9474" width="35.7109375" style="425" customWidth="1"/>
    <col min="9475" max="9476" width="12.85546875" style="425" customWidth="1"/>
    <col min="9477" max="9477" width="13.7109375" style="425" customWidth="1"/>
    <col min="9478" max="9478" width="10.7109375" style="425" customWidth="1"/>
    <col min="9479" max="9484" width="11.42578125" style="425"/>
    <col min="9485" max="9485" width="14.42578125" style="425" customWidth="1"/>
    <col min="9486" max="9728" width="11.42578125" style="425"/>
    <col min="9729" max="9729" width="13.5703125" style="425" customWidth="1"/>
    <col min="9730" max="9730" width="35.7109375" style="425" customWidth="1"/>
    <col min="9731" max="9732" width="12.85546875" style="425" customWidth="1"/>
    <col min="9733" max="9733" width="13.7109375" style="425" customWidth="1"/>
    <col min="9734" max="9734" width="10.7109375" style="425" customWidth="1"/>
    <col min="9735" max="9740" width="11.42578125" style="425"/>
    <col min="9741" max="9741" width="14.42578125" style="425" customWidth="1"/>
    <col min="9742" max="9984" width="11.42578125" style="425"/>
    <col min="9985" max="9985" width="13.5703125" style="425" customWidth="1"/>
    <col min="9986" max="9986" width="35.7109375" style="425" customWidth="1"/>
    <col min="9987" max="9988" width="12.85546875" style="425" customWidth="1"/>
    <col min="9989" max="9989" width="13.7109375" style="425" customWidth="1"/>
    <col min="9990" max="9990" width="10.7109375" style="425" customWidth="1"/>
    <col min="9991" max="9996" width="11.42578125" style="425"/>
    <col min="9997" max="9997" width="14.42578125" style="425" customWidth="1"/>
    <col min="9998" max="10240" width="11.42578125" style="425"/>
    <col min="10241" max="10241" width="13.5703125" style="425" customWidth="1"/>
    <col min="10242" max="10242" width="35.7109375" style="425" customWidth="1"/>
    <col min="10243" max="10244" width="12.85546875" style="425" customWidth="1"/>
    <col min="10245" max="10245" width="13.7109375" style="425" customWidth="1"/>
    <col min="10246" max="10246" width="10.7109375" style="425" customWidth="1"/>
    <col min="10247" max="10252" width="11.42578125" style="425"/>
    <col min="10253" max="10253" width="14.42578125" style="425" customWidth="1"/>
    <col min="10254" max="10496" width="11.42578125" style="425"/>
    <col min="10497" max="10497" width="13.5703125" style="425" customWidth="1"/>
    <col min="10498" max="10498" width="35.7109375" style="425" customWidth="1"/>
    <col min="10499" max="10500" width="12.85546875" style="425" customWidth="1"/>
    <col min="10501" max="10501" width="13.7109375" style="425" customWidth="1"/>
    <col min="10502" max="10502" width="10.7109375" style="425" customWidth="1"/>
    <col min="10503" max="10508" width="11.42578125" style="425"/>
    <col min="10509" max="10509" width="14.42578125" style="425" customWidth="1"/>
    <col min="10510" max="10752" width="11.42578125" style="425"/>
    <col min="10753" max="10753" width="13.5703125" style="425" customWidth="1"/>
    <col min="10754" max="10754" width="35.7109375" style="425" customWidth="1"/>
    <col min="10755" max="10756" width="12.85546875" style="425" customWidth="1"/>
    <col min="10757" max="10757" width="13.7109375" style="425" customWidth="1"/>
    <col min="10758" max="10758" width="10.7109375" style="425" customWidth="1"/>
    <col min="10759" max="10764" width="11.42578125" style="425"/>
    <col min="10765" max="10765" width="14.42578125" style="425" customWidth="1"/>
    <col min="10766" max="11008" width="11.42578125" style="425"/>
    <col min="11009" max="11009" width="13.5703125" style="425" customWidth="1"/>
    <col min="11010" max="11010" width="35.7109375" style="425" customWidth="1"/>
    <col min="11011" max="11012" width="12.85546875" style="425" customWidth="1"/>
    <col min="11013" max="11013" width="13.7109375" style="425" customWidth="1"/>
    <col min="11014" max="11014" width="10.7109375" style="425" customWidth="1"/>
    <col min="11015" max="11020" width="11.42578125" style="425"/>
    <col min="11021" max="11021" width="14.42578125" style="425" customWidth="1"/>
    <col min="11022" max="11264" width="11.42578125" style="425"/>
    <col min="11265" max="11265" width="13.5703125" style="425" customWidth="1"/>
    <col min="11266" max="11266" width="35.7109375" style="425" customWidth="1"/>
    <col min="11267" max="11268" width="12.85546875" style="425" customWidth="1"/>
    <col min="11269" max="11269" width="13.7109375" style="425" customWidth="1"/>
    <col min="11270" max="11270" width="10.7109375" style="425" customWidth="1"/>
    <col min="11271" max="11276" width="11.42578125" style="425"/>
    <col min="11277" max="11277" width="14.42578125" style="425" customWidth="1"/>
    <col min="11278" max="11520" width="11.42578125" style="425"/>
    <col min="11521" max="11521" width="13.5703125" style="425" customWidth="1"/>
    <col min="11522" max="11522" width="35.7109375" style="425" customWidth="1"/>
    <col min="11523" max="11524" width="12.85546875" style="425" customWidth="1"/>
    <col min="11525" max="11525" width="13.7109375" style="425" customWidth="1"/>
    <col min="11526" max="11526" width="10.7109375" style="425" customWidth="1"/>
    <col min="11527" max="11532" width="11.42578125" style="425"/>
    <col min="11533" max="11533" width="14.42578125" style="425" customWidth="1"/>
    <col min="11534" max="11776" width="11.42578125" style="425"/>
    <col min="11777" max="11777" width="13.5703125" style="425" customWidth="1"/>
    <col min="11778" max="11778" width="35.7109375" style="425" customWidth="1"/>
    <col min="11779" max="11780" width="12.85546875" style="425" customWidth="1"/>
    <col min="11781" max="11781" width="13.7109375" style="425" customWidth="1"/>
    <col min="11782" max="11782" width="10.7109375" style="425" customWidth="1"/>
    <col min="11783" max="11788" width="11.42578125" style="425"/>
    <col min="11789" max="11789" width="14.42578125" style="425" customWidth="1"/>
    <col min="11790" max="12032" width="11.42578125" style="425"/>
    <col min="12033" max="12033" width="13.5703125" style="425" customWidth="1"/>
    <col min="12034" max="12034" width="35.7109375" style="425" customWidth="1"/>
    <col min="12035" max="12036" width="12.85546875" style="425" customWidth="1"/>
    <col min="12037" max="12037" width="13.7109375" style="425" customWidth="1"/>
    <col min="12038" max="12038" width="10.7109375" style="425" customWidth="1"/>
    <col min="12039" max="12044" width="11.42578125" style="425"/>
    <col min="12045" max="12045" width="14.42578125" style="425" customWidth="1"/>
    <col min="12046" max="12288" width="11.42578125" style="425"/>
    <col min="12289" max="12289" width="13.5703125" style="425" customWidth="1"/>
    <col min="12290" max="12290" width="35.7109375" style="425" customWidth="1"/>
    <col min="12291" max="12292" width="12.85546875" style="425" customWidth="1"/>
    <col min="12293" max="12293" width="13.7109375" style="425" customWidth="1"/>
    <col min="12294" max="12294" width="10.7109375" style="425" customWidth="1"/>
    <col min="12295" max="12300" width="11.42578125" style="425"/>
    <col min="12301" max="12301" width="14.42578125" style="425" customWidth="1"/>
    <col min="12302" max="12544" width="11.42578125" style="425"/>
    <col min="12545" max="12545" width="13.5703125" style="425" customWidth="1"/>
    <col min="12546" max="12546" width="35.7109375" style="425" customWidth="1"/>
    <col min="12547" max="12548" width="12.85546875" style="425" customWidth="1"/>
    <col min="12549" max="12549" width="13.7109375" style="425" customWidth="1"/>
    <col min="12550" max="12550" width="10.7109375" style="425" customWidth="1"/>
    <col min="12551" max="12556" width="11.42578125" style="425"/>
    <col min="12557" max="12557" width="14.42578125" style="425" customWidth="1"/>
    <col min="12558" max="12800" width="11.42578125" style="425"/>
    <col min="12801" max="12801" width="13.5703125" style="425" customWidth="1"/>
    <col min="12802" max="12802" width="35.7109375" style="425" customWidth="1"/>
    <col min="12803" max="12804" width="12.85546875" style="425" customWidth="1"/>
    <col min="12805" max="12805" width="13.7109375" style="425" customWidth="1"/>
    <col min="12806" max="12806" width="10.7109375" style="425" customWidth="1"/>
    <col min="12807" max="12812" width="11.42578125" style="425"/>
    <col min="12813" max="12813" width="14.42578125" style="425" customWidth="1"/>
    <col min="12814" max="13056" width="11.42578125" style="425"/>
    <col min="13057" max="13057" width="13.5703125" style="425" customWidth="1"/>
    <col min="13058" max="13058" width="35.7109375" style="425" customWidth="1"/>
    <col min="13059" max="13060" width="12.85546875" style="425" customWidth="1"/>
    <col min="13061" max="13061" width="13.7109375" style="425" customWidth="1"/>
    <col min="13062" max="13062" width="10.7109375" style="425" customWidth="1"/>
    <col min="13063" max="13068" width="11.42578125" style="425"/>
    <col min="13069" max="13069" width="14.42578125" style="425" customWidth="1"/>
    <col min="13070" max="13312" width="11.42578125" style="425"/>
    <col min="13313" max="13313" width="13.5703125" style="425" customWidth="1"/>
    <col min="13314" max="13314" width="35.7109375" style="425" customWidth="1"/>
    <col min="13315" max="13316" width="12.85546875" style="425" customWidth="1"/>
    <col min="13317" max="13317" width="13.7109375" style="425" customWidth="1"/>
    <col min="13318" max="13318" width="10.7109375" style="425" customWidth="1"/>
    <col min="13319" max="13324" width="11.42578125" style="425"/>
    <col min="13325" max="13325" width="14.42578125" style="425" customWidth="1"/>
    <col min="13326" max="13568" width="11.42578125" style="425"/>
    <col min="13569" max="13569" width="13.5703125" style="425" customWidth="1"/>
    <col min="13570" max="13570" width="35.7109375" style="425" customWidth="1"/>
    <col min="13571" max="13572" width="12.85546875" style="425" customWidth="1"/>
    <col min="13573" max="13573" width="13.7109375" style="425" customWidth="1"/>
    <col min="13574" max="13574" width="10.7109375" style="425" customWidth="1"/>
    <col min="13575" max="13580" width="11.42578125" style="425"/>
    <col min="13581" max="13581" width="14.42578125" style="425" customWidth="1"/>
    <col min="13582" max="13824" width="11.42578125" style="425"/>
    <col min="13825" max="13825" width="13.5703125" style="425" customWidth="1"/>
    <col min="13826" max="13826" width="35.7109375" style="425" customWidth="1"/>
    <col min="13827" max="13828" width="12.85546875" style="425" customWidth="1"/>
    <col min="13829" max="13829" width="13.7109375" style="425" customWidth="1"/>
    <col min="13830" max="13830" width="10.7109375" style="425" customWidth="1"/>
    <col min="13831" max="13836" width="11.42578125" style="425"/>
    <col min="13837" max="13837" width="14.42578125" style="425" customWidth="1"/>
    <col min="13838" max="14080" width="11.42578125" style="425"/>
    <col min="14081" max="14081" width="13.5703125" style="425" customWidth="1"/>
    <col min="14082" max="14082" width="35.7109375" style="425" customWidth="1"/>
    <col min="14083" max="14084" width="12.85546875" style="425" customWidth="1"/>
    <col min="14085" max="14085" width="13.7109375" style="425" customWidth="1"/>
    <col min="14086" max="14086" width="10.7109375" style="425" customWidth="1"/>
    <col min="14087" max="14092" width="11.42578125" style="425"/>
    <col min="14093" max="14093" width="14.42578125" style="425" customWidth="1"/>
    <col min="14094" max="14336" width="11.42578125" style="425"/>
    <col min="14337" max="14337" width="13.5703125" style="425" customWidth="1"/>
    <col min="14338" max="14338" width="35.7109375" style="425" customWidth="1"/>
    <col min="14339" max="14340" width="12.85546875" style="425" customWidth="1"/>
    <col min="14341" max="14341" width="13.7109375" style="425" customWidth="1"/>
    <col min="14342" max="14342" width="10.7109375" style="425" customWidth="1"/>
    <col min="14343" max="14348" width="11.42578125" style="425"/>
    <col min="14349" max="14349" width="14.42578125" style="425" customWidth="1"/>
    <col min="14350" max="14592" width="11.42578125" style="425"/>
    <col min="14593" max="14593" width="13.5703125" style="425" customWidth="1"/>
    <col min="14594" max="14594" width="35.7109375" style="425" customWidth="1"/>
    <col min="14595" max="14596" width="12.85546875" style="425" customWidth="1"/>
    <col min="14597" max="14597" width="13.7109375" style="425" customWidth="1"/>
    <col min="14598" max="14598" width="10.7109375" style="425" customWidth="1"/>
    <col min="14599" max="14604" width="11.42578125" style="425"/>
    <col min="14605" max="14605" width="14.42578125" style="425" customWidth="1"/>
    <col min="14606" max="14848" width="11.42578125" style="425"/>
    <col min="14849" max="14849" width="13.5703125" style="425" customWidth="1"/>
    <col min="14850" max="14850" width="35.7109375" style="425" customWidth="1"/>
    <col min="14851" max="14852" width="12.85546875" style="425" customWidth="1"/>
    <col min="14853" max="14853" width="13.7109375" style="425" customWidth="1"/>
    <col min="14854" max="14854" width="10.7109375" style="425" customWidth="1"/>
    <col min="14855" max="14860" width="11.42578125" style="425"/>
    <col min="14861" max="14861" width="14.42578125" style="425" customWidth="1"/>
    <col min="14862" max="15104" width="11.42578125" style="425"/>
    <col min="15105" max="15105" width="13.5703125" style="425" customWidth="1"/>
    <col min="15106" max="15106" width="35.7109375" style="425" customWidth="1"/>
    <col min="15107" max="15108" width="12.85546875" style="425" customWidth="1"/>
    <col min="15109" max="15109" width="13.7109375" style="425" customWidth="1"/>
    <col min="15110" max="15110" width="10.7109375" style="425" customWidth="1"/>
    <col min="15111" max="15116" width="11.42578125" style="425"/>
    <col min="15117" max="15117" width="14.42578125" style="425" customWidth="1"/>
    <col min="15118" max="15360" width="11.42578125" style="425"/>
    <col min="15361" max="15361" width="13.5703125" style="425" customWidth="1"/>
    <col min="15362" max="15362" width="35.7109375" style="425" customWidth="1"/>
    <col min="15363" max="15364" width="12.85546875" style="425" customWidth="1"/>
    <col min="15365" max="15365" width="13.7109375" style="425" customWidth="1"/>
    <col min="15366" max="15366" width="10.7109375" style="425" customWidth="1"/>
    <col min="15367" max="15372" width="11.42578125" style="425"/>
    <col min="15373" max="15373" width="14.42578125" style="425" customWidth="1"/>
    <col min="15374" max="15616" width="11.42578125" style="425"/>
    <col min="15617" max="15617" width="13.5703125" style="425" customWidth="1"/>
    <col min="15618" max="15618" width="35.7109375" style="425" customWidth="1"/>
    <col min="15619" max="15620" width="12.85546875" style="425" customWidth="1"/>
    <col min="15621" max="15621" width="13.7109375" style="425" customWidth="1"/>
    <col min="15622" max="15622" width="10.7109375" style="425" customWidth="1"/>
    <col min="15623" max="15628" width="11.42578125" style="425"/>
    <col min="15629" max="15629" width="14.42578125" style="425" customWidth="1"/>
    <col min="15630" max="15872" width="11.42578125" style="425"/>
    <col min="15873" max="15873" width="13.5703125" style="425" customWidth="1"/>
    <col min="15874" max="15874" width="35.7109375" style="425" customWidth="1"/>
    <col min="15875" max="15876" width="12.85546875" style="425" customWidth="1"/>
    <col min="15877" max="15877" width="13.7109375" style="425" customWidth="1"/>
    <col min="15878" max="15878" width="10.7109375" style="425" customWidth="1"/>
    <col min="15879" max="15884" width="11.42578125" style="425"/>
    <col min="15885" max="15885" width="14.42578125" style="425" customWidth="1"/>
    <col min="15886" max="16128" width="11.42578125" style="425"/>
    <col min="16129" max="16129" width="13.5703125" style="425" customWidth="1"/>
    <col min="16130" max="16130" width="35.7109375" style="425" customWidth="1"/>
    <col min="16131" max="16132" width="12.85546875" style="425" customWidth="1"/>
    <col min="16133" max="16133" width="13.7109375" style="425" customWidth="1"/>
    <col min="16134" max="16134" width="10.7109375" style="425" customWidth="1"/>
    <col min="16135" max="16140" width="11.42578125" style="425"/>
    <col min="16141" max="16141" width="14.42578125" style="425" customWidth="1"/>
    <col min="16142" max="16384" width="11.42578125" style="425"/>
  </cols>
  <sheetData>
    <row r="6" spans="2:5" ht="37.5" customHeight="1">
      <c r="B6" s="489" t="s">
        <v>322</v>
      </c>
      <c r="C6" s="490"/>
      <c r="D6" s="490"/>
      <c r="E6" s="491"/>
    </row>
    <row r="7" spans="2:5" ht="37.5" customHeight="1">
      <c r="B7" s="431" t="s">
        <v>262</v>
      </c>
      <c r="C7" s="492" t="str">
        <f>actualizaciones!A3</f>
        <v>acumulado julio 2009</v>
      </c>
      <c r="D7" s="492" t="str">
        <f>actualizaciones!A2</f>
        <v xml:space="preserve">acumulado julio 2010 </v>
      </c>
      <c r="E7" s="493" t="s">
        <v>274</v>
      </c>
    </row>
    <row r="8" spans="2:5" ht="15" customHeight="1">
      <c r="B8" s="434" t="s">
        <v>263</v>
      </c>
      <c r="C8" s="466"/>
      <c r="D8" s="435"/>
      <c r="E8" s="436"/>
    </row>
    <row r="9" spans="2:5">
      <c r="B9" s="468" t="s">
        <v>275</v>
      </c>
      <c r="C9" s="345">
        <f>GETPIVOTDATA("Suma de TOTAL GENERAL",'[1]tabla dinámica municipios'!$G$18,"PAIS/INDICADOR","ESTANCIA MEDIA ACUMULADO","AÑO",2009)</f>
        <v>7.6750772191999106</v>
      </c>
      <c r="D9" s="345">
        <f>GETPIVOTDATA("Suma de TOTAL GENERAL",'[1]tabla dinámica municipios'!$G$18,"PAIS/INDICADOR","ESTANCIA MEDIA ACUMULADO","AÑO",2010)</f>
        <v>7.4230055531193955</v>
      </c>
      <c r="E9" s="525">
        <f>D9-C9</f>
        <v>-0.25207166608051512</v>
      </c>
    </row>
    <row r="10" spans="2:5">
      <c r="B10" s="526" t="s">
        <v>276</v>
      </c>
      <c r="C10" s="347">
        <f>GETPIVOTDATA("Suma de TOTAL hotelero",'[1]tabla dinámica municipios'!$G$18,"PAIS/INDICADOR","ESTANCIA MEDIA ACUMULADO","AÑO",2009)</f>
        <v>7.201966596505212</v>
      </c>
      <c r="D10" s="347">
        <f>GETPIVOTDATA("Suma de TOTAL hotelero",'[1]tabla dinámica municipios'!$G$18,"PAIS/INDICADOR","ESTANCIA MEDIA ACUMULADO","AÑO",2010)</f>
        <v>6.9716091279916652</v>
      </c>
      <c r="E10" s="527">
        <f>D10-C10</f>
        <v>-0.23035746851354677</v>
      </c>
    </row>
    <row r="11" spans="2:5">
      <c r="B11" s="481" t="s">
        <v>277</v>
      </c>
      <c r="C11" s="502">
        <f>GETPIVOTDATA("Suma de extrahoteleros",'[1]tabla dinámica municipios'!$G$18,"PAIS/INDICADOR","ESTANCIA MEDIA ACUMULADO","AÑO",2009)</f>
        <v>8.3517308884407928</v>
      </c>
      <c r="D11" s="502">
        <f>GETPIVOTDATA("Suma de extrahoteleros",'[1]tabla dinámica municipios'!$G$18,"PAIS/INDICADOR","ESTANCIA MEDIA ACUMULADO","AÑO",2010)</f>
        <v>8.1188801550950274</v>
      </c>
      <c r="E11" s="528">
        <f>D11-C11</f>
        <v>-0.23285073334576545</v>
      </c>
    </row>
    <row r="12" spans="2:5" ht="15" customHeight="1">
      <c r="B12" s="434" t="s">
        <v>301</v>
      </c>
      <c r="C12" s="504"/>
      <c r="D12" s="504"/>
      <c r="E12" s="529"/>
    </row>
    <row r="13" spans="2:5">
      <c r="B13" s="468" t="s">
        <v>275</v>
      </c>
      <c r="C13" s="345">
        <f>'[1]tabla dinámica municipios'!$K$298</f>
        <v>8.1532598605680882</v>
      </c>
      <c r="D13" s="345">
        <f>'[1]tabla dinámica municipios'!$U$298</f>
        <v>7.8662886756998951</v>
      </c>
      <c r="E13" s="525">
        <f>D13-C13</f>
        <v>-0.28697118486819306</v>
      </c>
    </row>
    <row r="14" spans="2:5">
      <c r="B14" s="526" t="s">
        <v>276</v>
      </c>
      <c r="C14" s="347">
        <f>'[1]tabla dinámica municipios'!$J$298</f>
        <v>7.8624342994195553</v>
      </c>
      <c r="D14" s="347">
        <f>'[1]tabla dinámica municipios'!$T$298</f>
        <v>7.5495798162773262</v>
      </c>
      <c r="E14" s="527">
        <f>D14-C14</f>
        <v>-0.31285448314222908</v>
      </c>
    </row>
    <row r="15" spans="2:5">
      <c r="B15" s="481" t="s">
        <v>277</v>
      </c>
      <c r="C15" s="506">
        <f>'[1]tabla dinámica municipios'!$I$298</f>
        <v>8.6704294442486187</v>
      </c>
      <c r="D15" s="506">
        <f>'[1]tabla dinámica municipios'!$S$298</f>
        <v>8.4760431611669063</v>
      </c>
      <c r="E15" s="527">
        <f>D15-C15</f>
        <v>-0.19438628308171246</v>
      </c>
    </row>
    <row r="16" spans="2:5" ht="15" customHeight="1">
      <c r="B16" s="434" t="s">
        <v>302</v>
      </c>
      <c r="C16" s="377"/>
      <c r="D16" s="377"/>
      <c r="E16" s="529"/>
    </row>
    <row r="17" spans="2:12">
      <c r="B17" s="468" t="s">
        <v>275</v>
      </c>
      <c r="C17" s="345">
        <f>'[1]tabla dinámica municipios'!$K$325</f>
        <v>8.1513584432960755</v>
      </c>
      <c r="D17" s="345">
        <f>'[1]tabla dinámica municipios'!$U$325</f>
        <v>7.9130712621375832</v>
      </c>
      <c r="E17" s="525">
        <f>D17-C17</f>
        <v>-0.23828718115849234</v>
      </c>
    </row>
    <row r="18" spans="2:12">
      <c r="B18" s="526" t="s">
        <v>276</v>
      </c>
      <c r="C18" s="347">
        <f>'[1]tabla dinámica municipios'!$J$325</f>
        <v>8.1106801032478852</v>
      </c>
      <c r="D18" s="347">
        <f>'[1]tabla dinámica municipios'!$T$325</f>
        <v>7.7246437529877481</v>
      </c>
      <c r="E18" s="527">
        <f>D18-C18</f>
        <v>-0.38603635026013716</v>
      </c>
    </row>
    <row r="19" spans="2:12">
      <c r="B19" s="481" t="s">
        <v>277</v>
      </c>
      <c r="C19" s="506">
        <f>'[1]tabla dinámica municipios'!$I$325</f>
        <v>8.1814172422394442</v>
      </c>
      <c r="D19" s="506">
        <f>'[1]tabla dinámica municipios'!$S$325</f>
        <v>8.0703581236339179</v>
      </c>
      <c r="E19" s="528">
        <f>D19-C19</f>
        <v>-0.11105911860552631</v>
      </c>
    </row>
    <row r="20" spans="2:12" ht="15" customHeight="1">
      <c r="B20" s="434" t="s">
        <v>303</v>
      </c>
      <c r="C20" s="504"/>
      <c r="D20" s="504"/>
      <c r="E20" s="529"/>
    </row>
    <row r="21" spans="2:12">
      <c r="B21" s="468" t="s">
        <v>275</v>
      </c>
      <c r="C21" s="345">
        <f>'[1]tabla dinámica municipios'!$K$352</f>
        <v>7.5759489961088793</v>
      </c>
      <c r="D21" s="345">
        <f>'[1]tabla dinámica municipios'!$U$352</f>
        <v>7.4466807543751008</v>
      </c>
      <c r="E21" s="525">
        <f>D21-C21</f>
        <v>-0.12926824173377849</v>
      </c>
    </row>
    <row r="22" spans="2:12">
      <c r="B22" s="526" t="s">
        <v>276</v>
      </c>
      <c r="C22" s="347">
        <f>'[1]tabla dinámica municipios'!$J$352</f>
        <v>7.2949145348877007</v>
      </c>
      <c r="D22" s="347">
        <f>'[1]tabla dinámica municipios'!$T$352</f>
        <v>7.3144525342056204</v>
      </c>
      <c r="E22" s="527">
        <f>D22-C22</f>
        <v>1.9537999317919663E-2</v>
      </c>
    </row>
    <row r="23" spans="2:12">
      <c r="B23" s="481" t="s">
        <v>277</v>
      </c>
      <c r="C23" s="506">
        <f>'[1]tabla dinámica municipios'!$I$352</f>
        <v>8.1182500264186839</v>
      </c>
      <c r="D23" s="506">
        <f>'[1]tabla dinámica municipios'!$S$352</f>
        <v>7.7342952665845504</v>
      </c>
      <c r="E23" s="528">
        <f>D23-C23</f>
        <v>-0.38395475983413352</v>
      </c>
    </row>
    <row r="24" spans="2:12" ht="15" customHeight="1">
      <c r="B24" s="434" t="s">
        <v>89</v>
      </c>
      <c r="C24" s="504"/>
      <c r="D24" s="504"/>
      <c r="E24" s="529"/>
    </row>
    <row r="25" spans="2:12">
      <c r="B25" s="468" t="s">
        <v>275</v>
      </c>
      <c r="C25" s="345">
        <f>'[1]tabla dinámica municipios'!$K$379</f>
        <v>2.3460685441687241</v>
      </c>
      <c r="D25" s="345">
        <f>'[1]tabla dinámica municipios'!$U$379</f>
        <v>2.0865799000172385</v>
      </c>
      <c r="E25" s="525">
        <f>D25-C25</f>
        <v>-0.25948864415148565</v>
      </c>
    </row>
    <row r="26" spans="2:12">
      <c r="B26" s="526" t="s">
        <v>276</v>
      </c>
      <c r="C26" s="347">
        <f>'[1]tabla dinámica municipios'!$J$379</f>
        <v>2.3460685441687241</v>
      </c>
      <c r="D26" s="347">
        <f>'[1]tabla dinámica municipios'!$T$379</f>
        <v>2.0865799000172385</v>
      </c>
      <c r="E26" s="527">
        <f>D26-C26</f>
        <v>-0.25948864415148565</v>
      </c>
    </row>
    <row r="27" spans="2:12">
      <c r="B27" s="481" t="s">
        <v>277</v>
      </c>
      <c r="C27" s="506" t="s">
        <v>32</v>
      </c>
      <c r="D27" s="506" t="s">
        <v>32</v>
      </c>
      <c r="E27" s="506" t="s">
        <v>32</v>
      </c>
    </row>
    <row r="28" spans="2:12">
      <c r="B28" s="508" t="s">
        <v>279</v>
      </c>
      <c r="C28" s="508"/>
      <c r="D28" s="508"/>
      <c r="E28" s="508"/>
    </row>
    <row r="29" spans="2:12" ht="15" customHeight="1" thickBot="1"/>
    <row r="30" spans="2:12" ht="30" customHeight="1" thickBot="1">
      <c r="B30" s="461"/>
      <c r="C30" s="461"/>
      <c r="D30" s="461"/>
      <c r="E30" s="60" t="s">
        <v>50</v>
      </c>
      <c r="F30" s="461"/>
      <c r="G30" s="461"/>
      <c r="H30" s="461"/>
      <c r="I30" s="461"/>
      <c r="J30" s="461"/>
      <c r="K30" s="461"/>
      <c r="L30" s="461"/>
    </row>
  </sheetData>
  <mergeCells count="2">
    <mergeCell ref="B6:E6"/>
    <mergeCell ref="B28:E28"/>
  </mergeCells>
  <hyperlinks>
    <hyperlink ref="E30" location="'gráfico EM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2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5.7109375" style="425" customWidth="1"/>
    <col min="2" max="2" width="12.7109375" style="425" customWidth="1"/>
    <col min="3" max="18" width="11.42578125" style="425"/>
    <col min="19" max="19" width="10.7109375" style="425" customWidth="1"/>
    <col min="20" max="25" width="11.42578125" style="425"/>
    <col min="26" max="26" width="14.42578125" style="425" customWidth="1"/>
    <col min="27" max="256" width="11.42578125" style="425"/>
    <col min="257" max="257" width="15.7109375" style="425" customWidth="1"/>
    <col min="258" max="258" width="12.7109375" style="425" customWidth="1"/>
    <col min="259" max="274" width="11.42578125" style="425"/>
    <col min="275" max="275" width="10.7109375" style="425" customWidth="1"/>
    <col min="276" max="281" width="11.42578125" style="425"/>
    <col min="282" max="282" width="14.42578125" style="425" customWidth="1"/>
    <col min="283" max="512" width="11.42578125" style="425"/>
    <col min="513" max="513" width="15.7109375" style="425" customWidth="1"/>
    <col min="514" max="514" width="12.7109375" style="425" customWidth="1"/>
    <col min="515" max="530" width="11.42578125" style="425"/>
    <col min="531" max="531" width="10.7109375" style="425" customWidth="1"/>
    <col min="532" max="537" width="11.42578125" style="425"/>
    <col min="538" max="538" width="14.42578125" style="425" customWidth="1"/>
    <col min="539" max="768" width="11.42578125" style="425"/>
    <col min="769" max="769" width="15.7109375" style="425" customWidth="1"/>
    <col min="770" max="770" width="12.7109375" style="425" customWidth="1"/>
    <col min="771" max="786" width="11.42578125" style="425"/>
    <col min="787" max="787" width="10.7109375" style="425" customWidth="1"/>
    <col min="788" max="793" width="11.42578125" style="425"/>
    <col min="794" max="794" width="14.42578125" style="425" customWidth="1"/>
    <col min="795" max="1024" width="11.42578125" style="425"/>
    <col min="1025" max="1025" width="15.7109375" style="425" customWidth="1"/>
    <col min="1026" max="1026" width="12.7109375" style="425" customWidth="1"/>
    <col min="1027" max="1042" width="11.42578125" style="425"/>
    <col min="1043" max="1043" width="10.7109375" style="425" customWidth="1"/>
    <col min="1044" max="1049" width="11.42578125" style="425"/>
    <col min="1050" max="1050" width="14.42578125" style="425" customWidth="1"/>
    <col min="1051" max="1280" width="11.42578125" style="425"/>
    <col min="1281" max="1281" width="15.7109375" style="425" customWidth="1"/>
    <col min="1282" max="1282" width="12.7109375" style="425" customWidth="1"/>
    <col min="1283" max="1298" width="11.42578125" style="425"/>
    <col min="1299" max="1299" width="10.7109375" style="425" customWidth="1"/>
    <col min="1300" max="1305" width="11.42578125" style="425"/>
    <col min="1306" max="1306" width="14.42578125" style="425" customWidth="1"/>
    <col min="1307" max="1536" width="11.42578125" style="425"/>
    <col min="1537" max="1537" width="15.7109375" style="425" customWidth="1"/>
    <col min="1538" max="1538" width="12.7109375" style="425" customWidth="1"/>
    <col min="1539" max="1554" width="11.42578125" style="425"/>
    <col min="1555" max="1555" width="10.7109375" style="425" customWidth="1"/>
    <col min="1556" max="1561" width="11.42578125" style="425"/>
    <col min="1562" max="1562" width="14.42578125" style="425" customWidth="1"/>
    <col min="1563" max="1792" width="11.42578125" style="425"/>
    <col min="1793" max="1793" width="15.7109375" style="425" customWidth="1"/>
    <col min="1794" max="1794" width="12.7109375" style="425" customWidth="1"/>
    <col min="1795" max="1810" width="11.42578125" style="425"/>
    <col min="1811" max="1811" width="10.7109375" style="425" customWidth="1"/>
    <col min="1812" max="1817" width="11.42578125" style="425"/>
    <col min="1818" max="1818" width="14.42578125" style="425" customWidth="1"/>
    <col min="1819" max="2048" width="11.42578125" style="425"/>
    <col min="2049" max="2049" width="15.7109375" style="425" customWidth="1"/>
    <col min="2050" max="2050" width="12.7109375" style="425" customWidth="1"/>
    <col min="2051" max="2066" width="11.42578125" style="425"/>
    <col min="2067" max="2067" width="10.7109375" style="425" customWidth="1"/>
    <col min="2068" max="2073" width="11.42578125" style="425"/>
    <col min="2074" max="2074" width="14.42578125" style="425" customWidth="1"/>
    <col min="2075" max="2304" width="11.42578125" style="425"/>
    <col min="2305" max="2305" width="15.7109375" style="425" customWidth="1"/>
    <col min="2306" max="2306" width="12.7109375" style="425" customWidth="1"/>
    <col min="2307" max="2322" width="11.42578125" style="425"/>
    <col min="2323" max="2323" width="10.7109375" style="425" customWidth="1"/>
    <col min="2324" max="2329" width="11.42578125" style="425"/>
    <col min="2330" max="2330" width="14.42578125" style="425" customWidth="1"/>
    <col min="2331" max="2560" width="11.42578125" style="425"/>
    <col min="2561" max="2561" width="15.7109375" style="425" customWidth="1"/>
    <col min="2562" max="2562" width="12.7109375" style="425" customWidth="1"/>
    <col min="2563" max="2578" width="11.42578125" style="425"/>
    <col min="2579" max="2579" width="10.7109375" style="425" customWidth="1"/>
    <col min="2580" max="2585" width="11.42578125" style="425"/>
    <col min="2586" max="2586" width="14.42578125" style="425" customWidth="1"/>
    <col min="2587" max="2816" width="11.42578125" style="425"/>
    <col min="2817" max="2817" width="15.7109375" style="425" customWidth="1"/>
    <col min="2818" max="2818" width="12.7109375" style="425" customWidth="1"/>
    <col min="2819" max="2834" width="11.42578125" style="425"/>
    <col min="2835" max="2835" width="10.7109375" style="425" customWidth="1"/>
    <col min="2836" max="2841" width="11.42578125" style="425"/>
    <col min="2842" max="2842" width="14.42578125" style="425" customWidth="1"/>
    <col min="2843" max="3072" width="11.42578125" style="425"/>
    <col min="3073" max="3073" width="15.7109375" style="425" customWidth="1"/>
    <col min="3074" max="3074" width="12.7109375" style="425" customWidth="1"/>
    <col min="3075" max="3090" width="11.42578125" style="425"/>
    <col min="3091" max="3091" width="10.7109375" style="425" customWidth="1"/>
    <col min="3092" max="3097" width="11.42578125" style="425"/>
    <col min="3098" max="3098" width="14.42578125" style="425" customWidth="1"/>
    <col min="3099" max="3328" width="11.42578125" style="425"/>
    <col min="3329" max="3329" width="15.7109375" style="425" customWidth="1"/>
    <col min="3330" max="3330" width="12.7109375" style="425" customWidth="1"/>
    <col min="3331" max="3346" width="11.42578125" style="425"/>
    <col min="3347" max="3347" width="10.7109375" style="425" customWidth="1"/>
    <col min="3348" max="3353" width="11.42578125" style="425"/>
    <col min="3354" max="3354" width="14.42578125" style="425" customWidth="1"/>
    <col min="3355" max="3584" width="11.42578125" style="425"/>
    <col min="3585" max="3585" width="15.7109375" style="425" customWidth="1"/>
    <col min="3586" max="3586" width="12.7109375" style="425" customWidth="1"/>
    <col min="3587" max="3602" width="11.42578125" style="425"/>
    <col min="3603" max="3603" width="10.7109375" style="425" customWidth="1"/>
    <col min="3604" max="3609" width="11.42578125" style="425"/>
    <col min="3610" max="3610" width="14.42578125" style="425" customWidth="1"/>
    <col min="3611" max="3840" width="11.42578125" style="425"/>
    <col min="3841" max="3841" width="15.7109375" style="425" customWidth="1"/>
    <col min="3842" max="3842" width="12.7109375" style="425" customWidth="1"/>
    <col min="3843" max="3858" width="11.42578125" style="425"/>
    <col min="3859" max="3859" width="10.7109375" style="425" customWidth="1"/>
    <col min="3860" max="3865" width="11.42578125" style="425"/>
    <col min="3866" max="3866" width="14.42578125" style="425" customWidth="1"/>
    <col min="3867" max="4096" width="11.42578125" style="425"/>
    <col min="4097" max="4097" width="15.7109375" style="425" customWidth="1"/>
    <col min="4098" max="4098" width="12.7109375" style="425" customWidth="1"/>
    <col min="4099" max="4114" width="11.42578125" style="425"/>
    <col min="4115" max="4115" width="10.7109375" style="425" customWidth="1"/>
    <col min="4116" max="4121" width="11.42578125" style="425"/>
    <col min="4122" max="4122" width="14.42578125" style="425" customWidth="1"/>
    <col min="4123" max="4352" width="11.42578125" style="425"/>
    <col min="4353" max="4353" width="15.7109375" style="425" customWidth="1"/>
    <col min="4354" max="4354" width="12.7109375" style="425" customWidth="1"/>
    <col min="4355" max="4370" width="11.42578125" style="425"/>
    <col min="4371" max="4371" width="10.7109375" style="425" customWidth="1"/>
    <col min="4372" max="4377" width="11.42578125" style="425"/>
    <col min="4378" max="4378" width="14.42578125" style="425" customWidth="1"/>
    <col min="4379" max="4608" width="11.42578125" style="425"/>
    <col min="4609" max="4609" width="15.7109375" style="425" customWidth="1"/>
    <col min="4610" max="4610" width="12.7109375" style="425" customWidth="1"/>
    <col min="4611" max="4626" width="11.42578125" style="425"/>
    <col min="4627" max="4627" width="10.7109375" style="425" customWidth="1"/>
    <col min="4628" max="4633" width="11.42578125" style="425"/>
    <col min="4634" max="4634" width="14.42578125" style="425" customWidth="1"/>
    <col min="4635" max="4864" width="11.42578125" style="425"/>
    <col min="4865" max="4865" width="15.7109375" style="425" customWidth="1"/>
    <col min="4866" max="4866" width="12.7109375" style="425" customWidth="1"/>
    <col min="4867" max="4882" width="11.42578125" style="425"/>
    <col min="4883" max="4883" width="10.7109375" style="425" customWidth="1"/>
    <col min="4884" max="4889" width="11.42578125" style="425"/>
    <col min="4890" max="4890" width="14.42578125" style="425" customWidth="1"/>
    <col min="4891" max="5120" width="11.42578125" style="425"/>
    <col min="5121" max="5121" width="15.7109375" style="425" customWidth="1"/>
    <col min="5122" max="5122" width="12.7109375" style="425" customWidth="1"/>
    <col min="5123" max="5138" width="11.42578125" style="425"/>
    <col min="5139" max="5139" width="10.7109375" style="425" customWidth="1"/>
    <col min="5140" max="5145" width="11.42578125" style="425"/>
    <col min="5146" max="5146" width="14.42578125" style="425" customWidth="1"/>
    <col min="5147" max="5376" width="11.42578125" style="425"/>
    <col min="5377" max="5377" width="15.7109375" style="425" customWidth="1"/>
    <col min="5378" max="5378" width="12.7109375" style="425" customWidth="1"/>
    <col min="5379" max="5394" width="11.42578125" style="425"/>
    <col min="5395" max="5395" width="10.7109375" style="425" customWidth="1"/>
    <col min="5396" max="5401" width="11.42578125" style="425"/>
    <col min="5402" max="5402" width="14.42578125" style="425" customWidth="1"/>
    <col min="5403" max="5632" width="11.42578125" style="425"/>
    <col min="5633" max="5633" width="15.7109375" style="425" customWidth="1"/>
    <col min="5634" max="5634" width="12.7109375" style="425" customWidth="1"/>
    <col min="5635" max="5650" width="11.42578125" style="425"/>
    <col min="5651" max="5651" width="10.7109375" style="425" customWidth="1"/>
    <col min="5652" max="5657" width="11.42578125" style="425"/>
    <col min="5658" max="5658" width="14.42578125" style="425" customWidth="1"/>
    <col min="5659" max="5888" width="11.42578125" style="425"/>
    <col min="5889" max="5889" width="15.7109375" style="425" customWidth="1"/>
    <col min="5890" max="5890" width="12.7109375" style="425" customWidth="1"/>
    <col min="5891" max="5906" width="11.42578125" style="425"/>
    <col min="5907" max="5907" width="10.7109375" style="425" customWidth="1"/>
    <col min="5908" max="5913" width="11.42578125" style="425"/>
    <col min="5914" max="5914" width="14.42578125" style="425" customWidth="1"/>
    <col min="5915" max="6144" width="11.42578125" style="425"/>
    <col min="6145" max="6145" width="15.7109375" style="425" customWidth="1"/>
    <col min="6146" max="6146" width="12.7109375" style="425" customWidth="1"/>
    <col min="6147" max="6162" width="11.42578125" style="425"/>
    <col min="6163" max="6163" width="10.7109375" style="425" customWidth="1"/>
    <col min="6164" max="6169" width="11.42578125" style="425"/>
    <col min="6170" max="6170" width="14.42578125" style="425" customWidth="1"/>
    <col min="6171" max="6400" width="11.42578125" style="425"/>
    <col min="6401" max="6401" width="15.7109375" style="425" customWidth="1"/>
    <col min="6402" max="6402" width="12.7109375" style="425" customWidth="1"/>
    <col min="6403" max="6418" width="11.42578125" style="425"/>
    <col min="6419" max="6419" width="10.7109375" style="425" customWidth="1"/>
    <col min="6420" max="6425" width="11.42578125" style="425"/>
    <col min="6426" max="6426" width="14.42578125" style="425" customWidth="1"/>
    <col min="6427" max="6656" width="11.42578125" style="425"/>
    <col min="6657" max="6657" width="15.7109375" style="425" customWidth="1"/>
    <col min="6658" max="6658" width="12.7109375" style="425" customWidth="1"/>
    <col min="6659" max="6674" width="11.42578125" style="425"/>
    <col min="6675" max="6675" width="10.7109375" style="425" customWidth="1"/>
    <col min="6676" max="6681" width="11.42578125" style="425"/>
    <col min="6682" max="6682" width="14.42578125" style="425" customWidth="1"/>
    <col min="6683" max="6912" width="11.42578125" style="425"/>
    <col min="6913" max="6913" width="15.7109375" style="425" customWidth="1"/>
    <col min="6914" max="6914" width="12.7109375" style="425" customWidth="1"/>
    <col min="6915" max="6930" width="11.42578125" style="425"/>
    <col min="6931" max="6931" width="10.7109375" style="425" customWidth="1"/>
    <col min="6932" max="6937" width="11.42578125" style="425"/>
    <col min="6938" max="6938" width="14.42578125" style="425" customWidth="1"/>
    <col min="6939" max="7168" width="11.42578125" style="425"/>
    <col min="7169" max="7169" width="15.7109375" style="425" customWidth="1"/>
    <col min="7170" max="7170" width="12.7109375" style="425" customWidth="1"/>
    <col min="7171" max="7186" width="11.42578125" style="425"/>
    <col min="7187" max="7187" width="10.7109375" style="425" customWidth="1"/>
    <col min="7188" max="7193" width="11.42578125" style="425"/>
    <col min="7194" max="7194" width="14.42578125" style="425" customWidth="1"/>
    <col min="7195" max="7424" width="11.42578125" style="425"/>
    <col min="7425" max="7425" width="15.7109375" style="425" customWidth="1"/>
    <col min="7426" max="7426" width="12.7109375" style="425" customWidth="1"/>
    <col min="7427" max="7442" width="11.42578125" style="425"/>
    <col min="7443" max="7443" width="10.7109375" style="425" customWidth="1"/>
    <col min="7444" max="7449" width="11.42578125" style="425"/>
    <col min="7450" max="7450" width="14.42578125" style="425" customWidth="1"/>
    <col min="7451" max="7680" width="11.42578125" style="425"/>
    <col min="7681" max="7681" width="15.7109375" style="425" customWidth="1"/>
    <col min="7682" max="7682" width="12.7109375" style="425" customWidth="1"/>
    <col min="7683" max="7698" width="11.42578125" style="425"/>
    <col min="7699" max="7699" width="10.7109375" style="425" customWidth="1"/>
    <col min="7700" max="7705" width="11.42578125" style="425"/>
    <col min="7706" max="7706" width="14.42578125" style="425" customWidth="1"/>
    <col min="7707" max="7936" width="11.42578125" style="425"/>
    <col min="7937" max="7937" width="15.7109375" style="425" customWidth="1"/>
    <col min="7938" max="7938" width="12.7109375" style="425" customWidth="1"/>
    <col min="7939" max="7954" width="11.42578125" style="425"/>
    <col min="7955" max="7955" width="10.7109375" style="425" customWidth="1"/>
    <col min="7956" max="7961" width="11.42578125" style="425"/>
    <col min="7962" max="7962" width="14.42578125" style="425" customWidth="1"/>
    <col min="7963" max="8192" width="11.42578125" style="425"/>
    <col min="8193" max="8193" width="15.7109375" style="425" customWidth="1"/>
    <col min="8194" max="8194" width="12.7109375" style="425" customWidth="1"/>
    <col min="8195" max="8210" width="11.42578125" style="425"/>
    <col min="8211" max="8211" width="10.7109375" style="425" customWidth="1"/>
    <col min="8212" max="8217" width="11.42578125" style="425"/>
    <col min="8218" max="8218" width="14.42578125" style="425" customWidth="1"/>
    <col min="8219" max="8448" width="11.42578125" style="425"/>
    <col min="8449" max="8449" width="15.7109375" style="425" customWidth="1"/>
    <col min="8450" max="8450" width="12.7109375" style="425" customWidth="1"/>
    <col min="8451" max="8466" width="11.42578125" style="425"/>
    <col min="8467" max="8467" width="10.7109375" style="425" customWidth="1"/>
    <col min="8468" max="8473" width="11.42578125" style="425"/>
    <col min="8474" max="8474" width="14.42578125" style="425" customWidth="1"/>
    <col min="8475" max="8704" width="11.42578125" style="425"/>
    <col min="8705" max="8705" width="15.7109375" style="425" customWidth="1"/>
    <col min="8706" max="8706" width="12.7109375" style="425" customWidth="1"/>
    <col min="8707" max="8722" width="11.42578125" style="425"/>
    <col min="8723" max="8723" width="10.7109375" style="425" customWidth="1"/>
    <col min="8724" max="8729" width="11.42578125" style="425"/>
    <col min="8730" max="8730" width="14.42578125" style="425" customWidth="1"/>
    <col min="8731" max="8960" width="11.42578125" style="425"/>
    <col min="8961" max="8961" width="15.7109375" style="425" customWidth="1"/>
    <col min="8962" max="8962" width="12.7109375" style="425" customWidth="1"/>
    <col min="8963" max="8978" width="11.42578125" style="425"/>
    <col min="8979" max="8979" width="10.7109375" style="425" customWidth="1"/>
    <col min="8980" max="8985" width="11.42578125" style="425"/>
    <col min="8986" max="8986" width="14.42578125" style="425" customWidth="1"/>
    <col min="8987" max="9216" width="11.42578125" style="425"/>
    <col min="9217" max="9217" width="15.7109375" style="425" customWidth="1"/>
    <col min="9218" max="9218" width="12.7109375" style="425" customWidth="1"/>
    <col min="9219" max="9234" width="11.42578125" style="425"/>
    <col min="9235" max="9235" width="10.7109375" style="425" customWidth="1"/>
    <col min="9236" max="9241" width="11.42578125" style="425"/>
    <col min="9242" max="9242" width="14.42578125" style="425" customWidth="1"/>
    <col min="9243" max="9472" width="11.42578125" style="425"/>
    <col min="9473" max="9473" width="15.7109375" style="425" customWidth="1"/>
    <col min="9474" max="9474" width="12.7109375" style="425" customWidth="1"/>
    <col min="9475" max="9490" width="11.42578125" style="425"/>
    <col min="9491" max="9491" width="10.7109375" style="425" customWidth="1"/>
    <col min="9492" max="9497" width="11.42578125" style="425"/>
    <col min="9498" max="9498" width="14.42578125" style="425" customWidth="1"/>
    <col min="9499" max="9728" width="11.42578125" style="425"/>
    <col min="9729" max="9729" width="15.7109375" style="425" customWidth="1"/>
    <col min="9730" max="9730" width="12.7109375" style="425" customWidth="1"/>
    <col min="9731" max="9746" width="11.42578125" style="425"/>
    <col min="9747" max="9747" width="10.7109375" style="425" customWidth="1"/>
    <col min="9748" max="9753" width="11.42578125" style="425"/>
    <col min="9754" max="9754" width="14.42578125" style="425" customWidth="1"/>
    <col min="9755" max="9984" width="11.42578125" style="425"/>
    <col min="9985" max="9985" width="15.7109375" style="425" customWidth="1"/>
    <col min="9986" max="9986" width="12.7109375" style="425" customWidth="1"/>
    <col min="9987" max="10002" width="11.42578125" style="425"/>
    <col min="10003" max="10003" width="10.7109375" style="425" customWidth="1"/>
    <col min="10004" max="10009" width="11.42578125" style="425"/>
    <col min="10010" max="10010" width="14.42578125" style="425" customWidth="1"/>
    <col min="10011" max="10240" width="11.42578125" style="425"/>
    <col min="10241" max="10241" width="15.7109375" style="425" customWidth="1"/>
    <col min="10242" max="10242" width="12.7109375" style="425" customWidth="1"/>
    <col min="10243" max="10258" width="11.42578125" style="425"/>
    <col min="10259" max="10259" width="10.7109375" style="425" customWidth="1"/>
    <col min="10260" max="10265" width="11.42578125" style="425"/>
    <col min="10266" max="10266" width="14.42578125" style="425" customWidth="1"/>
    <col min="10267" max="10496" width="11.42578125" style="425"/>
    <col min="10497" max="10497" width="15.7109375" style="425" customWidth="1"/>
    <col min="10498" max="10498" width="12.7109375" style="425" customWidth="1"/>
    <col min="10499" max="10514" width="11.42578125" style="425"/>
    <col min="10515" max="10515" width="10.7109375" style="425" customWidth="1"/>
    <col min="10516" max="10521" width="11.42578125" style="425"/>
    <col min="10522" max="10522" width="14.42578125" style="425" customWidth="1"/>
    <col min="10523" max="10752" width="11.42578125" style="425"/>
    <col min="10753" max="10753" width="15.7109375" style="425" customWidth="1"/>
    <col min="10754" max="10754" width="12.7109375" style="425" customWidth="1"/>
    <col min="10755" max="10770" width="11.42578125" style="425"/>
    <col min="10771" max="10771" width="10.7109375" style="425" customWidth="1"/>
    <col min="10772" max="10777" width="11.42578125" style="425"/>
    <col min="10778" max="10778" width="14.42578125" style="425" customWidth="1"/>
    <col min="10779" max="11008" width="11.42578125" style="425"/>
    <col min="11009" max="11009" width="15.7109375" style="425" customWidth="1"/>
    <col min="11010" max="11010" width="12.7109375" style="425" customWidth="1"/>
    <col min="11011" max="11026" width="11.42578125" style="425"/>
    <col min="11027" max="11027" width="10.7109375" style="425" customWidth="1"/>
    <col min="11028" max="11033" width="11.42578125" style="425"/>
    <col min="11034" max="11034" width="14.42578125" style="425" customWidth="1"/>
    <col min="11035" max="11264" width="11.42578125" style="425"/>
    <col min="11265" max="11265" width="15.7109375" style="425" customWidth="1"/>
    <col min="11266" max="11266" width="12.7109375" style="425" customWidth="1"/>
    <col min="11267" max="11282" width="11.42578125" style="425"/>
    <col min="11283" max="11283" width="10.7109375" style="425" customWidth="1"/>
    <col min="11284" max="11289" width="11.42578125" style="425"/>
    <col min="11290" max="11290" width="14.42578125" style="425" customWidth="1"/>
    <col min="11291" max="11520" width="11.42578125" style="425"/>
    <col min="11521" max="11521" width="15.7109375" style="425" customWidth="1"/>
    <col min="11522" max="11522" width="12.7109375" style="425" customWidth="1"/>
    <col min="11523" max="11538" width="11.42578125" style="425"/>
    <col min="11539" max="11539" width="10.7109375" style="425" customWidth="1"/>
    <col min="11540" max="11545" width="11.42578125" style="425"/>
    <col min="11546" max="11546" width="14.42578125" style="425" customWidth="1"/>
    <col min="11547" max="11776" width="11.42578125" style="425"/>
    <col min="11777" max="11777" width="15.7109375" style="425" customWidth="1"/>
    <col min="11778" max="11778" width="12.7109375" style="425" customWidth="1"/>
    <col min="11779" max="11794" width="11.42578125" style="425"/>
    <col min="11795" max="11795" width="10.7109375" style="425" customWidth="1"/>
    <col min="11796" max="11801" width="11.42578125" style="425"/>
    <col min="11802" max="11802" width="14.42578125" style="425" customWidth="1"/>
    <col min="11803" max="12032" width="11.42578125" style="425"/>
    <col min="12033" max="12033" width="15.7109375" style="425" customWidth="1"/>
    <col min="12034" max="12034" width="12.7109375" style="425" customWidth="1"/>
    <col min="12035" max="12050" width="11.42578125" style="425"/>
    <col min="12051" max="12051" width="10.7109375" style="425" customWidth="1"/>
    <col min="12052" max="12057" width="11.42578125" style="425"/>
    <col min="12058" max="12058" width="14.42578125" style="425" customWidth="1"/>
    <col min="12059" max="12288" width="11.42578125" style="425"/>
    <col min="12289" max="12289" width="15.7109375" style="425" customWidth="1"/>
    <col min="12290" max="12290" width="12.7109375" style="425" customWidth="1"/>
    <col min="12291" max="12306" width="11.42578125" style="425"/>
    <col min="12307" max="12307" width="10.7109375" style="425" customWidth="1"/>
    <col min="12308" max="12313" width="11.42578125" style="425"/>
    <col min="12314" max="12314" width="14.42578125" style="425" customWidth="1"/>
    <col min="12315" max="12544" width="11.42578125" style="425"/>
    <col min="12545" max="12545" width="15.7109375" style="425" customWidth="1"/>
    <col min="12546" max="12546" width="12.7109375" style="425" customWidth="1"/>
    <col min="12547" max="12562" width="11.42578125" style="425"/>
    <col min="12563" max="12563" width="10.7109375" style="425" customWidth="1"/>
    <col min="12564" max="12569" width="11.42578125" style="425"/>
    <col min="12570" max="12570" width="14.42578125" style="425" customWidth="1"/>
    <col min="12571" max="12800" width="11.42578125" style="425"/>
    <col min="12801" max="12801" width="15.7109375" style="425" customWidth="1"/>
    <col min="12802" max="12802" width="12.7109375" style="425" customWidth="1"/>
    <col min="12803" max="12818" width="11.42578125" style="425"/>
    <col min="12819" max="12819" width="10.7109375" style="425" customWidth="1"/>
    <col min="12820" max="12825" width="11.42578125" style="425"/>
    <col min="12826" max="12826" width="14.42578125" style="425" customWidth="1"/>
    <col min="12827" max="13056" width="11.42578125" style="425"/>
    <col min="13057" max="13057" width="15.7109375" style="425" customWidth="1"/>
    <col min="13058" max="13058" width="12.7109375" style="425" customWidth="1"/>
    <col min="13059" max="13074" width="11.42578125" style="425"/>
    <col min="13075" max="13075" width="10.7109375" style="425" customWidth="1"/>
    <col min="13076" max="13081" width="11.42578125" style="425"/>
    <col min="13082" max="13082" width="14.42578125" style="425" customWidth="1"/>
    <col min="13083" max="13312" width="11.42578125" style="425"/>
    <col min="13313" max="13313" width="15.7109375" style="425" customWidth="1"/>
    <col min="13314" max="13314" width="12.7109375" style="425" customWidth="1"/>
    <col min="13315" max="13330" width="11.42578125" style="425"/>
    <col min="13331" max="13331" width="10.7109375" style="425" customWidth="1"/>
    <col min="13332" max="13337" width="11.42578125" style="425"/>
    <col min="13338" max="13338" width="14.42578125" style="425" customWidth="1"/>
    <col min="13339" max="13568" width="11.42578125" style="425"/>
    <col min="13569" max="13569" width="15.7109375" style="425" customWidth="1"/>
    <col min="13570" max="13570" width="12.7109375" style="425" customWidth="1"/>
    <col min="13571" max="13586" width="11.42578125" style="425"/>
    <col min="13587" max="13587" width="10.7109375" style="425" customWidth="1"/>
    <col min="13588" max="13593" width="11.42578125" style="425"/>
    <col min="13594" max="13594" width="14.42578125" style="425" customWidth="1"/>
    <col min="13595" max="13824" width="11.42578125" style="425"/>
    <col min="13825" max="13825" width="15.7109375" style="425" customWidth="1"/>
    <col min="13826" max="13826" width="12.7109375" style="425" customWidth="1"/>
    <col min="13827" max="13842" width="11.42578125" style="425"/>
    <col min="13843" max="13843" width="10.7109375" style="425" customWidth="1"/>
    <col min="13844" max="13849" width="11.42578125" style="425"/>
    <col min="13850" max="13850" width="14.42578125" style="425" customWidth="1"/>
    <col min="13851" max="14080" width="11.42578125" style="425"/>
    <col min="14081" max="14081" width="15.7109375" style="425" customWidth="1"/>
    <col min="14082" max="14082" width="12.7109375" style="425" customWidth="1"/>
    <col min="14083" max="14098" width="11.42578125" style="425"/>
    <col min="14099" max="14099" width="10.7109375" style="425" customWidth="1"/>
    <col min="14100" max="14105" width="11.42578125" style="425"/>
    <col min="14106" max="14106" width="14.42578125" style="425" customWidth="1"/>
    <col min="14107" max="14336" width="11.42578125" style="425"/>
    <col min="14337" max="14337" width="15.7109375" style="425" customWidth="1"/>
    <col min="14338" max="14338" width="12.7109375" style="425" customWidth="1"/>
    <col min="14339" max="14354" width="11.42578125" style="425"/>
    <col min="14355" max="14355" width="10.7109375" style="425" customWidth="1"/>
    <col min="14356" max="14361" width="11.42578125" style="425"/>
    <col min="14362" max="14362" width="14.42578125" style="425" customWidth="1"/>
    <col min="14363" max="14592" width="11.42578125" style="425"/>
    <col min="14593" max="14593" width="15.7109375" style="425" customWidth="1"/>
    <col min="14594" max="14594" width="12.7109375" style="425" customWidth="1"/>
    <col min="14595" max="14610" width="11.42578125" style="425"/>
    <col min="14611" max="14611" width="10.7109375" style="425" customWidth="1"/>
    <col min="14612" max="14617" width="11.42578125" style="425"/>
    <col min="14618" max="14618" width="14.42578125" style="425" customWidth="1"/>
    <col min="14619" max="14848" width="11.42578125" style="425"/>
    <col min="14849" max="14849" width="15.7109375" style="425" customWidth="1"/>
    <col min="14850" max="14850" width="12.7109375" style="425" customWidth="1"/>
    <col min="14851" max="14866" width="11.42578125" style="425"/>
    <col min="14867" max="14867" width="10.7109375" style="425" customWidth="1"/>
    <col min="14868" max="14873" width="11.42578125" style="425"/>
    <col min="14874" max="14874" width="14.42578125" style="425" customWidth="1"/>
    <col min="14875" max="15104" width="11.42578125" style="425"/>
    <col min="15105" max="15105" width="15.7109375" style="425" customWidth="1"/>
    <col min="15106" max="15106" width="12.7109375" style="425" customWidth="1"/>
    <col min="15107" max="15122" width="11.42578125" style="425"/>
    <col min="15123" max="15123" width="10.7109375" style="425" customWidth="1"/>
    <col min="15124" max="15129" width="11.42578125" style="425"/>
    <col min="15130" max="15130" width="14.42578125" style="425" customWidth="1"/>
    <col min="15131" max="15360" width="11.42578125" style="425"/>
    <col min="15361" max="15361" width="15.7109375" style="425" customWidth="1"/>
    <col min="15362" max="15362" width="12.7109375" style="425" customWidth="1"/>
    <col min="15363" max="15378" width="11.42578125" style="425"/>
    <col min="15379" max="15379" width="10.7109375" style="425" customWidth="1"/>
    <col min="15380" max="15385" width="11.42578125" style="425"/>
    <col min="15386" max="15386" width="14.42578125" style="425" customWidth="1"/>
    <col min="15387" max="15616" width="11.42578125" style="425"/>
    <col min="15617" max="15617" width="15.7109375" style="425" customWidth="1"/>
    <col min="15618" max="15618" width="12.7109375" style="425" customWidth="1"/>
    <col min="15619" max="15634" width="11.42578125" style="425"/>
    <col min="15635" max="15635" width="10.7109375" style="425" customWidth="1"/>
    <col min="15636" max="15641" width="11.42578125" style="425"/>
    <col min="15642" max="15642" width="14.42578125" style="425" customWidth="1"/>
    <col min="15643" max="15872" width="11.42578125" style="425"/>
    <col min="15873" max="15873" width="15.7109375" style="425" customWidth="1"/>
    <col min="15874" max="15874" width="12.7109375" style="425" customWidth="1"/>
    <col min="15875" max="15890" width="11.42578125" style="425"/>
    <col min="15891" max="15891" width="10.7109375" style="425" customWidth="1"/>
    <col min="15892" max="15897" width="11.42578125" style="425"/>
    <col min="15898" max="15898" width="14.42578125" style="425" customWidth="1"/>
    <col min="15899" max="16128" width="11.42578125" style="425"/>
    <col min="16129" max="16129" width="15.7109375" style="425" customWidth="1"/>
    <col min="16130" max="16130" width="12.7109375" style="425" customWidth="1"/>
    <col min="16131" max="16146" width="11.42578125" style="425"/>
    <col min="16147" max="16147" width="10.7109375" style="425" customWidth="1"/>
    <col min="16148" max="16153" width="11.42578125" style="425"/>
    <col min="16154" max="16154" width="14.42578125" style="425" customWidth="1"/>
    <col min="16155" max="16384" width="11.42578125" style="425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461"/>
      <c r="C28" s="461"/>
      <c r="D28" s="461"/>
      <c r="E28" s="461"/>
      <c r="F28" s="461"/>
      <c r="G28" s="461"/>
      <c r="H28" s="461"/>
      <c r="I28" s="60" t="s">
        <v>52</v>
      </c>
      <c r="J28" s="461"/>
      <c r="K28" s="461"/>
      <c r="L28" s="461"/>
    </row>
  </sheetData>
  <hyperlinks>
    <hyperlink ref="I28" location="'EM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47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1.42578125" style="425"/>
    <col min="2" max="2" width="28.85546875" style="425" customWidth="1"/>
    <col min="3" max="4" width="12.7109375" style="425" customWidth="1"/>
    <col min="5" max="5" width="10.7109375" style="425" customWidth="1"/>
    <col min="6" max="6" width="11.42578125" style="425"/>
    <col min="7" max="7" width="28.7109375" style="425" customWidth="1"/>
    <col min="8" max="9" width="11.42578125" style="425"/>
    <col min="10" max="10" width="12.28515625" style="425" bestFit="1" customWidth="1"/>
    <col min="11" max="11" width="13.28515625" style="425" customWidth="1"/>
    <col min="12" max="253" width="11.42578125" style="425"/>
    <col min="254" max="254" width="36.7109375" style="425" customWidth="1"/>
    <col min="255" max="255" width="12.7109375" style="425" customWidth="1"/>
    <col min="256" max="256" width="10.7109375" style="425" customWidth="1"/>
    <col min="257" max="257" width="12.7109375" style="425" customWidth="1"/>
    <col min="258" max="259" width="10.7109375" style="425" customWidth="1"/>
    <col min="260" max="266" width="11.42578125" style="425"/>
    <col min="267" max="267" width="13.28515625" style="425" customWidth="1"/>
    <col min="268" max="509" width="11.42578125" style="425"/>
    <col min="510" max="510" width="36.7109375" style="425" customWidth="1"/>
    <col min="511" max="511" width="12.7109375" style="425" customWidth="1"/>
    <col min="512" max="512" width="10.7109375" style="425" customWidth="1"/>
    <col min="513" max="513" width="12.7109375" style="425" customWidth="1"/>
    <col min="514" max="515" width="10.7109375" style="425" customWidth="1"/>
    <col min="516" max="522" width="11.42578125" style="425"/>
    <col min="523" max="523" width="13.28515625" style="425" customWidth="1"/>
    <col min="524" max="765" width="11.42578125" style="425"/>
    <col min="766" max="766" width="36.7109375" style="425" customWidth="1"/>
    <col min="767" max="767" width="12.7109375" style="425" customWidth="1"/>
    <col min="768" max="768" width="10.7109375" style="425" customWidth="1"/>
    <col min="769" max="769" width="12.7109375" style="425" customWidth="1"/>
    <col min="770" max="771" width="10.7109375" style="425" customWidth="1"/>
    <col min="772" max="778" width="11.42578125" style="425"/>
    <col min="779" max="779" width="13.28515625" style="425" customWidth="1"/>
    <col min="780" max="1021" width="11.42578125" style="425"/>
    <col min="1022" max="1022" width="36.7109375" style="425" customWidth="1"/>
    <col min="1023" max="1023" width="12.7109375" style="425" customWidth="1"/>
    <col min="1024" max="1024" width="10.7109375" style="425" customWidth="1"/>
    <col min="1025" max="1025" width="12.7109375" style="425" customWidth="1"/>
    <col min="1026" max="1027" width="10.7109375" style="425" customWidth="1"/>
    <col min="1028" max="1034" width="11.42578125" style="425"/>
    <col min="1035" max="1035" width="13.28515625" style="425" customWidth="1"/>
    <col min="1036" max="1277" width="11.42578125" style="425"/>
    <col min="1278" max="1278" width="36.7109375" style="425" customWidth="1"/>
    <col min="1279" max="1279" width="12.7109375" style="425" customWidth="1"/>
    <col min="1280" max="1280" width="10.7109375" style="425" customWidth="1"/>
    <col min="1281" max="1281" width="12.7109375" style="425" customWidth="1"/>
    <col min="1282" max="1283" width="10.7109375" style="425" customWidth="1"/>
    <col min="1284" max="1290" width="11.42578125" style="425"/>
    <col min="1291" max="1291" width="13.28515625" style="425" customWidth="1"/>
    <col min="1292" max="1533" width="11.42578125" style="425"/>
    <col min="1534" max="1534" width="36.7109375" style="425" customWidth="1"/>
    <col min="1535" max="1535" width="12.7109375" style="425" customWidth="1"/>
    <col min="1536" max="1536" width="10.7109375" style="425" customWidth="1"/>
    <col min="1537" max="1537" width="12.7109375" style="425" customWidth="1"/>
    <col min="1538" max="1539" width="10.7109375" style="425" customWidth="1"/>
    <col min="1540" max="1546" width="11.42578125" style="425"/>
    <col min="1547" max="1547" width="13.28515625" style="425" customWidth="1"/>
    <col min="1548" max="1789" width="11.42578125" style="425"/>
    <col min="1790" max="1790" width="36.7109375" style="425" customWidth="1"/>
    <col min="1791" max="1791" width="12.7109375" style="425" customWidth="1"/>
    <col min="1792" max="1792" width="10.7109375" style="425" customWidth="1"/>
    <col min="1793" max="1793" width="12.7109375" style="425" customWidth="1"/>
    <col min="1794" max="1795" width="10.7109375" style="425" customWidth="1"/>
    <col min="1796" max="1802" width="11.42578125" style="425"/>
    <col min="1803" max="1803" width="13.28515625" style="425" customWidth="1"/>
    <col min="1804" max="2045" width="11.42578125" style="425"/>
    <col min="2046" max="2046" width="36.7109375" style="425" customWidth="1"/>
    <col min="2047" max="2047" width="12.7109375" style="425" customWidth="1"/>
    <col min="2048" max="2048" width="10.7109375" style="425" customWidth="1"/>
    <col min="2049" max="2049" width="12.7109375" style="425" customWidth="1"/>
    <col min="2050" max="2051" width="10.7109375" style="425" customWidth="1"/>
    <col min="2052" max="2058" width="11.42578125" style="425"/>
    <col min="2059" max="2059" width="13.28515625" style="425" customWidth="1"/>
    <col min="2060" max="2301" width="11.42578125" style="425"/>
    <col min="2302" max="2302" width="36.7109375" style="425" customWidth="1"/>
    <col min="2303" max="2303" width="12.7109375" style="425" customWidth="1"/>
    <col min="2304" max="2304" width="10.7109375" style="425" customWidth="1"/>
    <col min="2305" max="2305" width="12.7109375" style="425" customWidth="1"/>
    <col min="2306" max="2307" width="10.7109375" style="425" customWidth="1"/>
    <col min="2308" max="2314" width="11.42578125" style="425"/>
    <col min="2315" max="2315" width="13.28515625" style="425" customWidth="1"/>
    <col min="2316" max="2557" width="11.42578125" style="425"/>
    <col min="2558" max="2558" width="36.7109375" style="425" customWidth="1"/>
    <col min="2559" max="2559" width="12.7109375" style="425" customWidth="1"/>
    <col min="2560" max="2560" width="10.7109375" style="425" customWidth="1"/>
    <col min="2561" max="2561" width="12.7109375" style="425" customWidth="1"/>
    <col min="2562" max="2563" width="10.7109375" style="425" customWidth="1"/>
    <col min="2564" max="2570" width="11.42578125" style="425"/>
    <col min="2571" max="2571" width="13.28515625" style="425" customWidth="1"/>
    <col min="2572" max="2813" width="11.42578125" style="425"/>
    <col min="2814" max="2814" width="36.7109375" style="425" customWidth="1"/>
    <col min="2815" max="2815" width="12.7109375" style="425" customWidth="1"/>
    <col min="2816" max="2816" width="10.7109375" style="425" customWidth="1"/>
    <col min="2817" max="2817" width="12.7109375" style="425" customWidth="1"/>
    <col min="2818" max="2819" width="10.7109375" style="425" customWidth="1"/>
    <col min="2820" max="2826" width="11.42578125" style="425"/>
    <col min="2827" max="2827" width="13.28515625" style="425" customWidth="1"/>
    <col min="2828" max="3069" width="11.42578125" style="425"/>
    <col min="3070" max="3070" width="36.7109375" style="425" customWidth="1"/>
    <col min="3071" max="3071" width="12.7109375" style="425" customWidth="1"/>
    <col min="3072" max="3072" width="10.7109375" style="425" customWidth="1"/>
    <col min="3073" max="3073" width="12.7109375" style="425" customWidth="1"/>
    <col min="3074" max="3075" width="10.7109375" style="425" customWidth="1"/>
    <col min="3076" max="3082" width="11.42578125" style="425"/>
    <col min="3083" max="3083" width="13.28515625" style="425" customWidth="1"/>
    <col min="3084" max="3325" width="11.42578125" style="425"/>
    <col min="3326" max="3326" width="36.7109375" style="425" customWidth="1"/>
    <col min="3327" max="3327" width="12.7109375" style="425" customWidth="1"/>
    <col min="3328" max="3328" width="10.7109375" style="425" customWidth="1"/>
    <col min="3329" max="3329" width="12.7109375" style="425" customWidth="1"/>
    <col min="3330" max="3331" width="10.7109375" style="425" customWidth="1"/>
    <col min="3332" max="3338" width="11.42578125" style="425"/>
    <col min="3339" max="3339" width="13.28515625" style="425" customWidth="1"/>
    <col min="3340" max="3581" width="11.42578125" style="425"/>
    <col min="3582" max="3582" width="36.7109375" style="425" customWidth="1"/>
    <col min="3583" max="3583" width="12.7109375" style="425" customWidth="1"/>
    <col min="3584" max="3584" width="10.7109375" style="425" customWidth="1"/>
    <col min="3585" max="3585" width="12.7109375" style="425" customWidth="1"/>
    <col min="3586" max="3587" width="10.7109375" style="425" customWidth="1"/>
    <col min="3588" max="3594" width="11.42578125" style="425"/>
    <col min="3595" max="3595" width="13.28515625" style="425" customWidth="1"/>
    <col min="3596" max="3837" width="11.42578125" style="425"/>
    <col min="3838" max="3838" width="36.7109375" style="425" customWidth="1"/>
    <col min="3839" max="3839" width="12.7109375" style="425" customWidth="1"/>
    <col min="3840" max="3840" width="10.7109375" style="425" customWidth="1"/>
    <col min="3841" max="3841" width="12.7109375" style="425" customWidth="1"/>
    <col min="3842" max="3843" width="10.7109375" style="425" customWidth="1"/>
    <col min="3844" max="3850" width="11.42578125" style="425"/>
    <col min="3851" max="3851" width="13.28515625" style="425" customWidth="1"/>
    <col min="3852" max="4093" width="11.42578125" style="425"/>
    <col min="4094" max="4094" width="36.7109375" style="425" customWidth="1"/>
    <col min="4095" max="4095" width="12.7109375" style="425" customWidth="1"/>
    <col min="4096" max="4096" width="10.7109375" style="425" customWidth="1"/>
    <col min="4097" max="4097" width="12.7109375" style="425" customWidth="1"/>
    <col min="4098" max="4099" width="10.7109375" style="425" customWidth="1"/>
    <col min="4100" max="4106" width="11.42578125" style="425"/>
    <col min="4107" max="4107" width="13.28515625" style="425" customWidth="1"/>
    <col min="4108" max="4349" width="11.42578125" style="425"/>
    <col min="4350" max="4350" width="36.7109375" style="425" customWidth="1"/>
    <col min="4351" max="4351" width="12.7109375" style="425" customWidth="1"/>
    <col min="4352" max="4352" width="10.7109375" style="425" customWidth="1"/>
    <col min="4353" max="4353" width="12.7109375" style="425" customWidth="1"/>
    <col min="4354" max="4355" width="10.7109375" style="425" customWidth="1"/>
    <col min="4356" max="4362" width="11.42578125" style="425"/>
    <col min="4363" max="4363" width="13.28515625" style="425" customWidth="1"/>
    <col min="4364" max="4605" width="11.42578125" style="425"/>
    <col min="4606" max="4606" width="36.7109375" style="425" customWidth="1"/>
    <col min="4607" max="4607" width="12.7109375" style="425" customWidth="1"/>
    <col min="4608" max="4608" width="10.7109375" style="425" customWidth="1"/>
    <col min="4609" max="4609" width="12.7109375" style="425" customWidth="1"/>
    <col min="4610" max="4611" width="10.7109375" style="425" customWidth="1"/>
    <col min="4612" max="4618" width="11.42578125" style="425"/>
    <col min="4619" max="4619" width="13.28515625" style="425" customWidth="1"/>
    <col min="4620" max="4861" width="11.42578125" style="425"/>
    <col min="4862" max="4862" width="36.7109375" style="425" customWidth="1"/>
    <col min="4863" max="4863" width="12.7109375" style="425" customWidth="1"/>
    <col min="4864" max="4864" width="10.7109375" style="425" customWidth="1"/>
    <col min="4865" max="4865" width="12.7109375" style="425" customWidth="1"/>
    <col min="4866" max="4867" width="10.7109375" style="425" customWidth="1"/>
    <col min="4868" max="4874" width="11.42578125" style="425"/>
    <col min="4875" max="4875" width="13.28515625" style="425" customWidth="1"/>
    <col min="4876" max="5117" width="11.42578125" style="425"/>
    <col min="5118" max="5118" width="36.7109375" style="425" customWidth="1"/>
    <col min="5119" max="5119" width="12.7109375" style="425" customWidth="1"/>
    <col min="5120" max="5120" width="10.7109375" style="425" customWidth="1"/>
    <col min="5121" max="5121" width="12.7109375" style="425" customWidth="1"/>
    <col min="5122" max="5123" width="10.7109375" style="425" customWidth="1"/>
    <col min="5124" max="5130" width="11.42578125" style="425"/>
    <col min="5131" max="5131" width="13.28515625" style="425" customWidth="1"/>
    <col min="5132" max="5373" width="11.42578125" style="425"/>
    <col min="5374" max="5374" width="36.7109375" style="425" customWidth="1"/>
    <col min="5375" max="5375" width="12.7109375" style="425" customWidth="1"/>
    <col min="5376" max="5376" width="10.7109375" style="425" customWidth="1"/>
    <col min="5377" max="5377" width="12.7109375" style="425" customWidth="1"/>
    <col min="5378" max="5379" width="10.7109375" style="425" customWidth="1"/>
    <col min="5380" max="5386" width="11.42578125" style="425"/>
    <col min="5387" max="5387" width="13.28515625" style="425" customWidth="1"/>
    <col min="5388" max="5629" width="11.42578125" style="425"/>
    <col min="5630" max="5630" width="36.7109375" style="425" customWidth="1"/>
    <col min="5631" max="5631" width="12.7109375" style="425" customWidth="1"/>
    <col min="5632" max="5632" width="10.7109375" style="425" customWidth="1"/>
    <col min="5633" max="5633" width="12.7109375" style="425" customWidth="1"/>
    <col min="5634" max="5635" width="10.7109375" style="425" customWidth="1"/>
    <col min="5636" max="5642" width="11.42578125" style="425"/>
    <col min="5643" max="5643" width="13.28515625" style="425" customWidth="1"/>
    <col min="5644" max="5885" width="11.42578125" style="425"/>
    <col min="5886" max="5886" width="36.7109375" style="425" customWidth="1"/>
    <col min="5887" max="5887" width="12.7109375" style="425" customWidth="1"/>
    <col min="5888" max="5888" width="10.7109375" style="425" customWidth="1"/>
    <col min="5889" max="5889" width="12.7109375" style="425" customWidth="1"/>
    <col min="5890" max="5891" width="10.7109375" style="425" customWidth="1"/>
    <col min="5892" max="5898" width="11.42578125" style="425"/>
    <col min="5899" max="5899" width="13.28515625" style="425" customWidth="1"/>
    <col min="5900" max="6141" width="11.42578125" style="425"/>
    <col min="6142" max="6142" width="36.7109375" style="425" customWidth="1"/>
    <col min="6143" max="6143" width="12.7109375" style="425" customWidth="1"/>
    <col min="6144" max="6144" width="10.7109375" style="425" customWidth="1"/>
    <col min="6145" max="6145" width="12.7109375" style="425" customWidth="1"/>
    <col min="6146" max="6147" width="10.7109375" style="425" customWidth="1"/>
    <col min="6148" max="6154" width="11.42578125" style="425"/>
    <col min="6155" max="6155" width="13.28515625" style="425" customWidth="1"/>
    <col min="6156" max="6397" width="11.42578125" style="425"/>
    <col min="6398" max="6398" width="36.7109375" style="425" customWidth="1"/>
    <col min="6399" max="6399" width="12.7109375" style="425" customWidth="1"/>
    <col min="6400" max="6400" width="10.7109375" style="425" customWidth="1"/>
    <col min="6401" max="6401" width="12.7109375" style="425" customWidth="1"/>
    <col min="6402" max="6403" width="10.7109375" style="425" customWidth="1"/>
    <col min="6404" max="6410" width="11.42578125" style="425"/>
    <col min="6411" max="6411" width="13.28515625" style="425" customWidth="1"/>
    <col min="6412" max="6653" width="11.42578125" style="425"/>
    <col min="6654" max="6654" width="36.7109375" style="425" customWidth="1"/>
    <col min="6655" max="6655" width="12.7109375" style="425" customWidth="1"/>
    <col min="6656" max="6656" width="10.7109375" style="425" customWidth="1"/>
    <col min="6657" max="6657" width="12.7109375" style="425" customWidth="1"/>
    <col min="6658" max="6659" width="10.7109375" style="425" customWidth="1"/>
    <col min="6660" max="6666" width="11.42578125" style="425"/>
    <col min="6667" max="6667" width="13.28515625" style="425" customWidth="1"/>
    <col min="6668" max="6909" width="11.42578125" style="425"/>
    <col min="6910" max="6910" width="36.7109375" style="425" customWidth="1"/>
    <col min="6911" max="6911" width="12.7109375" style="425" customWidth="1"/>
    <col min="6912" max="6912" width="10.7109375" style="425" customWidth="1"/>
    <col min="6913" max="6913" width="12.7109375" style="425" customWidth="1"/>
    <col min="6914" max="6915" width="10.7109375" style="425" customWidth="1"/>
    <col min="6916" max="6922" width="11.42578125" style="425"/>
    <col min="6923" max="6923" width="13.28515625" style="425" customWidth="1"/>
    <col min="6924" max="7165" width="11.42578125" style="425"/>
    <col min="7166" max="7166" width="36.7109375" style="425" customWidth="1"/>
    <col min="7167" max="7167" width="12.7109375" style="425" customWidth="1"/>
    <col min="7168" max="7168" width="10.7109375" style="425" customWidth="1"/>
    <col min="7169" max="7169" width="12.7109375" style="425" customWidth="1"/>
    <col min="7170" max="7171" width="10.7109375" style="425" customWidth="1"/>
    <col min="7172" max="7178" width="11.42578125" style="425"/>
    <col min="7179" max="7179" width="13.28515625" style="425" customWidth="1"/>
    <col min="7180" max="7421" width="11.42578125" style="425"/>
    <col min="7422" max="7422" width="36.7109375" style="425" customWidth="1"/>
    <col min="7423" max="7423" width="12.7109375" style="425" customWidth="1"/>
    <col min="7424" max="7424" width="10.7109375" style="425" customWidth="1"/>
    <col min="7425" max="7425" width="12.7109375" style="425" customWidth="1"/>
    <col min="7426" max="7427" width="10.7109375" style="425" customWidth="1"/>
    <col min="7428" max="7434" width="11.42578125" style="425"/>
    <col min="7435" max="7435" width="13.28515625" style="425" customWidth="1"/>
    <col min="7436" max="7677" width="11.42578125" style="425"/>
    <col min="7678" max="7678" width="36.7109375" style="425" customWidth="1"/>
    <col min="7679" max="7679" width="12.7109375" style="425" customWidth="1"/>
    <col min="7680" max="7680" width="10.7109375" style="425" customWidth="1"/>
    <col min="7681" max="7681" width="12.7109375" style="425" customWidth="1"/>
    <col min="7682" max="7683" width="10.7109375" style="425" customWidth="1"/>
    <col min="7684" max="7690" width="11.42578125" style="425"/>
    <col min="7691" max="7691" width="13.28515625" style="425" customWidth="1"/>
    <col min="7692" max="7933" width="11.42578125" style="425"/>
    <col min="7934" max="7934" width="36.7109375" style="425" customWidth="1"/>
    <col min="7935" max="7935" width="12.7109375" style="425" customWidth="1"/>
    <col min="7936" max="7936" width="10.7109375" style="425" customWidth="1"/>
    <col min="7937" max="7937" width="12.7109375" style="425" customWidth="1"/>
    <col min="7938" max="7939" width="10.7109375" style="425" customWidth="1"/>
    <col min="7940" max="7946" width="11.42578125" style="425"/>
    <col min="7947" max="7947" width="13.28515625" style="425" customWidth="1"/>
    <col min="7948" max="8189" width="11.42578125" style="425"/>
    <col min="8190" max="8190" width="36.7109375" style="425" customWidth="1"/>
    <col min="8191" max="8191" width="12.7109375" style="425" customWidth="1"/>
    <col min="8192" max="8192" width="10.7109375" style="425" customWidth="1"/>
    <col min="8193" max="8193" width="12.7109375" style="425" customWidth="1"/>
    <col min="8194" max="8195" width="10.7109375" style="425" customWidth="1"/>
    <col min="8196" max="8202" width="11.42578125" style="425"/>
    <col min="8203" max="8203" width="13.28515625" style="425" customWidth="1"/>
    <col min="8204" max="8445" width="11.42578125" style="425"/>
    <col min="8446" max="8446" width="36.7109375" style="425" customWidth="1"/>
    <col min="8447" max="8447" width="12.7109375" style="425" customWidth="1"/>
    <col min="8448" max="8448" width="10.7109375" style="425" customWidth="1"/>
    <col min="8449" max="8449" width="12.7109375" style="425" customWidth="1"/>
    <col min="8450" max="8451" width="10.7109375" style="425" customWidth="1"/>
    <col min="8452" max="8458" width="11.42578125" style="425"/>
    <col min="8459" max="8459" width="13.28515625" style="425" customWidth="1"/>
    <col min="8460" max="8701" width="11.42578125" style="425"/>
    <col min="8702" max="8702" width="36.7109375" style="425" customWidth="1"/>
    <col min="8703" max="8703" width="12.7109375" style="425" customWidth="1"/>
    <col min="8704" max="8704" width="10.7109375" style="425" customWidth="1"/>
    <col min="8705" max="8705" width="12.7109375" style="425" customWidth="1"/>
    <col min="8706" max="8707" width="10.7109375" style="425" customWidth="1"/>
    <col min="8708" max="8714" width="11.42578125" style="425"/>
    <col min="8715" max="8715" width="13.28515625" style="425" customWidth="1"/>
    <col min="8716" max="8957" width="11.42578125" style="425"/>
    <col min="8958" max="8958" width="36.7109375" style="425" customWidth="1"/>
    <col min="8959" max="8959" width="12.7109375" style="425" customWidth="1"/>
    <col min="8960" max="8960" width="10.7109375" style="425" customWidth="1"/>
    <col min="8961" max="8961" width="12.7109375" style="425" customWidth="1"/>
    <col min="8962" max="8963" width="10.7109375" style="425" customWidth="1"/>
    <col min="8964" max="8970" width="11.42578125" style="425"/>
    <col min="8971" max="8971" width="13.28515625" style="425" customWidth="1"/>
    <col min="8972" max="9213" width="11.42578125" style="425"/>
    <col min="9214" max="9214" width="36.7109375" style="425" customWidth="1"/>
    <col min="9215" max="9215" width="12.7109375" style="425" customWidth="1"/>
    <col min="9216" max="9216" width="10.7109375" style="425" customWidth="1"/>
    <col min="9217" max="9217" width="12.7109375" style="425" customWidth="1"/>
    <col min="9218" max="9219" width="10.7109375" style="425" customWidth="1"/>
    <col min="9220" max="9226" width="11.42578125" style="425"/>
    <col min="9227" max="9227" width="13.28515625" style="425" customWidth="1"/>
    <col min="9228" max="9469" width="11.42578125" style="425"/>
    <col min="9470" max="9470" width="36.7109375" style="425" customWidth="1"/>
    <col min="9471" max="9471" width="12.7109375" style="425" customWidth="1"/>
    <col min="9472" max="9472" width="10.7109375" style="425" customWidth="1"/>
    <col min="9473" max="9473" width="12.7109375" style="425" customWidth="1"/>
    <col min="9474" max="9475" width="10.7109375" style="425" customWidth="1"/>
    <col min="9476" max="9482" width="11.42578125" style="425"/>
    <col min="9483" max="9483" width="13.28515625" style="425" customWidth="1"/>
    <col min="9484" max="9725" width="11.42578125" style="425"/>
    <col min="9726" max="9726" width="36.7109375" style="425" customWidth="1"/>
    <col min="9727" max="9727" width="12.7109375" style="425" customWidth="1"/>
    <col min="9728" max="9728" width="10.7109375" style="425" customWidth="1"/>
    <col min="9729" max="9729" width="12.7109375" style="425" customWidth="1"/>
    <col min="9730" max="9731" width="10.7109375" style="425" customWidth="1"/>
    <col min="9732" max="9738" width="11.42578125" style="425"/>
    <col min="9739" max="9739" width="13.28515625" style="425" customWidth="1"/>
    <col min="9740" max="9981" width="11.42578125" style="425"/>
    <col min="9982" max="9982" width="36.7109375" style="425" customWidth="1"/>
    <col min="9983" max="9983" width="12.7109375" style="425" customWidth="1"/>
    <col min="9984" max="9984" width="10.7109375" style="425" customWidth="1"/>
    <col min="9985" max="9985" width="12.7109375" style="425" customWidth="1"/>
    <col min="9986" max="9987" width="10.7109375" style="425" customWidth="1"/>
    <col min="9988" max="9994" width="11.42578125" style="425"/>
    <col min="9995" max="9995" width="13.28515625" style="425" customWidth="1"/>
    <col min="9996" max="10237" width="11.42578125" style="425"/>
    <col min="10238" max="10238" width="36.7109375" style="425" customWidth="1"/>
    <col min="10239" max="10239" width="12.7109375" style="425" customWidth="1"/>
    <col min="10240" max="10240" width="10.7109375" style="425" customWidth="1"/>
    <col min="10241" max="10241" width="12.7109375" style="425" customWidth="1"/>
    <col min="10242" max="10243" width="10.7109375" style="425" customWidth="1"/>
    <col min="10244" max="10250" width="11.42578125" style="425"/>
    <col min="10251" max="10251" width="13.28515625" style="425" customWidth="1"/>
    <col min="10252" max="10493" width="11.42578125" style="425"/>
    <col min="10494" max="10494" width="36.7109375" style="425" customWidth="1"/>
    <col min="10495" max="10495" width="12.7109375" style="425" customWidth="1"/>
    <col min="10496" max="10496" width="10.7109375" style="425" customWidth="1"/>
    <col min="10497" max="10497" width="12.7109375" style="425" customWidth="1"/>
    <col min="10498" max="10499" width="10.7109375" style="425" customWidth="1"/>
    <col min="10500" max="10506" width="11.42578125" style="425"/>
    <col min="10507" max="10507" width="13.28515625" style="425" customWidth="1"/>
    <col min="10508" max="10749" width="11.42578125" style="425"/>
    <col min="10750" max="10750" width="36.7109375" style="425" customWidth="1"/>
    <col min="10751" max="10751" width="12.7109375" style="425" customWidth="1"/>
    <col min="10752" max="10752" width="10.7109375" style="425" customWidth="1"/>
    <col min="10753" max="10753" width="12.7109375" style="425" customWidth="1"/>
    <col min="10754" max="10755" width="10.7109375" style="425" customWidth="1"/>
    <col min="10756" max="10762" width="11.42578125" style="425"/>
    <col min="10763" max="10763" width="13.28515625" style="425" customWidth="1"/>
    <col min="10764" max="11005" width="11.42578125" style="425"/>
    <col min="11006" max="11006" width="36.7109375" style="425" customWidth="1"/>
    <col min="11007" max="11007" width="12.7109375" style="425" customWidth="1"/>
    <col min="11008" max="11008" width="10.7109375" style="425" customWidth="1"/>
    <col min="11009" max="11009" width="12.7109375" style="425" customWidth="1"/>
    <col min="11010" max="11011" width="10.7109375" style="425" customWidth="1"/>
    <col min="11012" max="11018" width="11.42578125" style="425"/>
    <col min="11019" max="11019" width="13.28515625" style="425" customWidth="1"/>
    <col min="11020" max="11261" width="11.42578125" style="425"/>
    <col min="11262" max="11262" width="36.7109375" style="425" customWidth="1"/>
    <col min="11263" max="11263" width="12.7109375" style="425" customWidth="1"/>
    <col min="11264" max="11264" width="10.7109375" style="425" customWidth="1"/>
    <col min="11265" max="11265" width="12.7109375" style="425" customWidth="1"/>
    <col min="11266" max="11267" width="10.7109375" style="425" customWidth="1"/>
    <col min="11268" max="11274" width="11.42578125" style="425"/>
    <col min="11275" max="11275" width="13.28515625" style="425" customWidth="1"/>
    <col min="11276" max="11517" width="11.42578125" style="425"/>
    <col min="11518" max="11518" width="36.7109375" style="425" customWidth="1"/>
    <col min="11519" max="11519" width="12.7109375" style="425" customWidth="1"/>
    <col min="11520" max="11520" width="10.7109375" style="425" customWidth="1"/>
    <col min="11521" max="11521" width="12.7109375" style="425" customWidth="1"/>
    <col min="11522" max="11523" width="10.7109375" style="425" customWidth="1"/>
    <col min="11524" max="11530" width="11.42578125" style="425"/>
    <col min="11531" max="11531" width="13.28515625" style="425" customWidth="1"/>
    <col min="11532" max="11773" width="11.42578125" style="425"/>
    <col min="11774" max="11774" width="36.7109375" style="425" customWidth="1"/>
    <col min="11775" max="11775" width="12.7109375" style="425" customWidth="1"/>
    <col min="11776" max="11776" width="10.7109375" style="425" customWidth="1"/>
    <col min="11777" max="11777" width="12.7109375" style="425" customWidth="1"/>
    <col min="11778" max="11779" width="10.7109375" style="425" customWidth="1"/>
    <col min="11780" max="11786" width="11.42578125" style="425"/>
    <col min="11787" max="11787" width="13.28515625" style="425" customWidth="1"/>
    <col min="11788" max="12029" width="11.42578125" style="425"/>
    <col min="12030" max="12030" width="36.7109375" style="425" customWidth="1"/>
    <col min="12031" max="12031" width="12.7109375" style="425" customWidth="1"/>
    <col min="12032" max="12032" width="10.7109375" style="425" customWidth="1"/>
    <col min="12033" max="12033" width="12.7109375" style="425" customWidth="1"/>
    <col min="12034" max="12035" width="10.7109375" style="425" customWidth="1"/>
    <col min="12036" max="12042" width="11.42578125" style="425"/>
    <col min="12043" max="12043" width="13.28515625" style="425" customWidth="1"/>
    <col min="12044" max="12285" width="11.42578125" style="425"/>
    <col min="12286" max="12286" width="36.7109375" style="425" customWidth="1"/>
    <col min="12287" max="12287" width="12.7109375" style="425" customWidth="1"/>
    <col min="12288" max="12288" width="10.7109375" style="425" customWidth="1"/>
    <col min="12289" max="12289" width="12.7109375" style="425" customWidth="1"/>
    <col min="12290" max="12291" width="10.7109375" style="425" customWidth="1"/>
    <col min="12292" max="12298" width="11.42578125" style="425"/>
    <col min="12299" max="12299" width="13.28515625" style="425" customWidth="1"/>
    <col min="12300" max="12541" width="11.42578125" style="425"/>
    <col min="12542" max="12542" width="36.7109375" style="425" customWidth="1"/>
    <col min="12543" max="12543" width="12.7109375" style="425" customWidth="1"/>
    <col min="12544" max="12544" width="10.7109375" style="425" customWidth="1"/>
    <col min="12545" max="12545" width="12.7109375" style="425" customWidth="1"/>
    <col min="12546" max="12547" width="10.7109375" style="425" customWidth="1"/>
    <col min="12548" max="12554" width="11.42578125" style="425"/>
    <col min="12555" max="12555" width="13.28515625" style="425" customWidth="1"/>
    <col min="12556" max="12797" width="11.42578125" style="425"/>
    <col min="12798" max="12798" width="36.7109375" style="425" customWidth="1"/>
    <col min="12799" max="12799" width="12.7109375" style="425" customWidth="1"/>
    <col min="12800" max="12800" width="10.7109375" style="425" customWidth="1"/>
    <col min="12801" max="12801" width="12.7109375" style="425" customWidth="1"/>
    <col min="12802" max="12803" width="10.7109375" style="425" customWidth="1"/>
    <col min="12804" max="12810" width="11.42578125" style="425"/>
    <col min="12811" max="12811" width="13.28515625" style="425" customWidth="1"/>
    <col min="12812" max="13053" width="11.42578125" style="425"/>
    <col min="13054" max="13054" width="36.7109375" style="425" customWidth="1"/>
    <col min="13055" max="13055" width="12.7109375" style="425" customWidth="1"/>
    <col min="13056" max="13056" width="10.7109375" style="425" customWidth="1"/>
    <col min="13057" max="13057" width="12.7109375" style="425" customWidth="1"/>
    <col min="13058" max="13059" width="10.7109375" style="425" customWidth="1"/>
    <col min="13060" max="13066" width="11.42578125" style="425"/>
    <col min="13067" max="13067" width="13.28515625" style="425" customWidth="1"/>
    <col min="13068" max="13309" width="11.42578125" style="425"/>
    <col min="13310" max="13310" width="36.7109375" style="425" customWidth="1"/>
    <col min="13311" max="13311" width="12.7109375" style="425" customWidth="1"/>
    <col min="13312" max="13312" width="10.7109375" style="425" customWidth="1"/>
    <col min="13313" max="13313" width="12.7109375" style="425" customWidth="1"/>
    <col min="13314" max="13315" width="10.7109375" style="425" customWidth="1"/>
    <col min="13316" max="13322" width="11.42578125" style="425"/>
    <col min="13323" max="13323" width="13.28515625" style="425" customWidth="1"/>
    <col min="13324" max="13565" width="11.42578125" style="425"/>
    <col min="13566" max="13566" width="36.7109375" style="425" customWidth="1"/>
    <col min="13567" max="13567" width="12.7109375" style="425" customWidth="1"/>
    <col min="13568" max="13568" width="10.7109375" style="425" customWidth="1"/>
    <col min="13569" max="13569" width="12.7109375" style="425" customWidth="1"/>
    <col min="13570" max="13571" width="10.7109375" style="425" customWidth="1"/>
    <col min="13572" max="13578" width="11.42578125" style="425"/>
    <col min="13579" max="13579" width="13.28515625" style="425" customWidth="1"/>
    <col min="13580" max="13821" width="11.42578125" style="425"/>
    <col min="13822" max="13822" width="36.7109375" style="425" customWidth="1"/>
    <col min="13823" max="13823" width="12.7109375" style="425" customWidth="1"/>
    <col min="13824" max="13824" width="10.7109375" style="425" customWidth="1"/>
    <col min="13825" max="13825" width="12.7109375" style="425" customWidth="1"/>
    <col min="13826" max="13827" width="10.7109375" style="425" customWidth="1"/>
    <col min="13828" max="13834" width="11.42578125" style="425"/>
    <col min="13835" max="13835" width="13.28515625" style="425" customWidth="1"/>
    <col min="13836" max="14077" width="11.42578125" style="425"/>
    <col min="14078" max="14078" width="36.7109375" style="425" customWidth="1"/>
    <col min="14079" max="14079" width="12.7109375" style="425" customWidth="1"/>
    <col min="14080" max="14080" width="10.7109375" style="425" customWidth="1"/>
    <col min="14081" max="14081" width="12.7109375" style="425" customWidth="1"/>
    <col min="14082" max="14083" width="10.7109375" style="425" customWidth="1"/>
    <col min="14084" max="14090" width="11.42578125" style="425"/>
    <col min="14091" max="14091" width="13.28515625" style="425" customWidth="1"/>
    <col min="14092" max="14333" width="11.42578125" style="425"/>
    <col min="14334" max="14334" width="36.7109375" style="425" customWidth="1"/>
    <col min="14335" max="14335" width="12.7109375" style="425" customWidth="1"/>
    <col min="14336" max="14336" width="10.7109375" style="425" customWidth="1"/>
    <col min="14337" max="14337" width="12.7109375" style="425" customWidth="1"/>
    <col min="14338" max="14339" width="10.7109375" style="425" customWidth="1"/>
    <col min="14340" max="14346" width="11.42578125" style="425"/>
    <col min="14347" max="14347" width="13.28515625" style="425" customWidth="1"/>
    <col min="14348" max="14589" width="11.42578125" style="425"/>
    <col min="14590" max="14590" width="36.7109375" style="425" customWidth="1"/>
    <col min="14591" max="14591" width="12.7109375" style="425" customWidth="1"/>
    <col min="14592" max="14592" width="10.7109375" style="425" customWidth="1"/>
    <col min="14593" max="14593" width="12.7109375" style="425" customWidth="1"/>
    <col min="14594" max="14595" width="10.7109375" style="425" customWidth="1"/>
    <col min="14596" max="14602" width="11.42578125" style="425"/>
    <col min="14603" max="14603" width="13.28515625" style="425" customWidth="1"/>
    <col min="14604" max="14845" width="11.42578125" style="425"/>
    <col min="14846" max="14846" width="36.7109375" style="425" customWidth="1"/>
    <col min="14847" max="14847" width="12.7109375" style="425" customWidth="1"/>
    <col min="14848" max="14848" width="10.7109375" style="425" customWidth="1"/>
    <col min="14849" max="14849" width="12.7109375" style="425" customWidth="1"/>
    <col min="14850" max="14851" width="10.7109375" style="425" customWidth="1"/>
    <col min="14852" max="14858" width="11.42578125" style="425"/>
    <col min="14859" max="14859" width="13.28515625" style="425" customWidth="1"/>
    <col min="14860" max="15101" width="11.42578125" style="425"/>
    <col min="15102" max="15102" width="36.7109375" style="425" customWidth="1"/>
    <col min="15103" max="15103" width="12.7109375" style="425" customWidth="1"/>
    <col min="15104" max="15104" width="10.7109375" style="425" customWidth="1"/>
    <col min="15105" max="15105" width="12.7109375" style="425" customWidth="1"/>
    <col min="15106" max="15107" width="10.7109375" style="425" customWidth="1"/>
    <col min="15108" max="15114" width="11.42578125" style="425"/>
    <col min="15115" max="15115" width="13.28515625" style="425" customWidth="1"/>
    <col min="15116" max="15357" width="11.42578125" style="425"/>
    <col min="15358" max="15358" width="36.7109375" style="425" customWidth="1"/>
    <col min="15359" max="15359" width="12.7109375" style="425" customWidth="1"/>
    <col min="15360" max="15360" width="10.7109375" style="425" customWidth="1"/>
    <col min="15361" max="15361" width="12.7109375" style="425" customWidth="1"/>
    <col min="15362" max="15363" width="10.7109375" style="425" customWidth="1"/>
    <col min="15364" max="15370" width="11.42578125" style="425"/>
    <col min="15371" max="15371" width="13.28515625" style="425" customWidth="1"/>
    <col min="15372" max="15613" width="11.42578125" style="425"/>
    <col min="15614" max="15614" width="36.7109375" style="425" customWidth="1"/>
    <col min="15615" max="15615" width="12.7109375" style="425" customWidth="1"/>
    <col min="15616" max="15616" width="10.7109375" style="425" customWidth="1"/>
    <col min="15617" max="15617" width="12.7109375" style="425" customWidth="1"/>
    <col min="15618" max="15619" width="10.7109375" style="425" customWidth="1"/>
    <col min="15620" max="15626" width="11.42578125" style="425"/>
    <col min="15627" max="15627" width="13.28515625" style="425" customWidth="1"/>
    <col min="15628" max="15869" width="11.42578125" style="425"/>
    <col min="15870" max="15870" width="36.7109375" style="425" customWidth="1"/>
    <col min="15871" max="15871" width="12.7109375" style="425" customWidth="1"/>
    <col min="15872" max="15872" width="10.7109375" style="425" customWidth="1"/>
    <col min="15873" max="15873" width="12.7109375" style="425" customWidth="1"/>
    <col min="15874" max="15875" width="10.7109375" style="425" customWidth="1"/>
    <col min="15876" max="15882" width="11.42578125" style="425"/>
    <col min="15883" max="15883" width="13.28515625" style="425" customWidth="1"/>
    <col min="15884" max="16125" width="11.42578125" style="425"/>
    <col min="16126" max="16126" width="36.7109375" style="425" customWidth="1"/>
    <col min="16127" max="16127" width="12.7109375" style="425" customWidth="1"/>
    <col min="16128" max="16128" width="10.7109375" style="425" customWidth="1"/>
    <col min="16129" max="16129" width="12.7109375" style="425" customWidth="1"/>
    <col min="16130" max="16131" width="10.7109375" style="425" customWidth="1"/>
    <col min="16132" max="16138" width="11.42578125" style="425"/>
    <col min="16139" max="16139" width="13.28515625" style="425" customWidth="1"/>
    <col min="16140" max="16384" width="11.42578125" style="425"/>
  </cols>
  <sheetData>
    <row r="1" spans="2:10" ht="26.25">
      <c r="B1" s="462"/>
    </row>
    <row r="7" spans="2:10" ht="52.5" customHeight="1">
      <c r="B7" s="463" t="s">
        <v>323</v>
      </c>
      <c r="C7" s="464"/>
      <c r="D7" s="464"/>
      <c r="E7" s="465"/>
      <c r="G7" s="463" t="s">
        <v>324</v>
      </c>
      <c r="H7" s="464"/>
      <c r="I7" s="464"/>
      <c r="J7" s="465"/>
    </row>
    <row r="8" spans="2:10" ht="41.25" customHeight="1">
      <c r="B8" s="431" t="s">
        <v>237</v>
      </c>
      <c r="C8" s="432" t="str">
        <f>actualizaciones!$A$3</f>
        <v>acumulado julio 2009</v>
      </c>
      <c r="D8" s="432" t="str">
        <f>actualizaciones!$A$2</f>
        <v xml:space="preserve">acumulado julio 2010 </v>
      </c>
      <c r="E8" s="433" t="s">
        <v>28</v>
      </c>
      <c r="G8" s="431" t="s">
        <v>237</v>
      </c>
      <c r="H8" s="432" t="str">
        <f>actualizaciones!$A$3</f>
        <v>acumulado julio 2009</v>
      </c>
      <c r="I8" s="432" t="str">
        <f>actualizaciones!$A$2</f>
        <v xml:space="preserve">acumulado julio 2010 </v>
      </c>
      <c r="J8" s="433" t="s">
        <v>28</v>
      </c>
    </row>
    <row r="9" spans="2:10">
      <c r="B9" s="434" t="s">
        <v>238</v>
      </c>
      <c r="C9" s="466"/>
      <c r="D9" s="466"/>
      <c r="E9" s="467"/>
      <c r="G9" s="434" t="s">
        <v>238</v>
      </c>
      <c r="H9" s="466"/>
      <c r="I9" s="466"/>
      <c r="J9" s="467"/>
    </row>
    <row r="10" spans="2:10">
      <c r="B10" s="468" t="s">
        <v>325</v>
      </c>
      <c r="C10" s="514">
        <f>'[1]tabla dinámica municipios'!$K$298</f>
        <v>8.1532598605680882</v>
      </c>
      <c r="D10" s="514">
        <f>'[1]tabla dinámica municipios'!$U$298</f>
        <v>7.8662886756998951</v>
      </c>
      <c r="E10" s="530">
        <f>(D10-C10)</f>
        <v>-0.28697118486819306</v>
      </c>
      <c r="G10" s="468" t="s">
        <v>325</v>
      </c>
      <c r="H10" s="514">
        <f>'[1]tabla dinámica municipios'!$K$325</f>
        <v>8.1513584432960755</v>
      </c>
      <c r="I10" s="514">
        <f>'[1]tabla dinámica municipios'!$U$325</f>
        <v>7.9130712621375832</v>
      </c>
      <c r="J10" s="531">
        <f>(I10-H10)</f>
        <v>-0.23828718115849234</v>
      </c>
    </row>
    <row r="11" spans="2:10">
      <c r="B11" s="434" t="s">
        <v>240</v>
      </c>
      <c r="C11" s="466"/>
      <c r="D11" s="466"/>
      <c r="E11" s="532"/>
      <c r="G11" s="434" t="s">
        <v>240</v>
      </c>
      <c r="H11" s="466"/>
      <c r="I11" s="466"/>
      <c r="J11" s="516"/>
    </row>
    <row r="12" spans="2:10">
      <c r="B12" s="452" t="s">
        <v>241</v>
      </c>
      <c r="C12" s="517">
        <f>'[1]tabla dinámica municipios'!$J$298</f>
        <v>7.8624342994195553</v>
      </c>
      <c r="D12" s="517">
        <f>'[1]tabla dinámica municipios'!$T$298</f>
        <v>7.5495798162773262</v>
      </c>
      <c r="E12" s="533">
        <f>(D12-C12)</f>
        <v>-0.31285448314222908</v>
      </c>
      <c r="G12" s="452" t="s">
        <v>241</v>
      </c>
      <c r="H12" s="517">
        <f>'[1]tabla dinámica municipios'!$J$325</f>
        <v>8.1106801032478852</v>
      </c>
      <c r="I12" s="517">
        <f>'[1]tabla dinámica municipios'!$T$325</f>
        <v>7.7246437529877481</v>
      </c>
      <c r="J12" s="534">
        <f t="shared" ref="J12:J16" si="0">(I12-H12)</f>
        <v>-0.38603635026013716</v>
      </c>
    </row>
    <row r="13" spans="2:10">
      <c r="B13" s="452" t="s">
        <v>306</v>
      </c>
      <c r="C13" s="519">
        <f>'[1]tabla dinámica municipios'!$H$298</f>
        <v>7.0403310578142939</v>
      </c>
      <c r="D13" s="519">
        <f>'[1]tabla dinámica municipios'!$R$298</f>
        <v>6.8197293570074127</v>
      </c>
      <c r="E13" s="535">
        <f t="shared" ref="E13:E16" si="1">(D13-C13)</f>
        <v>-0.22060170080688124</v>
      </c>
      <c r="G13" s="452" t="s">
        <v>306</v>
      </c>
      <c r="H13" s="519">
        <f>'[1]tabla dinámica municipios'!$H$325</f>
        <v>7.8596404947500433</v>
      </c>
      <c r="I13" s="519">
        <f>'[1]tabla dinámica municipios'!$R$325</f>
        <v>7.8531887638393263</v>
      </c>
      <c r="J13" s="536">
        <f t="shared" si="0"/>
        <v>-6.4517309107170462E-3</v>
      </c>
    </row>
    <row r="14" spans="2:10">
      <c r="B14" s="452" t="s">
        <v>307</v>
      </c>
      <c r="C14" s="519">
        <f>'[1]tabla dinámica municipios'!$F$298</f>
        <v>7.8551633954368834</v>
      </c>
      <c r="D14" s="519">
        <f>'[1]tabla dinámica municipios'!$P$298</f>
        <v>7.6012954952098388</v>
      </c>
      <c r="E14" s="535">
        <f t="shared" si="1"/>
        <v>-0.25386790022704453</v>
      </c>
      <c r="G14" s="452" t="s">
        <v>307</v>
      </c>
      <c r="H14" s="519">
        <f>'[1]tabla dinámica municipios'!$F$325</f>
        <v>8.3299753117415687</v>
      </c>
      <c r="I14" s="519">
        <f>'[1]tabla dinámica municipios'!$P$325</f>
        <v>7.791404938696374</v>
      </c>
      <c r="J14" s="536">
        <f t="shared" si="0"/>
        <v>-0.53857037304519473</v>
      </c>
    </row>
    <row r="15" spans="2:10">
      <c r="B15" s="452" t="s">
        <v>228</v>
      </c>
      <c r="C15" s="519">
        <f>'[1]tabla dinámica municipios'!$E$298</f>
        <v>8.5624304832980513</v>
      </c>
      <c r="D15" s="519">
        <f>'[1]tabla dinámica municipios'!$O$298</f>
        <v>8.0533512306043331</v>
      </c>
      <c r="E15" s="535">
        <f t="shared" si="1"/>
        <v>-0.50907925269371823</v>
      </c>
      <c r="G15" s="452" t="s">
        <v>228</v>
      </c>
      <c r="H15" s="519">
        <f>'[1]tabla dinámica municipios'!$E$325</f>
        <v>7.85412333410369</v>
      </c>
      <c r="I15" s="519">
        <f>'[1]tabla dinámica municipios'!$O$325</f>
        <v>7.6247996889845533</v>
      </c>
      <c r="J15" s="536">
        <f t="shared" si="0"/>
        <v>-0.22932364511913672</v>
      </c>
    </row>
    <row r="16" spans="2:10">
      <c r="B16" s="452" t="s">
        <v>308</v>
      </c>
      <c r="C16" s="521">
        <f>'[1]tabla dinámica municipios'!$C$298</f>
        <v>7.1304167959458065</v>
      </c>
      <c r="D16" s="521">
        <f>'[1]tabla dinámica municipios'!$M$298</f>
        <v>7.0084439083232812</v>
      </c>
      <c r="E16" s="537">
        <f t="shared" si="1"/>
        <v>-0.12197288762252523</v>
      </c>
      <c r="G16" s="452" t="s">
        <v>308</v>
      </c>
      <c r="H16" s="521">
        <f>'[1]tabla dinámica municipios'!$C$325</f>
        <v>7.4716624685138537</v>
      </c>
      <c r="I16" s="521">
        <f>'[1]tabla dinámica municipios'!$M$325</f>
        <v>6.5581481481481481</v>
      </c>
      <c r="J16" s="538">
        <f t="shared" si="0"/>
        <v>-0.91351432036570568</v>
      </c>
    </row>
    <row r="17" spans="2:12">
      <c r="B17" s="434" t="s">
        <v>242</v>
      </c>
      <c r="C17" s="435"/>
      <c r="D17" s="435"/>
      <c r="E17" s="539"/>
      <c r="G17" s="434" t="s">
        <v>242</v>
      </c>
      <c r="H17" s="435"/>
      <c r="I17" s="435"/>
      <c r="J17" s="523"/>
    </row>
    <row r="18" spans="2:12">
      <c r="B18" s="481" t="s">
        <v>243</v>
      </c>
      <c r="C18" s="521">
        <f>'[1]tabla dinámica municipios'!$I$298</f>
        <v>8.6704294442486187</v>
      </c>
      <c r="D18" s="521">
        <f>'[1]tabla dinámica municipios'!$S$298</f>
        <v>8.4760431611669063</v>
      </c>
      <c r="E18" s="537">
        <f>(D18-C18)</f>
        <v>-0.19438628308171246</v>
      </c>
      <c r="G18" s="481" t="s">
        <v>243</v>
      </c>
      <c r="H18" s="521">
        <f>'[1]tabla dinámica municipios'!$I$325</f>
        <v>8.1814172422394442</v>
      </c>
      <c r="I18" s="521">
        <f>'[1]tabla dinámica municipios'!$S$325</f>
        <v>8.0703581236339179</v>
      </c>
      <c r="J18" s="538">
        <f>(I18-H18)</f>
        <v>-0.11105911860552631</v>
      </c>
    </row>
    <row r="19" spans="2:12">
      <c r="B19" s="484" t="s">
        <v>90</v>
      </c>
      <c r="C19" s="485"/>
      <c r="D19" s="485"/>
      <c r="E19" s="486"/>
      <c r="G19" s="484" t="s">
        <v>90</v>
      </c>
      <c r="H19" s="485"/>
      <c r="I19" s="485"/>
      <c r="J19" s="486"/>
    </row>
    <row r="20" spans="2:12" ht="20.100000000000001" customHeight="1" thickBot="1"/>
    <row r="21" spans="2:12" ht="51.75" customHeight="1" thickBot="1">
      <c r="B21" s="463" t="s">
        <v>326</v>
      </c>
      <c r="C21" s="464"/>
      <c r="D21" s="464"/>
      <c r="E21" s="465"/>
      <c r="G21" s="463" t="s">
        <v>327</v>
      </c>
      <c r="H21" s="464"/>
      <c r="I21" s="464"/>
      <c r="J21" s="465"/>
      <c r="L21" s="60" t="s">
        <v>50</v>
      </c>
    </row>
    <row r="22" spans="2:12" ht="33.75" customHeight="1">
      <c r="B22" s="431" t="s">
        <v>237</v>
      </c>
      <c r="C22" s="432" t="str">
        <f>actualizaciones!$A$3</f>
        <v>acumulado julio 2009</v>
      </c>
      <c r="D22" s="432" t="str">
        <f>actualizaciones!$A$2</f>
        <v xml:space="preserve">acumulado julio 2010 </v>
      </c>
      <c r="E22" s="433" t="s">
        <v>28</v>
      </c>
      <c r="G22" s="431" t="s">
        <v>237</v>
      </c>
      <c r="H22" s="432" t="str">
        <f>actualizaciones!$A$3</f>
        <v>acumulado julio 2009</v>
      </c>
      <c r="I22" s="432" t="str">
        <f>actualizaciones!$A$2</f>
        <v xml:space="preserve">acumulado julio 2010 </v>
      </c>
      <c r="J22" s="433" t="s">
        <v>28</v>
      </c>
    </row>
    <row r="23" spans="2:12">
      <c r="B23" s="434" t="s">
        <v>238</v>
      </c>
      <c r="C23" s="466"/>
      <c r="D23" s="466"/>
      <c r="E23" s="467"/>
      <c r="G23" s="434" t="s">
        <v>238</v>
      </c>
      <c r="H23" s="466"/>
      <c r="I23" s="466"/>
      <c r="J23" s="467"/>
    </row>
    <row r="24" spans="2:12">
      <c r="B24" s="468" t="s">
        <v>325</v>
      </c>
      <c r="C24" s="514">
        <f>'[1]tabla dinámica municipios'!$K$352</f>
        <v>7.5759489961088793</v>
      </c>
      <c r="D24" s="514">
        <f>'[1]tabla dinámica municipios'!$U$352</f>
        <v>7.4466807543751008</v>
      </c>
      <c r="E24" s="531">
        <f>(D24-C24)</f>
        <v>-0.12926824173377849</v>
      </c>
      <c r="G24" s="468" t="s">
        <v>325</v>
      </c>
      <c r="H24" s="514">
        <f>'[1]tabla dinámica municipios'!K379</f>
        <v>2.3460685441687241</v>
      </c>
      <c r="I24" s="514">
        <f>'[1]tabla dinámica municipios'!$U$379</f>
        <v>2.0865799000172385</v>
      </c>
      <c r="J24" s="531">
        <f>(I24-H24)</f>
        <v>-0.25948864415148565</v>
      </c>
    </row>
    <row r="25" spans="2:12">
      <c r="B25" s="434" t="s">
        <v>240</v>
      </c>
      <c r="C25" s="466"/>
      <c r="D25" s="466"/>
      <c r="E25" s="516"/>
      <c r="G25" s="434" t="s">
        <v>240</v>
      </c>
      <c r="H25" s="466"/>
      <c r="I25" s="466"/>
      <c r="J25" s="516"/>
    </row>
    <row r="26" spans="2:12">
      <c r="B26" s="452" t="s">
        <v>241</v>
      </c>
      <c r="C26" s="517">
        <f>'[1]tabla dinámica municipios'!$J$352</f>
        <v>7.2949145348877007</v>
      </c>
      <c r="D26" s="517">
        <f>'[1]tabla dinámica municipios'!$T$352</f>
        <v>7.3144525342056204</v>
      </c>
      <c r="E26" s="534">
        <f t="shared" ref="E26:E29" si="2">(D26-C26)</f>
        <v>1.9537999317919663E-2</v>
      </c>
      <c r="G26" s="452" t="s">
        <v>241</v>
      </c>
      <c r="H26" s="517">
        <f>'[1]tabla dinámica municipios'!$J$379</f>
        <v>2.3460685441687241</v>
      </c>
      <c r="I26" s="517">
        <f>'[1]tabla dinámica municipios'!$T$379</f>
        <v>2.0865799000172385</v>
      </c>
      <c r="J26" s="534">
        <f t="shared" ref="J26:J30" si="3">(I26-H26)</f>
        <v>-0.25948864415148565</v>
      </c>
    </row>
    <row r="27" spans="2:12">
      <c r="B27" s="452" t="s">
        <v>229</v>
      </c>
      <c r="C27" s="519">
        <f>'[1]tabla dinámica municipios'!$G$352</f>
        <v>7.4398236092265941</v>
      </c>
      <c r="D27" s="519">
        <f>'[1]tabla dinámica municipios'!$Q$352</f>
        <v>7.3756549726970864</v>
      </c>
      <c r="E27" s="536">
        <f t="shared" si="2"/>
        <v>-6.4168636529507772E-2</v>
      </c>
      <c r="G27" s="452" t="s">
        <v>229</v>
      </c>
      <c r="H27" s="519">
        <f>'[1]tabla dinámica municipios'!$G$379</f>
        <v>2.2300482640510664</v>
      </c>
      <c r="I27" s="519">
        <f>'[1]tabla dinámica municipios'!$Q$379</f>
        <v>1.8100312448610425</v>
      </c>
      <c r="J27" s="536">
        <f t="shared" si="3"/>
        <v>-0.42001701919002388</v>
      </c>
    </row>
    <row r="28" spans="2:12">
      <c r="B28" s="452" t="s">
        <v>228</v>
      </c>
      <c r="C28" s="519">
        <f>'[1]tabla dinámica municipios'!$E$352</f>
        <v>6.9794759996857572</v>
      </c>
      <c r="D28" s="519">
        <f>'[1]tabla dinámica municipios'!$O$352</f>
        <v>7.4322975889355583</v>
      </c>
      <c r="E28" s="536">
        <f t="shared" si="2"/>
        <v>0.45282158924980109</v>
      </c>
      <c r="G28" s="452" t="s">
        <v>228</v>
      </c>
      <c r="H28" s="519">
        <f>'[1]tabla dinámica municipios'!$E$379</f>
        <v>2.1653896961690884</v>
      </c>
      <c r="I28" s="519">
        <f>'[1]tabla dinámica municipios'!$O$379</f>
        <v>2.1225036179450072</v>
      </c>
      <c r="J28" s="536">
        <f t="shared" si="3"/>
        <v>-4.2886078224081192E-2</v>
      </c>
    </row>
    <row r="29" spans="2:12">
      <c r="B29" s="452" t="s">
        <v>308</v>
      </c>
      <c r="C29" s="521">
        <f>'[1]tabla dinámica municipios'!$C$352</f>
        <v>3.946580406654344</v>
      </c>
      <c r="D29" s="521">
        <f>'[1]tabla dinámica municipios'!$M$352</f>
        <v>3.9014183155314304</v>
      </c>
      <c r="E29" s="538">
        <f t="shared" si="2"/>
        <v>-4.5162091122913584E-2</v>
      </c>
      <c r="G29" s="452" t="s">
        <v>227</v>
      </c>
      <c r="H29" s="519">
        <f>'[1]tabla dinámica municipios'!$D$379</f>
        <v>2.5075981777674325</v>
      </c>
      <c r="I29" s="519">
        <f>'[1]tabla dinámica municipios'!$N$379</f>
        <v>2.071387855011233</v>
      </c>
      <c r="J29" s="536">
        <f t="shared" si="3"/>
        <v>-0.43621032275619953</v>
      </c>
    </row>
    <row r="30" spans="2:12">
      <c r="B30" s="434" t="s">
        <v>242</v>
      </c>
      <c r="C30" s="435"/>
      <c r="D30" s="435"/>
      <c r="E30" s="523"/>
      <c r="G30" s="452" t="s">
        <v>226</v>
      </c>
      <c r="H30" s="521">
        <f>'[1]tabla dinámica municipios'!$B$379</f>
        <v>2.8754525706010137</v>
      </c>
      <c r="I30" s="521">
        <f>'[1]tabla dinámica municipios'!$L$379</f>
        <v>3.6768391269199676</v>
      </c>
      <c r="J30" s="538">
        <f t="shared" si="3"/>
        <v>0.80138655631895395</v>
      </c>
    </row>
    <row r="31" spans="2:12">
      <c r="B31" s="481" t="s">
        <v>243</v>
      </c>
      <c r="C31" s="521">
        <f>'[1]tabla dinámica municipios'!$I$352</f>
        <v>8.1182500264186839</v>
      </c>
      <c r="D31" s="521">
        <f>'[1]tabla dinámica municipios'!$S$352</f>
        <v>7.7342952665845504</v>
      </c>
      <c r="E31" s="538">
        <f>(D31-C31)</f>
        <v>-0.38395475983413352</v>
      </c>
      <c r="G31" s="434" t="s">
        <v>242</v>
      </c>
      <c r="H31" s="435"/>
      <c r="I31" s="435"/>
      <c r="J31" s="523"/>
    </row>
    <row r="32" spans="2:12">
      <c r="B32" s="484" t="s">
        <v>90</v>
      </c>
      <c r="C32" s="485"/>
      <c r="D32" s="485"/>
      <c r="E32" s="486"/>
      <c r="G32" s="481" t="s">
        <v>243</v>
      </c>
      <c r="H32" s="482" t="s">
        <v>32</v>
      </c>
      <c r="I32" s="482" t="s">
        <v>32</v>
      </c>
      <c r="J32" s="524" t="str">
        <f>IFERROR((I32-H32)/H32,"-")</f>
        <v>-</v>
      </c>
    </row>
    <row r="33" spans="7:10">
      <c r="G33" s="484" t="s">
        <v>90</v>
      </c>
      <c r="H33" s="485"/>
      <c r="I33" s="485"/>
      <c r="J33" s="486"/>
    </row>
  </sheetData>
  <mergeCells count="8">
    <mergeCell ref="B32:E32"/>
    <mergeCell ref="G33:J33"/>
    <mergeCell ref="B7:E7"/>
    <mergeCell ref="G7:J7"/>
    <mergeCell ref="B19:E19"/>
    <mergeCell ref="G19:J19"/>
    <mergeCell ref="B21:E21"/>
    <mergeCell ref="G21:J21"/>
  </mergeCells>
  <hyperlinks>
    <hyperlink ref="L21" location="'Gráfico EM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5" max="43" man="1"/>
  </colBreaks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48">
    <tabColor rgb="FF000099"/>
    <pageSetUpPr autoPageBreaks="0" fitToPage="1"/>
  </sheetPr>
  <dimension ref="B6:S44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5" style="194" customWidth="1"/>
    <col min="2" max="8" width="12.42578125" style="194" customWidth="1"/>
    <col min="9" max="9" width="11.42578125" style="194"/>
    <col min="10" max="10" width="11.85546875" style="194" customWidth="1"/>
    <col min="11" max="11" width="3.7109375" style="194" customWidth="1"/>
    <col min="12" max="16" width="11.42578125" style="194"/>
    <col min="17" max="17" width="16.42578125" style="194" customWidth="1"/>
    <col min="18" max="265" width="11.42578125" style="194"/>
    <col min="266" max="266" width="11.85546875" style="194" customWidth="1"/>
    <col min="267" max="267" width="3.7109375" style="194" customWidth="1"/>
    <col min="268" max="521" width="11.42578125" style="194"/>
    <col min="522" max="522" width="11.85546875" style="194" customWidth="1"/>
    <col min="523" max="523" width="3.7109375" style="194" customWidth="1"/>
    <col min="524" max="777" width="11.42578125" style="194"/>
    <col min="778" max="778" width="11.85546875" style="194" customWidth="1"/>
    <col min="779" max="779" width="3.7109375" style="194" customWidth="1"/>
    <col min="780" max="1033" width="11.42578125" style="194"/>
    <col min="1034" max="1034" width="11.85546875" style="194" customWidth="1"/>
    <col min="1035" max="1035" width="3.7109375" style="194" customWidth="1"/>
    <col min="1036" max="1289" width="11.42578125" style="194"/>
    <col min="1290" max="1290" width="11.85546875" style="194" customWidth="1"/>
    <col min="1291" max="1291" width="3.7109375" style="194" customWidth="1"/>
    <col min="1292" max="1545" width="11.42578125" style="194"/>
    <col min="1546" max="1546" width="11.85546875" style="194" customWidth="1"/>
    <col min="1547" max="1547" width="3.7109375" style="194" customWidth="1"/>
    <col min="1548" max="1801" width="11.42578125" style="194"/>
    <col min="1802" max="1802" width="11.85546875" style="194" customWidth="1"/>
    <col min="1803" max="1803" width="3.7109375" style="194" customWidth="1"/>
    <col min="1804" max="2057" width="11.42578125" style="194"/>
    <col min="2058" max="2058" width="11.85546875" style="194" customWidth="1"/>
    <col min="2059" max="2059" width="3.7109375" style="194" customWidth="1"/>
    <col min="2060" max="2313" width="11.42578125" style="194"/>
    <col min="2314" max="2314" width="11.85546875" style="194" customWidth="1"/>
    <col min="2315" max="2315" width="3.7109375" style="194" customWidth="1"/>
    <col min="2316" max="2569" width="11.42578125" style="194"/>
    <col min="2570" max="2570" width="11.85546875" style="194" customWidth="1"/>
    <col min="2571" max="2571" width="3.7109375" style="194" customWidth="1"/>
    <col min="2572" max="2825" width="11.42578125" style="194"/>
    <col min="2826" max="2826" width="11.85546875" style="194" customWidth="1"/>
    <col min="2827" max="2827" width="3.7109375" style="194" customWidth="1"/>
    <col min="2828" max="3081" width="11.42578125" style="194"/>
    <col min="3082" max="3082" width="11.85546875" style="194" customWidth="1"/>
    <col min="3083" max="3083" width="3.7109375" style="194" customWidth="1"/>
    <col min="3084" max="3337" width="11.42578125" style="194"/>
    <col min="3338" max="3338" width="11.85546875" style="194" customWidth="1"/>
    <col min="3339" max="3339" width="3.7109375" style="194" customWidth="1"/>
    <col min="3340" max="3593" width="11.42578125" style="194"/>
    <col min="3594" max="3594" width="11.85546875" style="194" customWidth="1"/>
    <col min="3595" max="3595" width="3.7109375" style="194" customWidth="1"/>
    <col min="3596" max="3849" width="11.42578125" style="194"/>
    <col min="3850" max="3850" width="11.85546875" style="194" customWidth="1"/>
    <col min="3851" max="3851" width="3.7109375" style="194" customWidth="1"/>
    <col min="3852" max="4105" width="11.42578125" style="194"/>
    <col min="4106" max="4106" width="11.85546875" style="194" customWidth="1"/>
    <col min="4107" max="4107" width="3.7109375" style="194" customWidth="1"/>
    <col min="4108" max="4361" width="11.42578125" style="194"/>
    <col min="4362" max="4362" width="11.85546875" style="194" customWidth="1"/>
    <col min="4363" max="4363" width="3.7109375" style="194" customWidth="1"/>
    <col min="4364" max="4617" width="11.42578125" style="194"/>
    <col min="4618" max="4618" width="11.85546875" style="194" customWidth="1"/>
    <col min="4619" max="4619" width="3.7109375" style="194" customWidth="1"/>
    <col min="4620" max="4873" width="11.42578125" style="194"/>
    <col min="4874" max="4874" width="11.85546875" style="194" customWidth="1"/>
    <col min="4875" max="4875" width="3.7109375" style="194" customWidth="1"/>
    <col min="4876" max="5129" width="11.42578125" style="194"/>
    <col min="5130" max="5130" width="11.85546875" style="194" customWidth="1"/>
    <col min="5131" max="5131" width="3.7109375" style="194" customWidth="1"/>
    <col min="5132" max="5385" width="11.42578125" style="194"/>
    <col min="5386" max="5386" width="11.85546875" style="194" customWidth="1"/>
    <col min="5387" max="5387" width="3.7109375" style="194" customWidth="1"/>
    <col min="5388" max="5641" width="11.42578125" style="194"/>
    <col min="5642" max="5642" width="11.85546875" style="194" customWidth="1"/>
    <col min="5643" max="5643" width="3.7109375" style="194" customWidth="1"/>
    <col min="5644" max="5897" width="11.42578125" style="194"/>
    <col min="5898" max="5898" width="11.85546875" style="194" customWidth="1"/>
    <col min="5899" max="5899" width="3.7109375" style="194" customWidth="1"/>
    <col min="5900" max="6153" width="11.42578125" style="194"/>
    <col min="6154" max="6154" width="11.85546875" style="194" customWidth="1"/>
    <col min="6155" max="6155" width="3.7109375" style="194" customWidth="1"/>
    <col min="6156" max="6409" width="11.42578125" style="194"/>
    <col min="6410" max="6410" width="11.85546875" style="194" customWidth="1"/>
    <col min="6411" max="6411" width="3.7109375" style="194" customWidth="1"/>
    <col min="6412" max="6665" width="11.42578125" style="194"/>
    <col min="6666" max="6666" width="11.85546875" style="194" customWidth="1"/>
    <col min="6667" max="6667" width="3.7109375" style="194" customWidth="1"/>
    <col min="6668" max="6921" width="11.42578125" style="194"/>
    <col min="6922" max="6922" width="11.85546875" style="194" customWidth="1"/>
    <col min="6923" max="6923" width="3.7109375" style="194" customWidth="1"/>
    <col min="6924" max="7177" width="11.42578125" style="194"/>
    <col min="7178" max="7178" width="11.85546875" style="194" customWidth="1"/>
    <col min="7179" max="7179" width="3.7109375" style="194" customWidth="1"/>
    <col min="7180" max="7433" width="11.42578125" style="194"/>
    <col min="7434" max="7434" width="11.85546875" style="194" customWidth="1"/>
    <col min="7435" max="7435" width="3.7109375" style="194" customWidth="1"/>
    <col min="7436" max="7689" width="11.42578125" style="194"/>
    <col min="7690" max="7690" width="11.85546875" style="194" customWidth="1"/>
    <col min="7691" max="7691" width="3.7109375" style="194" customWidth="1"/>
    <col min="7692" max="7945" width="11.42578125" style="194"/>
    <col min="7946" max="7946" width="11.85546875" style="194" customWidth="1"/>
    <col min="7947" max="7947" width="3.7109375" style="194" customWidth="1"/>
    <col min="7948" max="8201" width="11.42578125" style="194"/>
    <col min="8202" max="8202" width="11.85546875" style="194" customWidth="1"/>
    <col min="8203" max="8203" width="3.7109375" style="194" customWidth="1"/>
    <col min="8204" max="8457" width="11.42578125" style="194"/>
    <col min="8458" max="8458" width="11.85546875" style="194" customWidth="1"/>
    <col min="8459" max="8459" width="3.7109375" style="194" customWidth="1"/>
    <col min="8460" max="8713" width="11.42578125" style="194"/>
    <col min="8714" max="8714" width="11.85546875" style="194" customWidth="1"/>
    <col min="8715" max="8715" width="3.7109375" style="194" customWidth="1"/>
    <col min="8716" max="8969" width="11.42578125" style="194"/>
    <col min="8970" max="8970" width="11.85546875" style="194" customWidth="1"/>
    <col min="8971" max="8971" width="3.7109375" style="194" customWidth="1"/>
    <col min="8972" max="9225" width="11.42578125" style="194"/>
    <col min="9226" max="9226" width="11.85546875" style="194" customWidth="1"/>
    <col min="9227" max="9227" width="3.7109375" style="194" customWidth="1"/>
    <col min="9228" max="9481" width="11.42578125" style="194"/>
    <col min="9482" max="9482" width="11.85546875" style="194" customWidth="1"/>
    <col min="9483" max="9483" width="3.7109375" style="194" customWidth="1"/>
    <col min="9484" max="9737" width="11.42578125" style="194"/>
    <col min="9738" max="9738" width="11.85546875" style="194" customWidth="1"/>
    <col min="9739" max="9739" width="3.7109375" style="194" customWidth="1"/>
    <col min="9740" max="9993" width="11.42578125" style="194"/>
    <col min="9994" max="9994" width="11.85546875" style="194" customWidth="1"/>
    <col min="9995" max="9995" width="3.7109375" style="194" customWidth="1"/>
    <col min="9996" max="10249" width="11.42578125" style="194"/>
    <col min="10250" max="10250" width="11.85546875" style="194" customWidth="1"/>
    <col min="10251" max="10251" width="3.7109375" style="194" customWidth="1"/>
    <col min="10252" max="10505" width="11.42578125" style="194"/>
    <col min="10506" max="10506" width="11.85546875" style="194" customWidth="1"/>
    <col min="10507" max="10507" width="3.7109375" style="194" customWidth="1"/>
    <col min="10508" max="10761" width="11.42578125" style="194"/>
    <col min="10762" max="10762" width="11.85546875" style="194" customWidth="1"/>
    <col min="10763" max="10763" width="3.7109375" style="194" customWidth="1"/>
    <col min="10764" max="11017" width="11.42578125" style="194"/>
    <col min="11018" max="11018" width="11.85546875" style="194" customWidth="1"/>
    <col min="11019" max="11019" width="3.7109375" style="194" customWidth="1"/>
    <col min="11020" max="11273" width="11.42578125" style="194"/>
    <col min="11274" max="11274" width="11.85546875" style="194" customWidth="1"/>
    <col min="11275" max="11275" width="3.7109375" style="194" customWidth="1"/>
    <col min="11276" max="11529" width="11.42578125" style="194"/>
    <col min="11530" max="11530" width="11.85546875" style="194" customWidth="1"/>
    <col min="11531" max="11531" width="3.7109375" style="194" customWidth="1"/>
    <col min="11532" max="11785" width="11.42578125" style="194"/>
    <col min="11786" max="11786" width="11.85546875" style="194" customWidth="1"/>
    <col min="11787" max="11787" width="3.7109375" style="194" customWidth="1"/>
    <col min="11788" max="12041" width="11.42578125" style="194"/>
    <col min="12042" max="12042" width="11.85546875" style="194" customWidth="1"/>
    <col min="12043" max="12043" width="3.7109375" style="194" customWidth="1"/>
    <col min="12044" max="12297" width="11.42578125" style="194"/>
    <col min="12298" max="12298" width="11.85546875" style="194" customWidth="1"/>
    <col min="12299" max="12299" width="3.7109375" style="194" customWidth="1"/>
    <col min="12300" max="12553" width="11.42578125" style="194"/>
    <col min="12554" max="12554" width="11.85546875" style="194" customWidth="1"/>
    <col min="12555" max="12555" width="3.7109375" style="194" customWidth="1"/>
    <col min="12556" max="12809" width="11.42578125" style="194"/>
    <col min="12810" max="12810" width="11.85546875" style="194" customWidth="1"/>
    <col min="12811" max="12811" width="3.7109375" style="194" customWidth="1"/>
    <col min="12812" max="13065" width="11.42578125" style="194"/>
    <col min="13066" max="13066" width="11.85546875" style="194" customWidth="1"/>
    <col min="13067" max="13067" width="3.7109375" style="194" customWidth="1"/>
    <col min="13068" max="13321" width="11.42578125" style="194"/>
    <col min="13322" max="13322" width="11.85546875" style="194" customWidth="1"/>
    <col min="13323" max="13323" width="3.7109375" style="194" customWidth="1"/>
    <col min="13324" max="13577" width="11.42578125" style="194"/>
    <col min="13578" max="13578" width="11.85546875" style="194" customWidth="1"/>
    <col min="13579" max="13579" width="3.7109375" style="194" customWidth="1"/>
    <col min="13580" max="13833" width="11.42578125" style="194"/>
    <col min="13834" max="13834" width="11.85546875" style="194" customWidth="1"/>
    <col min="13835" max="13835" width="3.7109375" style="194" customWidth="1"/>
    <col min="13836" max="14089" width="11.42578125" style="194"/>
    <col min="14090" max="14090" width="11.85546875" style="194" customWidth="1"/>
    <col min="14091" max="14091" width="3.7109375" style="194" customWidth="1"/>
    <col min="14092" max="14345" width="11.42578125" style="194"/>
    <col min="14346" max="14346" width="11.85546875" style="194" customWidth="1"/>
    <col min="14347" max="14347" width="3.7109375" style="194" customWidth="1"/>
    <col min="14348" max="14601" width="11.42578125" style="194"/>
    <col min="14602" max="14602" width="11.85546875" style="194" customWidth="1"/>
    <col min="14603" max="14603" width="3.7109375" style="194" customWidth="1"/>
    <col min="14604" max="14857" width="11.42578125" style="194"/>
    <col min="14858" max="14858" width="11.85546875" style="194" customWidth="1"/>
    <col min="14859" max="14859" width="3.7109375" style="194" customWidth="1"/>
    <col min="14860" max="15113" width="11.42578125" style="194"/>
    <col min="15114" max="15114" width="11.85546875" style="194" customWidth="1"/>
    <col min="15115" max="15115" width="3.7109375" style="194" customWidth="1"/>
    <col min="15116" max="15369" width="11.42578125" style="194"/>
    <col min="15370" max="15370" width="11.85546875" style="194" customWidth="1"/>
    <col min="15371" max="15371" width="3.7109375" style="194" customWidth="1"/>
    <col min="15372" max="15625" width="11.42578125" style="194"/>
    <col min="15626" max="15626" width="11.85546875" style="194" customWidth="1"/>
    <col min="15627" max="15627" width="3.7109375" style="194" customWidth="1"/>
    <col min="15628" max="15881" width="11.42578125" style="194"/>
    <col min="15882" max="15882" width="11.85546875" style="194" customWidth="1"/>
    <col min="15883" max="15883" width="3.7109375" style="194" customWidth="1"/>
    <col min="15884" max="16137" width="11.42578125" style="194"/>
    <col min="16138" max="16138" width="11.85546875" style="194" customWidth="1"/>
    <col min="16139" max="16139" width="3.7109375" style="194" customWidth="1"/>
    <col min="16140" max="16384" width="11.42578125" style="194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0" t="s">
        <v>52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EM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93">
    <tabColor rgb="FF000099"/>
    <pageSetUpPr autoPageBreaks="0" fitToPage="1"/>
  </sheetPr>
  <dimension ref="B1:K34"/>
  <sheetViews>
    <sheetView showGridLines="0" showRowColHeaders="0" showOutlineSymbols="0" zoomScaleNormal="100" workbookViewId="0">
      <selection activeCell="I13" sqref="I13"/>
    </sheetView>
  </sheetViews>
  <sheetFormatPr baseColWidth="10" defaultRowHeight="12"/>
  <cols>
    <col min="1" max="1" width="13.5703125" style="541" customWidth="1"/>
    <col min="2" max="2" width="23.7109375" style="541" customWidth="1"/>
    <col min="3" max="3" width="10.7109375" style="541" customWidth="1"/>
    <col min="4" max="4" width="9.85546875" style="541" customWidth="1"/>
    <col min="5" max="7" width="10.7109375" style="541" customWidth="1"/>
    <col min="8" max="256" width="11.42578125" style="541"/>
    <col min="257" max="257" width="13.5703125" style="541" customWidth="1"/>
    <col min="258" max="258" width="23.7109375" style="541" customWidth="1"/>
    <col min="259" max="263" width="10.7109375" style="541" customWidth="1"/>
    <col min="264" max="512" width="11.42578125" style="541"/>
    <col min="513" max="513" width="13.5703125" style="541" customWidth="1"/>
    <col min="514" max="514" width="23.7109375" style="541" customWidth="1"/>
    <col min="515" max="519" width="10.7109375" style="541" customWidth="1"/>
    <col min="520" max="768" width="11.42578125" style="541"/>
    <col min="769" max="769" width="13.5703125" style="541" customWidth="1"/>
    <col min="770" max="770" width="23.7109375" style="541" customWidth="1"/>
    <col min="771" max="775" width="10.7109375" style="541" customWidth="1"/>
    <col min="776" max="1024" width="11.42578125" style="541"/>
    <col min="1025" max="1025" width="13.5703125" style="541" customWidth="1"/>
    <col min="1026" max="1026" width="23.7109375" style="541" customWidth="1"/>
    <col min="1027" max="1031" width="10.7109375" style="541" customWidth="1"/>
    <col min="1032" max="1280" width="11.42578125" style="541"/>
    <col min="1281" max="1281" width="13.5703125" style="541" customWidth="1"/>
    <col min="1282" max="1282" width="23.7109375" style="541" customWidth="1"/>
    <col min="1283" max="1287" width="10.7109375" style="541" customWidth="1"/>
    <col min="1288" max="1536" width="11.42578125" style="541"/>
    <col min="1537" max="1537" width="13.5703125" style="541" customWidth="1"/>
    <col min="1538" max="1538" width="23.7109375" style="541" customWidth="1"/>
    <col min="1539" max="1543" width="10.7109375" style="541" customWidth="1"/>
    <col min="1544" max="1792" width="11.42578125" style="541"/>
    <col min="1793" max="1793" width="13.5703125" style="541" customWidth="1"/>
    <col min="1794" max="1794" width="23.7109375" style="541" customWidth="1"/>
    <col min="1795" max="1799" width="10.7109375" style="541" customWidth="1"/>
    <col min="1800" max="2048" width="11.42578125" style="541"/>
    <col min="2049" max="2049" width="13.5703125" style="541" customWidth="1"/>
    <col min="2050" max="2050" width="23.7109375" style="541" customWidth="1"/>
    <col min="2051" max="2055" width="10.7109375" style="541" customWidth="1"/>
    <col min="2056" max="2304" width="11.42578125" style="541"/>
    <col min="2305" max="2305" width="13.5703125" style="541" customWidth="1"/>
    <col min="2306" max="2306" width="23.7109375" style="541" customWidth="1"/>
    <col min="2307" max="2311" width="10.7109375" style="541" customWidth="1"/>
    <col min="2312" max="2560" width="11.42578125" style="541"/>
    <col min="2561" max="2561" width="13.5703125" style="541" customWidth="1"/>
    <col min="2562" max="2562" width="23.7109375" style="541" customWidth="1"/>
    <col min="2563" max="2567" width="10.7109375" style="541" customWidth="1"/>
    <col min="2568" max="2816" width="11.42578125" style="541"/>
    <col min="2817" max="2817" width="13.5703125" style="541" customWidth="1"/>
    <col min="2818" max="2818" width="23.7109375" style="541" customWidth="1"/>
    <col min="2819" max="2823" width="10.7109375" style="541" customWidth="1"/>
    <col min="2824" max="3072" width="11.42578125" style="541"/>
    <col min="3073" max="3073" width="13.5703125" style="541" customWidth="1"/>
    <col min="3074" max="3074" width="23.7109375" style="541" customWidth="1"/>
    <col min="3075" max="3079" width="10.7109375" style="541" customWidth="1"/>
    <col min="3080" max="3328" width="11.42578125" style="541"/>
    <col min="3329" max="3329" width="13.5703125" style="541" customWidth="1"/>
    <col min="3330" max="3330" width="23.7109375" style="541" customWidth="1"/>
    <col min="3331" max="3335" width="10.7109375" style="541" customWidth="1"/>
    <col min="3336" max="3584" width="11.42578125" style="541"/>
    <col min="3585" max="3585" width="13.5703125" style="541" customWidth="1"/>
    <col min="3586" max="3586" width="23.7109375" style="541" customWidth="1"/>
    <col min="3587" max="3591" width="10.7109375" style="541" customWidth="1"/>
    <col min="3592" max="3840" width="11.42578125" style="541"/>
    <col min="3841" max="3841" width="13.5703125" style="541" customWidth="1"/>
    <col min="3842" max="3842" width="23.7109375" style="541" customWidth="1"/>
    <col min="3843" max="3847" width="10.7109375" style="541" customWidth="1"/>
    <col min="3848" max="4096" width="11.42578125" style="541"/>
    <col min="4097" max="4097" width="13.5703125" style="541" customWidth="1"/>
    <col min="4098" max="4098" width="23.7109375" style="541" customWidth="1"/>
    <col min="4099" max="4103" width="10.7109375" style="541" customWidth="1"/>
    <col min="4104" max="4352" width="11.42578125" style="541"/>
    <col min="4353" max="4353" width="13.5703125" style="541" customWidth="1"/>
    <col min="4354" max="4354" width="23.7109375" style="541" customWidth="1"/>
    <col min="4355" max="4359" width="10.7109375" style="541" customWidth="1"/>
    <col min="4360" max="4608" width="11.42578125" style="541"/>
    <col min="4609" max="4609" width="13.5703125" style="541" customWidth="1"/>
    <col min="4610" max="4610" width="23.7109375" style="541" customWidth="1"/>
    <col min="4611" max="4615" width="10.7109375" style="541" customWidth="1"/>
    <col min="4616" max="4864" width="11.42578125" style="541"/>
    <col min="4865" max="4865" width="13.5703125" style="541" customWidth="1"/>
    <col min="4866" max="4866" width="23.7109375" style="541" customWidth="1"/>
    <col min="4867" max="4871" width="10.7109375" style="541" customWidth="1"/>
    <col min="4872" max="5120" width="11.42578125" style="541"/>
    <col min="5121" max="5121" width="13.5703125" style="541" customWidth="1"/>
    <col min="5122" max="5122" width="23.7109375" style="541" customWidth="1"/>
    <col min="5123" max="5127" width="10.7109375" style="541" customWidth="1"/>
    <col min="5128" max="5376" width="11.42578125" style="541"/>
    <col min="5377" max="5377" width="13.5703125" style="541" customWidth="1"/>
    <col min="5378" max="5378" width="23.7109375" style="541" customWidth="1"/>
    <col min="5379" max="5383" width="10.7109375" style="541" customWidth="1"/>
    <col min="5384" max="5632" width="11.42578125" style="541"/>
    <col min="5633" max="5633" width="13.5703125" style="541" customWidth="1"/>
    <col min="5634" max="5634" width="23.7109375" style="541" customWidth="1"/>
    <col min="5635" max="5639" width="10.7109375" style="541" customWidth="1"/>
    <col min="5640" max="5888" width="11.42578125" style="541"/>
    <col min="5889" max="5889" width="13.5703125" style="541" customWidth="1"/>
    <col min="5890" max="5890" width="23.7109375" style="541" customWidth="1"/>
    <col min="5891" max="5895" width="10.7109375" style="541" customWidth="1"/>
    <col min="5896" max="6144" width="11.42578125" style="541"/>
    <col min="6145" max="6145" width="13.5703125" style="541" customWidth="1"/>
    <col min="6146" max="6146" width="23.7109375" style="541" customWidth="1"/>
    <col min="6147" max="6151" width="10.7109375" style="541" customWidth="1"/>
    <col min="6152" max="6400" width="11.42578125" style="541"/>
    <col min="6401" max="6401" width="13.5703125" style="541" customWidth="1"/>
    <col min="6402" max="6402" width="23.7109375" style="541" customWidth="1"/>
    <col min="6403" max="6407" width="10.7109375" style="541" customWidth="1"/>
    <col min="6408" max="6656" width="11.42578125" style="541"/>
    <col min="6657" max="6657" width="13.5703125" style="541" customWidth="1"/>
    <col min="6658" max="6658" width="23.7109375" style="541" customWidth="1"/>
    <col min="6659" max="6663" width="10.7109375" style="541" customWidth="1"/>
    <col min="6664" max="6912" width="11.42578125" style="541"/>
    <col min="6913" max="6913" width="13.5703125" style="541" customWidth="1"/>
    <col min="6914" max="6914" width="23.7109375" style="541" customWidth="1"/>
    <col min="6915" max="6919" width="10.7109375" style="541" customWidth="1"/>
    <col min="6920" max="7168" width="11.42578125" style="541"/>
    <col min="7169" max="7169" width="13.5703125" style="541" customWidth="1"/>
    <col min="7170" max="7170" width="23.7109375" style="541" customWidth="1"/>
    <col min="7171" max="7175" width="10.7109375" style="541" customWidth="1"/>
    <col min="7176" max="7424" width="11.42578125" style="541"/>
    <col min="7425" max="7425" width="13.5703125" style="541" customWidth="1"/>
    <col min="7426" max="7426" width="23.7109375" style="541" customWidth="1"/>
    <col min="7427" max="7431" width="10.7109375" style="541" customWidth="1"/>
    <col min="7432" max="7680" width="11.42578125" style="541"/>
    <col min="7681" max="7681" width="13.5703125" style="541" customWidth="1"/>
    <col min="7682" max="7682" width="23.7109375" style="541" customWidth="1"/>
    <col min="7683" max="7687" width="10.7109375" style="541" customWidth="1"/>
    <col min="7688" max="7936" width="11.42578125" style="541"/>
    <col min="7937" max="7937" width="13.5703125" style="541" customWidth="1"/>
    <col min="7938" max="7938" width="23.7109375" style="541" customWidth="1"/>
    <col min="7939" max="7943" width="10.7109375" style="541" customWidth="1"/>
    <col min="7944" max="8192" width="11.42578125" style="541"/>
    <col min="8193" max="8193" width="13.5703125" style="541" customWidth="1"/>
    <col min="8194" max="8194" width="23.7109375" style="541" customWidth="1"/>
    <col min="8195" max="8199" width="10.7109375" style="541" customWidth="1"/>
    <col min="8200" max="8448" width="11.42578125" style="541"/>
    <col min="8449" max="8449" width="13.5703125" style="541" customWidth="1"/>
    <col min="8450" max="8450" width="23.7109375" style="541" customWidth="1"/>
    <col min="8451" max="8455" width="10.7109375" style="541" customWidth="1"/>
    <col min="8456" max="8704" width="11.42578125" style="541"/>
    <col min="8705" max="8705" width="13.5703125" style="541" customWidth="1"/>
    <col min="8706" max="8706" width="23.7109375" style="541" customWidth="1"/>
    <col min="8707" max="8711" width="10.7109375" style="541" customWidth="1"/>
    <col min="8712" max="8960" width="11.42578125" style="541"/>
    <col min="8961" max="8961" width="13.5703125" style="541" customWidth="1"/>
    <col min="8962" max="8962" width="23.7109375" style="541" customWidth="1"/>
    <col min="8963" max="8967" width="10.7109375" style="541" customWidth="1"/>
    <col min="8968" max="9216" width="11.42578125" style="541"/>
    <col min="9217" max="9217" width="13.5703125" style="541" customWidth="1"/>
    <col min="9218" max="9218" width="23.7109375" style="541" customWidth="1"/>
    <col min="9219" max="9223" width="10.7109375" style="541" customWidth="1"/>
    <col min="9224" max="9472" width="11.42578125" style="541"/>
    <col min="9473" max="9473" width="13.5703125" style="541" customWidth="1"/>
    <col min="9474" max="9474" width="23.7109375" style="541" customWidth="1"/>
    <col min="9475" max="9479" width="10.7109375" style="541" customWidth="1"/>
    <col min="9480" max="9728" width="11.42578125" style="541"/>
    <col min="9729" max="9729" width="13.5703125" style="541" customWidth="1"/>
    <col min="9730" max="9730" width="23.7109375" style="541" customWidth="1"/>
    <col min="9731" max="9735" width="10.7109375" style="541" customWidth="1"/>
    <col min="9736" max="9984" width="11.42578125" style="541"/>
    <col min="9985" max="9985" width="13.5703125" style="541" customWidth="1"/>
    <col min="9986" max="9986" width="23.7109375" style="541" customWidth="1"/>
    <col min="9987" max="9991" width="10.7109375" style="541" customWidth="1"/>
    <col min="9992" max="10240" width="11.42578125" style="541"/>
    <col min="10241" max="10241" width="13.5703125" style="541" customWidth="1"/>
    <col min="10242" max="10242" width="23.7109375" style="541" customWidth="1"/>
    <col min="10243" max="10247" width="10.7109375" style="541" customWidth="1"/>
    <col min="10248" max="10496" width="11.42578125" style="541"/>
    <col min="10497" max="10497" width="13.5703125" style="541" customWidth="1"/>
    <col min="10498" max="10498" width="23.7109375" style="541" customWidth="1"/>
    <col min="10499" max="10503" width="10.7109375" style="541" customWidth="1"/>
    <col min="10504" max="10752" width="11.42578125" style="541"/>
    <col min="10753" max="10753" width="13.5703125" style="541" customWidth="1"/>
    <col min="10754" max="10754" width="23.7109375" style="541" customWidth="1"/>
    <col min="10755" max="10759" width="10.7109375" style="541" customWidth="1"/>
    <col min="10760" max="11008" width="11.42578125" style="541"/>
    <col min="11009" max="11009" width="13.5703125" style="541" customWidth="1"/>
    <col min="11010" max="11010" width="23.7109375" style="541" customWidth="1"/>
    <col min="11011" max="11015" width="10.7109375" style="541" customWidth="1"/>
    <col min="11016" max="11264" width="11.42578125" style="541"/>
    <col min="11265" max="11265" width="13.5703125" style="541" customWidth="1"/>
    <col min="11266" max="11266" width="23.7109375" style="541" customWidth="1"/>
    <col min="11267" max="11271" width="10.7109375" style="541" customWidth="1"/>
    <col min="11272" max="11520" width="11.42578125" style="541"/>
    <col min="11521" max="11521" width="13.5703125" style="541" customWidth="1"/>
    <col min="11522" max="11522" width="23.7109375" style="541" customWidth="1"/>
    <col min="11523" max="11527" width="10.7109375" style="541" customWidth="1"/>
    <col min="11528" max="11776" width="11.42578125" style="541"/>
    <col min="11777" max="11777" width="13.5703125" style="541" customWidth="1"/>
    <col min="11778" max="11778" width="23.7109375" style="541" customWidth="1"/>
    <col min="11779" max="11783" width="10.7109375" style="541" customWidth="1"/>
    <col min="11784" max="12032" width="11.42578125" style="541"/>
    <col min="12033" max="12033" width="13.5703125" style="541" customWidth="1"/>
    <col min="12034" max="12034" width="23.7109375" style="541" customWidth="1"/>
    <col min="12035" max="12039" width="10.7109375" style="541" customWidth="1"/>
    <col min="12040" max="12288" width="11.42578125" style="541"/>
    <col min="12289" max="12289" width="13.5703125" style="541" customWidth="1"/>
    <col min="12290" max="12290" width="23.7109375" style="541" customWidth="1"/>
    <col min="12291" max="12295" width="10.7109375" style="541" customWidth="1"/>
    <col min="12296" max="12544" width="11.42578125" style="541"/>
    <col min="12545" max="12545" width="13.5703125" style="541" customWidth="1"/>
    <col min="12546" max="12546" width="23.7109375" style="541" customWidth="1"/>
    <col min="12547" max="12551" width="10.7109375" style="541" customWidth="1"/>
    <col min="12552" max="12800" width="11.42578125" style="541"/>
    <col min="12801" max="12801" width="13.5703125" style="541" customWidth="1"/>
    <col min="12802" max="12802" width="23.7109375" style="541" customWidth="1"/>
    <col min="12803" max="12807" width="10.7109375" style="541" customWidth="1"/>
    <col min="12808" max="13056" width="11.42578125" style="541"/>
    <col min="13057" max="13057" width="13.5703125" style="541" customWidth="1"/>
    <col min="13058" max="13058" width="23.7109375" style="541" customWidth="1"/>
    <col min="13059" max="13063" width="10.7109375" style="541" customWidth="1"/>
    <col min="13064" max="13312" width="11.42578125" style="541"/>
    <col min="13313" max="13313" width="13.5703125" style="541" customWidth="1"/>
    <col min="13314" max="13314" width="23.7109375" style="541" customWidth="1"/>
    <col min="13315" max="13319" width="10.7109375" style="541" customWidth="1"/>
    <col min="13320" max="13568" width="11.42578125" style="541"/>
    <col min="13569" max="13569" width="13.5703125" style="541" customWidth="1"/>
    <col min="13570" max="13570" width="23.7109375" style="541" customWidth="1"/>
    <col min="13571" max="13575" width="10.7109375" style="541" customWidth="1"/>
    <col min="13576" max="13824" width="11.42578125" style="541"/>
    <col min="13825" max="13825" width="13.5703125" style="541" customWidth="1"/>
    <col min="13826" max="13826" width="23.7109375" style="541" customWidth="1"/>
    <col min="13827" max="13831" width="10.7109375" style="541" customWidth="1"/>
    <col min="13832" max="14080" width="11.42578125" style="541"/>
    <col min="14081" max="14081" width="13.5703125" style="541" customWidth="1"/>
    <col min="14082" max="14082" width="23.7109375" style="541" customWidth="1"/>
    <col min="14083" max="14087" width="10.7109375" style="541" customWidth="1"/>
    <col min="14088" max="14336" width="11.42578125" style="541"/>
    <col min="14337" max="14337" width="13.5703125" style="541" customWidth="1"/>
    <col min="14338" max="14338" width="23.7109375" style="541" customWidth="1"/>
    <col min="14339" max="14343" width="10.7109375" style="541" customWidth="1"/>
    <col min="14344" max="14592" width="11.42578125" style="541"/>
    <col min="14593" max="14593" width="13.5703125" style="541" customWidth="1"/>
    <col min="14594" max="14594" width="23.7109375" style="541" customWidth="1"/>
    <col min="14595" max="14599" width="10.7109375" style="541" customWidth="1"/>
    <col min="14600" max="14848" width="11.42578125" style="541"/>
    <col min="14849" max="14849" width="13.5703125" style="541" customWidth="1"/>
    <col min="14850" max="14850" width="23.7109375" style="541" customWidth="1"/>
    <col min="14851" max="14855" width="10.7109375" style="541" customWidth="1"/>
    <col min="14856" max="15104" width="11.42578125" style="541"/>
    <col min="15105" max="15105" width="13.5703125" style="541" customWidth="1"/>
    <col min="15106" max="15106" width="23.7109375" style="541" customWidth="1"/>
    <col min="15107" max="15111" width="10.7109375" style="541" customWidth="1"/>
    <col min="15112" max="15360" width="11.42578125" style="541"/>
    <col min="15361" max="15361" width="13.5703125" style="541" customWidth="1"/>
    <col min="15362" max="15362" width="23.7109375" style="541" customWidth="1"/>
    <col min="15363" max="15367" width="10.7109375" style="541" customWidth="1"/>
    <col min="15368" max="15616" width="11.42578125" style="541"/>
    <col min="15617" max="15617" width="13.5703125" style="541" customWidth="1"/>
    <col min="15618" max="15618" width="23.7109375" style="541" customWidth="1"/>
    <col min="15619" max="15623" width="10.7109375" style="541" customWidth="1"/>
    <col min="15624" max="15872" width="11.42578125" style="541"/>
    <col min="15873" max="15873" width="13.5703125" style="541" customWidth="1"/>
    <col min="15874" max="15874" width="23.7109375" style="541" customWidth="1"/>
    <col min="15875" max="15879" width="10.7109375" style="541" customWidth="1"/>
    <col min="15880" max="16128" width="11.42578125" style="541"/>
    <col min="16129" max="16129" width="13.5703125" style="541" customWidth="1"/>
    <col min="16130" max="16130" width="23.7109375" style="541" customWidth="1"/>
    <col min="16131" max="16135" width="10.7109375" style="541" customWidth="1"/>
    <col min="16136" max="16384" width="11.42578125" style="541"/>
  </cols>
  <sheetData>
    <row r="1" spans="2:7" ht="12.75">
      <c r="B1" s="540"/>
    </row>
    <row r="2" spans="2:7" ht="12.75">
      <c r="B2" s="540"/>
    </row>
    <row r="3" spans="2:7" ht="12.75">
      <c r="B3" s="540"/>
    </row>
    <row r="4" spans="2:7" ht="12.75">
      <c r="B4" s="540"/>
    </row>
    <row r="5" spans="2:7" ht="12.75">
      <c r="B5" s="540"/>
    </row>
    <row r="6" spans="2:7" ht="18.75" customHeight="1">
      <c r="B6" s="542" t="s">
        <v>328</v>
      </c>
      <c r="C6" s="543"/>
      <c r="D6" s="543"/>
      <c r="E6" s="543"/>
      <c r="F6" s="543"/>
      <c r="G6" s="544"/>
    </row>
    <row r="7" spans="2:7" ht="12.75">
      <c r="B7" s="296" t="str">
        <f>actualizaciones!$A$2</f>
        <v xml:space="preserve">acumulado julio 2010 </v>
      </c>
      <c r="C7" s="297"/>
      <c r="D7" s="297"/>
      <c r="E7" s="297"/>
      <c r="F7" s="297"/>
      <c r="G7" s="545"/>
    </row>
    <row r="8" spans="2:7" ht="29.25" customHeight="1">
      <c r="B8" s="546" t="s">
        <v>155</v>
      </c>
      <c r="C8" s="547" t="s">
        <v>92</v>
      </c>
      <c r="D8" s="548" t="s">
        <v>89</v>
      </c>
      <c r="E8" s="548" t="s">
        <v>303</v>
      </c>
      <c r="F8" s="549" t="s">
        <v>329</v>
      </c>
      <c r="G8" s="549" t="s">
        <v>302</v>
      </c>
    </row>
    <row r="9" spans="2:7">
      <c r="B9" s="550" t="s">
        <v>156</v>
      </c>
      <c r="C9" s="551">
        <f>GETPIVOTDATA("Suma de TOTAL GENERAL",'[1]tabla dinámica nacionalidad zon'!$A$3,"PAIS/INDICADOR","ESPAÑA","AÑO",2010)</f>
        <v>850747</v>
      </c>
      <c r="D9" s="551">
        <f>GETPIVOTDATA("dato",'[1]tabla dinámica nacionalidad zon'!$A$36,"indicador","España","municipio","SANTA CRUZ","año",2010)</f>
        <v>76373</v>
      </c>
      <c r="E9" s="551">
        <f>GETPIVOTDATA("dato",'[1]tabla dinámica nacionalidad zon'!$A$36,"indicador","España","municipio","PUERTO DE LA CRUZ","año",2010)</f>
        <v>257347</v>
      </c>
      <c r="F9" s="551">
        <f>GETPIVOTDATA("dato",'[1]tabla dinámica nacionalidad zon'!$A$36,"indicador","España","municipio","ADEJE","año",2010)</f>
        <v>217518</v>
      </c>
      <c r="G9" s="551">
        <f>GETPIVOTDATA("dato",'[1]tabla dinámica nacionalidad zon'!$A$36,"indicador","España","municipio","ARONA","año",2010)</f>
        <v>138186</v>
      </c>
    </row>
    <row r="10" spans="2:7">
      <c r="B10" s="552" t="s">
        <v>158</v>
      </c>
      <c r="C10" s="553">
        <f>GETPIVOTDATA("Suma de TOTAL GENERAL",'[1]tabla dinámica nacionalidad zon'!$A$3,"PAIS/INDICADOR","holanda","AÑO",2010)</f>
        <v>80466</v>
      </c>
      <c r="D10" s="553">
        <f>GETPIVOTDATA("dato",'[1]tabla dinámica nacionalidad zon'!$A$36,"indicador","HOLANDA","municipio","SANTA CRUZ","año",2010)</f>
        <v>506</v>
      </c>
      <c r="E10" s="553">
        <f>GETPIVOTDATA("dato",'[1]tabla dinámica nacionalidad zon'!$A$36,"indicador","HOLANDA","municipio","PUERTO DE LA CRUZ","año",2010)</f>
        <v>1758</v>
      </c>
      <c r="F10" s="553">
        <f>GETPIVOTDATA("dato",'[1]tabla dinámica nacionalidad zon'!$A$36,"indicador","HOLANDA","municipio","ADEJE","año",2010)</f>
        <v>33893</v>
      </c>
      <c r="G10" s="553">
        <f>GETPIVOTDATA("dato",'[1]tabla dinámica nacionalidad zon'!$A$36,"indicador","HOLANDA","municipio","ARONA","año",2010)</f>
        <v>37701</v>
      </c>
    </row>
    <row r="11" spans="2:7">
      <c r="B11" s="552" t="s">
        <v>159</v>
      </c>
      <c r="C11" s="553">
        <f>GETPIVOTDATA("Suma de TOTAL GENERAL",'[1]tabla dinámica nacionalidad zon'!$A$3,"PAIS/INDICADOR","belgica","AÑO",2010)</f>
        <v>73102</v>
      </c>
      <c r="D11" s="553">
        <f>GETPIVOTDATA("dato",'[1]tabla dinámica nacionalidad zon'!$A$36,"indicador","BÉLGICA","municipio","SANTA CRUZ","año",2010)</f>
        <v>340</v>
      </c>
      <c r="E11" s="553">
        <f>GETPIVOTDATA("dato",'[1]tabla dinámica nacionalidad zon'!$A$36,"indicador","BÉLGICA","municipio","PUERTO DE LA CRUZ","año",2010)</f>
        <v>1413</v>
      </c>
      <c r="F11" s="553">
        <f>GETPIVOTDATA("dato",'[1]tabla dinámica nacionalidad zon'!$A$36,"indicador","BÉLGICA","municipio","ADEJE","año",2010)</f>
        <v>38165</v>
      </c>
      <c r="G11" s="553">
        <f>GETPIVOTDATA("dato",'[1]tabla dinámica nacionalidad zon'!$A$36,"indicador","BÉLGICA","municipio","ARONA","año",2010)</f>
        <v>27963</v>
      </c>
    </row>
    <row r="12" spans="2:7">
      <c r="B12" s="552" t="s">
        <v>160</v>
      </c>
      <c r="C12" s="553">
        <f>GETPIVOTDATA("Suma de TOTAL GENERAL",'[1]tabla dinámica nacionalidad zon'!$A$3,"PAIS/INDICADOR","alemania","AÑO",2010)</f>
        <v>304899</v>
      </c>
      <c r="D12" s="553">
        <f>GETPIVOTDATA("dato",'[1]tabla dinámica nacionalidad zon'!$A$36,"indicador","ALEMANIA","municipio","SANTA CRUZ","año",2010)</f>
        <v>1950</v>
      </c>
      <c r="E12" s="553">
        <f>GETPIVOTDATA("dato",'[1]tabla dinámica nacionalidad zon'!$A$36,"indicador","ALEMANIA","municipio","PUERTO DE LA CRUZ","año",2010)</f>
        <v>75555</v>
      </c>
      <c r="F12" s="553">
        <f>GETPIVOTDATA("dato",'[1]tabla dinámica nacionalidad zon'!$A$36,"indicador","ALEMANIA","municipio","ADEJE","año",2010)</f>
        <v>132424</v>
      </c>
      <c r="G12" s="553">
        <f>GETPIVOTDATA("dato",'[1]tabla dinámica nacionalidad zon'!$A$36,"indicador","ALEMANIA","municipio","ARONA","año",2010)</f>
        <v>47521</v>
      </c>
    </row>
    <row r="13" spans="2:7">
      <c r="B13" s="552" t="s">
        <v>161</v>
      </c>
      <c r="C13" s="553">
        <f>GETPIVOTDATA("Suma de TOTAL GENERAL",'[1]tabla dinámica nacionalidad zon'!$A$3,"PAIS/INDICADOR","francia","AÑO",2010)</f>
        <v>67347</v>
      </c>
      <c r="D13" s="553">
        <f>GETPIVOTDATA("dato",'[1]tabla dinámica nacionalidad zon'!$A$36,"indicador","FRANCIA","municipio","SANTA CRUZ","año",2010)</f>
        <v>1375</v>
      </c>
      <c r="E13" s="553">
        <f>GETPIVOTDATA("dato",'[1]tabla dinámica nacionalidad zon'!$A$36,"indicador","FRANCIA","municipio","PUERTO DE LA CRUZ","año",2010)</f>
        <v>8822</v>
      </c>
      <c r="F13" s="553">
        <f>GETPIVOTDATA("dato",'[1]tabla dinámica nacionalidad zon'!$A$36,"indicador","FRANCIA","municipio","ADEJE","año",2010)</f>
        <v>24738</v>
      </c>
      <c r="G13" s="553">
        <f>GETPIVOTDATA("dato",'[1]tabla dinámica nacionalidad zon'!$A$36,"indicador","FRANCIA","municipio","ARONA","año",2010)</f>
        <v>17875</v>
      </c>
    </row>
    <row r="14" spans="2:7">
      <c r="B14" s="552" t="s">
        <v>162</v>
      </c>
      <c r="C14" s="553">
        <f>GETPIVOTDATA("Suma de TOTAL GENERAL",'[1]tabla dinámica nacionalidad zon'!$A$3,"PAIS/INDICADOR","reino unido","AÑO",2010)</f>
        <v>857504</v>
      </c>
      <c r="D14" s="553">
        <f>GETPIVOTDATA("dato",'[1]tabla dinámica nacionalidad zon'!$A$36,"indicador","REINO UNIDO","municipio","SANTA CRUZ","año",2010)</f>
        <v>1735</v>
      </c>
      <c r="E14" s="553">
        <f>GETPIVOTDATA("dato",'[1]tabla dinámica nacionalidad zon'!$A$36,"indicador","REINO UNIDO","municipio","PUERTO DE LA CRUZ","año",2010)</f>
        <v>25180</v>
      </c>
      <c r="F14" s="553">
        <f>GETPIVOTDATA("dato",'[1]tabla dinámica nacionalidad zon'!$A$36,"indicador","REINO UNIDO","municipio","ADEJE","año",2010)</f>
        <v>325181</v>
      </c>
      <c r="G14" s="553">
        <f>GETPIVOTDATA("dato",'[1]tabla dinámica nacionalidad zon'!$A$36,"indicador","REINO UNIDO","municipio","ARONA","año",2010)</f>
        <v>342556</v>
      </c>
    </row>
    <row r="15" spans="2:7">
      <c r="B15" s="552" t="s">
        <v>163</v>
      </c>
      <c r="C15" s="553">
        <f>GETPIVOTDATA("Suma de TOTAL GENERAL",'[1]tabla dinámica nacionalidad zon'!$A$3,"PAIS/INDICADOR","irlanda","AÑO",2010)</f>
        <v>43340</v>
      </c>
      <c r="D15" s="553">
        <f>GETPIVOTDATA("dato",'[1]tabla dinámica nacionalidad zon'!$A$36,"indicador","IRLANDA","municipio","SANTA CRUZ","año",2010)</f>
        <v>238</v>
      </c>
      <c r="E15" s="553">
        <f>GETPIVOTDATA("dato",'[1]tabla dinámica nacionalidad zon'!$A$36,"indicador","IRLANDA","municipio","PUERTO DE LA CRUZ","año",2010)</f>
        <v>944</v>
      </c>
      <c r="F15" s="553">
        <f>GETPIVOTDATA("dato",'[1]tabla dinámica nacionalidad zon'!$A$36,"indicador","IRLANDA","municipio","ADEJE","año",2010)</f>
        <v>15663</v>
      </c>
      <c r="G15" s="553">
        <f>GETPIVOTDATA("dato",'[1]tabla dinámica nacionalidad zon'!$A$36,"indicador","IRLANDA","municipio","ARONA","año",2010)</f>
        <v>23249</v>
      </c>
    </row>
    <row r="16" spans="2:7">
      <c r="B16" s="552" t="s">
        <v>164</v>
      </c>
      <c r="C16" s="553">
        <f>GETPIVOTDATA("Suma de TOTAL GENERAL",'[1]tabla dinámica nacionalidad zon'!$A$3,"PAIS/INDICADOR","italia","AÑO",2010)</f>
        <v>49894</v>
      </c>
      <c r="D16" s="553">
        <f>GETPIVOTDATA("dato",'[1]tabla dinámica nacionalidad zon'!$A$36,"indicador","ITALIA","municipio","SANTA CRUZ","año",2010)</f>
        <v>1493</v>
      </c>
      <c r="E16" s="553">
        <f>GETPIVOTDATA("dato",'[1]tabla dinámica nacionalidad zon'!$A$36,"indicador","ITALIA","municipio","PUERTO DE LA CRUZ","año",2010)</f>
        <v>2753</v>
      </c>
      <c r="F16" s="553">
        <f>GETPIVOTDATA("dato",'[1]tabla dinámica nacionalidad zon'!$A$36,"indicador","ITALIA","municipio","ADEJE","año",2010)</f>
        <v>23620</v>
      </c>
      <c r="G16" s="553">
        <f>GETPIVOTDATA("dato",'[1]tabla dinámica nacionalidad zon'!$A$36,"indicador","ITALIA","municipio","ARONA","año",2010)</f>
        <v>17079</v>
      </c>
    </row>
    <row r="17" spans="2:11">
      <c r="B17" s="552" t="s">
        <v>165</v>
      </c>
      <c r="C17" s="553">
        <f>SUM(C18:C21)</f>
        <v>213839</v>
      </c>
      <c r="D17" s="553">
        <f>SUM(D18:D21)</f>
        <v>917</v>
      </c>
      <c r="E17" s="553">
        <f>SUM(E18:E21)</f>
        <v>24366</v>
      </c>
      <c r="F17" s="553">
        <f>SUM(F18:F21)</f>
        <v>63579</v>
      </c>
      <c r="G17" s="553">
        <f>SUM(G18:G21)</f>
        <v>109944</v>
      </c>
    </row>
    <row r="18" spans="2:11">
      <c r="B18" s="554" t="s">
        <v>166</v>
      </c>
      <c r="C18" s="553">
        <f>GETPIVOTDATA("Suma de TOTAL GENERAL",'[1]tabla dinámica nacionalidad zon'!$A$3,"PAIS/INDICADOR","suecia","AÑO",2010)</f>
        <v>65837</v>
      </c>
      <c r="D18" s="553">
        <f>GETPIVOTDATA("dato",'[1]tabla dinámica nacionalidad zon'!$A$36,"indicador","SUECIA","municipio","SANTA CRUZ","año",2010)</f>
        <v>254</v>
      </c>
      <c r="E18" s="553">
        <f>GETPIVOTDATA("dato",'[1]tabla dinámica nacionalidad zon'!$A$36,"indicador","SUECIA","municipio","PUERTO DE LA CRUZ","año",2010)</f>
        <v>5491</v>
      </c>
      <c r="F18" s="553">
        <f>GETPIVOTDATA("dato",'[1]tabla dinámica nacionalidad zon'!$A$36,"indicador","SUECIA","municipio","ADEJE","año",2010)</f>
        <v>21624</v>
      </c>
      <c r="G18" s="553">
        <f>GETPIVOTDATA("dato",'[1]tabla dinámica nacionalidad zon'!$A$36,"indicador","SUECIA","municipio","ARONA","año",2010)</f>
        <v>33132</v>
      </c>
    </row>
    <row r="19" spans="2:11">
      <c r="B19" s="554" t="s">
        <v>167</v>
      </c>
      <c r="C19" s="553">
        <f>GETPIVOTDATA("Suma de TOTAL GENERAL",'[1]tabla dinámica nacionalidad zon'!$A$3,"PAIS/INDICADOR","noruega","AÑO",2010)</f>
        <v>44573</v>
      </c>
      <c r="D19" s="553">
        <f>GETPIVOTDATA("dato",'[1]tabla dinámica nacionalidad zon'!$A$36,"indicador","NORUEGA","municipio","SANTA CRUZ","año",2010)</f>
        <v>171</v>
      </c>
      <c r="E19" s="553">
        <f>GETPIVOTDATA("dato",'[1]tabla dinámica nacionalidad zon'!$A$36,"indicador","NORUEGA","municipio","PUERTO DE LA CRUZ","año",2010)</f>
        <v>2401</v>
      </c>
      <c r="F19" s="553">
        <f>GETPIVOTDATA("dato",'[1]tabla dinámica nacionalidad zon'!$A$36,"indicador","NORUEGA","municipio","ADEJE","año",2010)</f>
        <v>11874</v>
      </c>
      <c r="G19" s="553">
        <f>GETPIVOTDATA("dato",'[1]tabla dinámica nacionalidad zon'!$A$36,"indicador","NORUEGA","municipio","ARONA","año",2010)</f>
        <v>27788</v>
      </c>
    </row>
    <row r="20" spans="2:11">
      <c r="B20" s="554" t="s">
        <v>168</v>
      </c>
      <c r="C20" s="553">
        <f>GETPIVOTDATA("Suma de TOTAL GENERAL",'[1]tabla dinámica nacionalidad zon'!$A$3,"PAIS/INDICADOR","dinamarca","AÑO",2010)</f>
        <v>47456</v>
      </c>
      <c r="D20" s="553">
        <f>GETPIVOTDATA("dato",'[1]tabla dinámica nacionalidad zon'!$A$36,"indicador","DINAMARCA","municipio","SANTA CRUZ","año",2010)</f>
        <v>209</v>
      </c>
      <c r="E20" s="553">
        <f>GETPIVOTDATA("dato",'[1]tabla dinámica nacionalidad zon'!$A$36,"indicador","DINAMARCA","municipio","PUERTO DE LA CRUZ","año",2010)</f>
        <v>3361</v>
      </c>
      <c r="F20" s="553">
        <f>GETPIVOTDATA("dato",'[1]tabla dinámica nacionalidad zon'!$A$36,"indicador","DINAMARCA","municipio","ADEJE","año",2010)</f>
        <v>17803</v>
      </c>
      <c r="G20" s="553">
        <f>GETPIVOTDATA("dato",'[1]tabla dinámica nacionalidad zon'!$A$36,"indicador","DINAMARCA","municipio","ARONA","año",2010)</f>
        <v>22430</v>
      </c>
    </row>
    <row r="21" spans="2:11">
      <c r="B21" s="554" t="s">
        <v>169</v>
      </c>
      <c r="C21" s="553">
        <f>GETPIVOTDATA("Suma de TOTAL GENERAL",'[1]tabla dinámica nacionalidad zon'!$A$3,"PAIS/INDICADOR","finlandia","AÑO",2010)</f>
        <v>55973</v>
      </c>
      <c r="D21" s="553">
        <f>GETPIVOTDATA("dato",'[1]tabla dinámica nacionalidad zon'!$A$36,"indicador","FINLANDIA","municipio","SANTA CRUZ","año",2010)</f>
        <v>283</v>
      </c>
      <c r="E21" s="553">
        <f>GETPIVOTDATA("dato",'[1]tabla dinámica nacionalidad zon'!$A$36,"indicador","FINLANDIA","municipio","PUERTO DE LA CRUZ","año",2010)</f>
        <v>13113</v>
      </c>
      <c r="F21" s="553">
        <f>GETPIVOTDATA("dato",'[1]tabla dinámica nacionalidad zon'!$A$36,"indicador","FINLANDIA","municipio","ADEJE","año",2010)</f>
        <v>12278</v>
      </c>
      <c r="G21" s="553">
        <f>GETPIVOTDATA("dato",'[1]tabla dinámica nacionalidad zon'!$A$36,"indicador","FINLANDIA","municipio","ARONA","año",2010)</f>
        <v>26594</v>
      </c>
    </row>
    <row r="22" spans="2:11">
      <c r="B22" s="552" t="s">
        <v>170</v>
      </c>
      <c r="C22" s="553">
        <f>GETPIVOTDATA("Suma de TOTAL GENERAL",'[1]tabla dinámica nacionalidad zon'!$A$3,"PAIS/INDICADOR","suiza","AÑO",2010)</f>
        <v>17208</v>
      </c>
      <c r="D22" s="553">
        <f>GETPIVOTDATA("dato",'[1]tabla dinámica nacionalidad zon'!$A$36,"indicador","SUIZA","municipio","SANTA CRUZ","año",2010)</f>
        <v>309</v>
      </c>
      <c r="E22" s="553">
        <f>GETPIVOTDATA("dato",'[1]tabla dinámica nacionalidad zon'!$A$36,"indicador","SUIZA","municipio","PUERTO DE LA CRUZ","año",2010)</f>
        <v>1491</v>
      </c>
      <c r="F22" s="553">
        <f>GETPIVOTDATA("dato",'[1]tabla dinámica nacionalidad zon'!$A$36,"indicador","SUIZA","municipio","ADEJE","año",2010)</f>
        <v>7338</v>
      </c>
      <c r="G22" s="553">
        <f>GETPIVOTDATA("dato",'[1]tabla dinámica nacionalidad zon'!$A$36,"indicador","SUIZA","municipio","ARONA","año",2010)</f>
        <v>5742</v>
      </c>
    </row>
    <row r="23" spans="2:11">
      <c r="B23" s="552" t="s">
        <v>171</v>
      </c>
      <c r="C23" s="553">
        <f>GETPIVOTDATA("Suma de TOTAL GENERAL",'[1]tabla dinámica nacionalidad zon'!$A$3,"PAIS/INDICADOR","austria","AÑO",2010)</f>
        <v>17168</v>
      </c>
      <c r="D23" s="553">
        <f>GETPIVOTDATA("dato",'[1]tabla dinámica nacionalidad zon'!$A$36,"indicador","AUSTRIA","municipio","SANTA CRUZ","año",2010)</f>
        <v>201</v>
      </c>
      <c r="E23" s="553">
        <f>GETPIVOTDATA("dato",'[1]tabla dinámica nacionalidad zon'!$A$36,"indicador","AUSTRIA","municipio","PUERTO DE LA CRUZ","año",2010)</f>
        <v>2295</v>
      </c>
      <c r="F23" s="553">
        <f>GETPIVOTDATA("dato",'[1]tabla dinámica nacionalidad zon'!$A$36,"indicador","AUSTRIA","municipio","ADEJE","año",2010)</f>
        <v>8031</v>
      </c>
      <c r="G23" s="553">
        <f>GETPIVOTDATA("dato",'[1]tabla dinámica nacionalidad zon'!$A$36,"indicador","AUSTRIA","municipio","ARONA","año",2010)</f>
        <v>4869</v>
      </c>
    </row>
    <row r="24" spans="2:11">
      <c r="B24" s="552" t="s">
        <v>172</v>
      </c>
      <c r="C24" s="553">
        <f>GETPIVOTDATA("Suma de TOTAL GENERAL",'[1]tabla dinámica nacionalidad zon'!$A$3,"PAIS/INDICADOR","rusia","AÑO",2010)</f>
        <v>44000</v>
      </c>
      <c r="D24" s="553">
        <f>GETPIVOTDATA("dato",'[1]tabla dinámica nacionalidad zon'!$A$36,"indicador","RUSIA","municipio","SANTA CRUZ","año",2010)</f>
        <v>247</v>
      </c>
      <c r="E24" s="553">
        <f>GETPIVOTDATA("dato",'[1]tabla dinámica nacionalidad zon'!$A$36,"indicador","RUSIA","municipio","PUERTO DE LA CRUZ","año",2010)</f>
        <v>825</v>
      </c>
      <c r="F24" s="553">
        <f>GETPIVOTDATA("dato",'[1]tabla dinámica nacionalidad zon'!$A$36,"indicador","RUSIA","municipio","ADEJE","año",2010)</f>
        <v>27631</v>
      </c>
      <c r="G24" s="553">
        <f>GETPIVOTDATA("dato",'[1]tabla dinámica nacionalidad zon'!$A$36,"indicador","RUSIA","municipio","ARONA","año",2010)</f>
        <v>10139</v>
      </c>
    </row>
    <row r="25" spans="2:11">
      <c r="B25" s="552" t="s">
        <v>173</v>
      </c>
      <c r="C25" s="553">
        <f>GETPIVOTDATA("Suma de TOTAL GENERAL",'[1]tabla dinámica nacionalidad zon'!$A$3,"PAIS/INDICADOR","paises del este","AÑO",2010)</f>
        <v>44447</v>
      </c>
      <c r="D25" s="553">
        <f>GETPIVOTDATA("dato",'[1]tabla dinámica nacionalidad zon'!$A$36,"indicador","PAÍSES DEL ESTE","municipio","SANTA CRUZ","año",2010)</f>
        <v>468</v>
      </c>
      <c r="E25" s="553">
        <f>GETPIVOTDATA("dato",'[1]tabla dinámica nacionalidad zon'!$A$36,"indicador","PAÍSES DEL ESTE","municipio","PUERTO DE LA CRUZ","año",2010)</f>
        <v>1245</v>
      </c>
      <c r="F25" s="553">
        <f>GETPIVOTDATA("dato",'[1]tabla dinámica nacionalidad zon'!$A$36,"indicador","PAÍSES DEL ESTE","municipio","ADEJE","año",2010)</f>
        <v>26764</v>
      </c>
      <c r="G25" s="553">
        <f>GETPIVOTDATA("dato",'[1]tabla dinámica nacionalidad zon'!$A$36,"indicador","PAÍSES DEL ESTE","municipio","ARONA","año",2010)</f>
        <v>11840</v>
      </c>
    </row>
    <row r="26" spans="2:11">
      <c r="B26" s="552" t="s">
        <v>174</v>
      </c>
      <c r="C26" s="553">
        <f>GETPIVOTDATA("Suma de TOTAL GENERAL",'[1]tabla dinámica nacionalidad zon'!$A$3,"PAIS/INDICADOR","resto de europa","AÑO",2010)</f>
        <v>48269</v>
      </c>
      <c r="D26" s="553">
        <f>GETPIVOTDATA("dato",'[1]tabla dinámica nacionalidad zon'!$A$36,"indicador","RESTO DE EUROPA","municipio","SANTA CRUZ","año",2010)</f>
        <v>984</v>
      </c>
      <c r="E26" s="553">
        <f>GETPIVOTDATA("dato",'[1]tabla dinámica nacionalidad zon'!$A$36,"indicador","RESTO DE EUROPA","municipio","PUERTO DE LA CRUZ","año",2010)</f>
        <v>4268</v>
      </c>
      <c r="F26" s="553">
        <f>GETPIVOTDATA("dato",'[1]tabla dinámica nacionalidad zon'!$A$36,"indicador","RESTO DE EUROPA","municipio","ADEJE","año",2010)</f>
        <v>23752</v>
      </c>
      <c r="G26" s="553">
        <f>GETPIVOTDATA("dato",'[1]tabla dinámica nacionalidad zon'!$A$36,"indicador","RESTO DE EUROPA","municipio","ARONA","año",2010)</f>
        <v>12587</v>
      </c>
    </row>
    <row r="27" spans="2:11">
      <c r="B27" s="552" t="s">
        <v>175</v>
      </c>
      <c r="C27" s="553">
        <f>GETPIVOTDATA("Suma de TOTAL GENERAL",'[1]tabla dinámica nacionalidad zon'!$A$3,"PAIS/INDICADOR","usa","AÑO",2010)</f>
        <v>7862</v>
      </c>
      <c r="D27" s="553">
        <f>GETPIVOTDATA("dato",'[1]tabla dinámica nacionalidad zon'!$A$36,"indicador","USA","municipio","SANTA CRUZ","año",2010)</f>
        <v>786</v>
      </c>
      <c r="E27" s="553">
        <f>GETPIVOTDATA("dato",'[1]tabla dinámica nacionalidad zon'!$A$36,"indicador","USA","municipio","PUERTO DE LA CRUZ","año",2010)</f>
        <v>1315</v>
      </c>
      <c r="F27" s="553">
        <f>GETPIVOTDATA("dato",'[1]tabla dinámica nacionalidad zon'!$A$36,"indicador","USA","municipio","ADEJE","año",2010)</f>
        <v>1920</v>
      </c>
      <c r="G27" s="553">
        <f>GETPIVOTDATA("dato",'[1]tabla dinámica nacionalidad zon'!$A$36,"indicador","USA","municipio","ARONA","año",2010)</f>
        <v>1719</v>
      </c>
    </row>
    <row r="28" spans="2:11">
      <c r="B28" s="552" t="s">
        <v>176</v>
      </c>
      <c r="C28" s="553">
        <f>GETPIVOTDATA("Suma de TOTAL GENERAL",'[1]tabla dinámica nacionalidad zon'!$A$3,"PAIS/INDICADOR","resto de america","AÑO",2010)</f>
        <v>11078</v>
      </c>
      <c r="D28" s="553">
        <f>GETPIVOTDATA("dato",'[1]tabla dinámica nacionalidad zon'!$A$36,"indicador","RESTO DE AMÉRICA","municipio","SANTA CRUZ","año",2010)</f>
        <v>2741</v>
      </c>
      <c r="E28" s="553">
        <f>GETPIVOTDATA("dato",'[1]tabla dinámica nacionalidad zon'!$A$36,"indicador","RESTO DE AMÉRICA","municipio","PUERTO DE LA CRUZ","año",2010)</f>
        <v>2693</v>
      </c>
      <c r="F28" s="553">
        <f>GETPIVOTDATA("dato",'[1]tabla dinámica nacionalidad zon'!$A$36,"indicador","RESTO DE AMÉRICA","municipio","ADEJE","año",2010)</f>
        <v>1682</v>
      </c>
      <c r="G28" s="553">
        <f>GETPIVOTDATA("dato",'[1]tabla dinámica nacionalidad zon'!$A$36,"indicador","RESTO DE AMÉRICA","municipio","ARONA","año",2010)</f>
        <v>1958</v>
      </c>
    </row>
    <row r="29" spans="2:11" ht="12.75">
      <c r="B29" s="555" t="s">
        <v>177</v>
      </c>
      <c r="C29" s="553">
        <f>GETPIVOTDATA("Suma de TOTAL GENERAL",'[1]tabla dinámica nacionalidad zon'!$A$3,"PAIS/INDICADOR","resto del mundo","AÑO",2010)</f>
        <v>35023</v>
      </c>
      <c r="D29" s="553">
        <f>GETPIVOTDATA("dato",'[1]tabla dinámica nacionalidad zon'!$A$36,"indicador","RESTO DEL MUNDO","municipio","SANTA CRUZ","año",2010)</f>
        <v>2153</v>
      </c>
      <c r="E29" s="553">
        <f>GETPIVOTDATA("dato",'[1]tabla dinámica nacionalidad zon'!$A$36,"indicador","RESTO DEL MUNDO","municipio","PUERTO DE LA CRUZ","año",2010)</f>
        <v>2749</v>
      </c>
      <c r="F29" s="553">
        <f>GETPIVOTDATA("dato",'[1]tabla dinámica nacionalidad zon'!$A$36,"indicador","RESTO DEL MUNDO","municipio","ADEJE","año",2010)</f>
        <v>6784</v>
      </c>
      <c r="G29" s="553">
        <f>GETPIVOTDATA("dato",'[1]tabla dinámica nacionalidad zon'!$A$36,"indicador","RESTO DEL MUNDO","municipio","ARONA","año",2010)</f>
        <v>7501</v>
      </c>
    </row>
    <row r="30" spans="2:11" ht="12.75">
      <c r="B30" s="274" t="s">
        <v>330</v>
      </c>
      <c r="C30" s="556">
        <f>C31-C9</f>
        <v>1915446</v>
      </c>
      <c r="D30" s="556">
        <f t="shared" ref="D30:G30" si="0">D31-D9</f>
        <v>16443</v>
      </c>
      <c r="E30" s="556">
        <f t="shared" si="0"/>
        <v>157672</v>
      </c>
      <c r="F30" s="556">
        <f t="shared" si="0"/>
        <v>761165</v>
      </c>
      <c r="G30" s="556">
        <f t="shared" si="0"/>
        <v>680243</v>
      </c>
    </row>
    <row r="31" spans="2:11">
      <c r="B31" s="557" t="s">
        <v>105</v>
      </c>
      <c r="C31" s="558">
        <f>GETPIVOTDATA("Suma de TOTAL GENERAL",'[1]tabla dinámica nacionalidad zon'!$A$3,"PAIS/INDICADOR","TOTAL","AÑO",2010)</f>
        <v>2766193</v>
      </c>
      <c r="D31" s="558">
        <f>GETPIVOTDATA("dato",'[1]tabla dinámica nacionalidad zon'!$A$36,"indicador","TOTAL","municipio","SANTA CRUZ","año",2010)</f>
        <v>92816</v>
      </c>
      <c r="E31" s="558">
        <f>GETPIVOTDATA("dato",'[1]tabla dinámica nacionalidad zon'!$A$36,"indicador","TOTAL","municipio","PUERTO DE LA CRUZ","año",2010)</f>
        <v>415019</v>
      </c>
      <c r="F31" s="558">
        <f>GETPIVOTDATA("dato",'[1]tabla dinámica nacionalidad zon'!$A$36,"indicador","TOTAL","municipio","ADEJE","año",2010)</f>
        <v>978683</v>
      </c>
      <c r="G31" s="558">
        <f>GETPIVOTDATA("dato",'[1]tabla dinámica nacionalidad zon'!$A$36,"indicador","TOTAL","municipio","ARONA","año",2010)</f>
        <v>818429</v>
      </c>
      <c r="H31" s="294"/>
      <c r="I31" s="294"/>
      <c r="J31" s="294"/>
      <c r="K31" s="294"/>
    </row>
    <row r="32" spans="2:11" ht="24" customHeight="1">
      <c r="B32" s="559" t="s">
        <v>212</v>
      </c>
      <c r="C32" s="560"/>
      <c r="D32" s="560"/>
      <c r="E32" s="560"/>
      <c r="F32" s="560"/>
      <c r="G32" s="561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C1:G26"/>
  <sheetViews>
    <sheetView showGridLines="0" showRowColHeaders="0" zoomScaleNormal="100" workbookViewId="0">
      <selection activeCell="I13" sqref="I13"/>
    </sheetView>
  </sheetViews>
  <sheetFormatPr baseColWidth="10" defaultRowHeight="15"/>
  <cols>
    <col min="1" max="1" width="15.85546875" customWidth="1"/>
    <col min="3" max="3" width="22" customWidth="1"/>
  </cols>
  <sheetData>
    <row r="1" spans="3:7" ht="30.75" customHeight="1"/>
    <row r="2" spans="3:7" ht="33" customHeight="1"/>
    <row r="3" spans="3:7" ht="36" customHeight="1">
      <c r="C3" s="73" t="s">
        <v>72</v>
      </c>
      <c r="D3" s="74"/>
      <c r="E3" s="74"/>
      <c r="F3" s="74"/>
      <c r="G3" s="74"/>
    </row>
    <row r="4" spans="3:7">
      <c r="C4" s="86"/>
      <c r="D4" s="86" t="s">
        <v>73</v>
      </c>
      <c r="E4" s="87" t="s">
        <v>74</v>
      </c>
      <c r="F4" s="87" t="s">
        <v>75</v>
      </c>
      <c r="G4" s="87" t="s">
        <v>76</v>
      </c>
    </row>
    <row r="5" spans="3:7">
      <c r="C5" s="88" t="s">
        <v>67</v>
      </c>
      <c r="D5" s="79">
        <f>GETPIVOTDATA("dato",'[1] turistas por Temporada'!$A$5,"mes",10,"año",2006)</f>
        <v>15731</v>
      </c>
      <c r="E5" s="79">
        <f>GETPIVOTDATA("dato",'[1] turistas por Temporada'!$A$5,"mes",10,"año",2007)</f>
        <v>17346</v>
      </c>
      <c r="F5" s="79">
        <f>GETPIVOTDATA("dato",'[1] turistas por Temporada'!$A$5,"mes",10,"año",2008)</f>
        <v>18706</v>
      </c>
      <c r="G5" s="79">
        <f>GETPIVOTDATA("dato",'[1] turistas por Temporada'!$A$5,"mes",10,"año",2009)</f>
        <v>12809</v>
      </c>
    </row>
    <row r="6" spans="3:7">
      <c r="C6" s="89" t="s">
        <v>68</v>
      </c>
      <c r="D6" s="52">
        <f>GETPIVOTDATA("dato",'[1] turistas por Temporada'!$A$5,"mes",11,"año",2006)</f>
        <v>18087</v>
      </c>
      <c r="E6" s="52">
        <f>GETPIVOTDATA("dato",'[1] turistas por Temporada'!$A$5,"mes",11,"año",2007)</f>
        <v>18909</v>
      </c>
      <c r="F6" s="52">
        <f>GETPIVOTDATA("dato",'[1] turistas por Temporada'!$A$5,"mes",11,"año",2008)</f>
        <v>17843</v>
      </c>
      <c r="G6" s="52">
        <f>GETPIVOTDATA("dato",'[1] turistas por Temporada'!$A$5,"mes",11,"año",2009)</f>
        <v>13990</v>
      </c>
    </row>
    <row r="7" spans="3:7">
      <c r="C7" s="89" t="s">
        <v>69</v>
      </c>
      <c r="D7" s="52">
        <f>GETPIVOTDATA("dato",'[1] turistas por Temporada'!$A$5,"mes",12,"año",2006)</f>
        <v>16829</v>
      </c>
      <c r="E7" s="52">
        <f>GETPIVOTDATA("dato",'[1] turistas por Temporada'!$A$5,"mes",12,"año",2007)</f>
        <v>16894</v>
      </c>
      <c r="F7" s="52">
        <f>GETPIVOTDATA("dato",'[1] turistas por Temporada'!$A$5,"mes",12,"año",2008)</f>
        <v>16132</v>
      </c>
      <c r="G7" s="52">
        <f>GETPIVOTDATA("dato",'[1] turistas por Temporada'!$A$5,"mes",12,"año",2009)</f>
        <v>13086</v>
      </c>
    </row>
    <row r="8" spans="3:7">
      <c r="C8" s="89" t="s">
        <v>58</v>
      </c>
      <c r="D8" s="52">
        <f>GETPIVOTDATA("dato",'[1] turistas por Temporada'!$A$5,"mes",1,"año",2007)</f>
        <v>14507</v>
      </c>
      <c r="E8" s="52">
        <f>GETPIVOTDATA("dato",'[1] turistas por Temporada'!$A$5,"mes",1,"año",2008)</f>
        <v>16982</v>
      </c>
      <c r="F8" s="52">
        <f>GETPIVOTDATA("dato",'[1] turistas por Temporada'!$A$5,"mes",1,"año",2009)</f>
        <v>13570</v>
      </c>
      <c r="G8" s="52">
        <f>GETPIVOTDATA("dato",'[1] turistas por Temporada'!$A$5,"mes",1,"año",2010)</f>
        <v>13188</v>
      </c>
    </row>
    <row r="9" spans="3:7">
      <c r="C9" s="89" t="s">
        <v>59</v>
      </c>
      <c r="D9" s="52">
        <f>GETPIVOTDATA("dato",'[1] turistas por Temporada'!$A$5,"mes",2,"año",2007)</f>
        <v>15222</v>
      </c>
      <c r="E9" s="52">
        <f>GETPIVOTDATA("dato",'[1] turistas por Temporada'!$A$5,"mes",2,"año",2008)</f>
        <v>19355</v>
      </c>
      <c r="F9" s="52">
        <f>GETPIVOTDATA("dato",'[1] turistas por Temporada'!$A$5,"mes",2,"año",2009)</f>
        <v>15172</v>
      </c>
      <c r="G9" s="52">
        <f>GETPIVOTDATA("dato",'[1] turistas por Temporada'!$A$5,"mes",2,"año",2010)</f>
        <v>16759</v>
      </c>
    </row>
    <row r="10" spans="3:7">
      <c r="C10" s="89" t="s">
        <v>60</v>
      </c>
      <c r="D10" s="52">
        <f>GETPIVOTDATA("dato",'[1] turistas por Temporada'!$A$5,"mes",3,"año",2007)</f>
        <v>19006</v>
      </c>
      <c r="E10" s="52">
        <f>GETPIVOTDATA("dato",'[1] turistas por Temporada'!$A$5,"mes",3,"año",2008)</f>
        <v>16551</v>
      </c>
      <c r="F10" s="52">
        <f>GETPIVOTDATA("dato",'[1] turistas por Temporada'!$A$5,"mes",3,"año",2009)</f>
        <v>15653</v>
      </c>
      <c r="G10" s="52">
        <f>GETPIVOTDATA("dato",'[1] turistas por Temporada'!$A$5,"mes",3,"año",2010)</f>
        <v>14574</v>
      </c>
    </row>
    <row r="11" spans="3:7">
      <c r="C11" s="89" t="s">
        <v>46</v>
      </c>
      <c r="D11" s="52">
        <f>GETPIVOTDATA("dato",'[1] turistas por Temporada'!$A$5,"mes",4,"año",2007)</f>
        <v>15492</v>
      </c>
      <c r="E11" s="52">
        <f>GETPIVOTDATA("dato",'[1] turistas por Temporada'!$A$5,"mes",4,"año",2008)</f>
        <v>17593</v>
      </c>
      <c r="F11" s="52">
        <f>GETPIVOTDATA("dato",'[1] turistas por Temporada'!$A$5,"mes",4,"año",2009)</f>
        <v>13079</v>
      </c>
      <c r="G11" s="52">
        <f>GETPIVOTDATA("dato",'[1] turistas por Temporada'!$A$5,"mes",4,"año",2010)</f>
        <v>12595</v>
      </c>
    </row>
    <row r="12" spans="3:7">
      <c r="C12" s="90" t="s">
        <v>77</v>
      </c>
      <c r="D12" s="91">
        <f>SUM(D5:D11)</f>
        <v>114874</v>
      </c>
      <c r="E12" s="91">
        <f>SUM(E5:E11)</f>
        <v>123630</v>
      </c>
      <c r="F12" s="91">
        <f>SUM(F5:F11)</f>
        <v>110155</v>
      </c>
      <c r="G12" s="91">
        <f>SUM(G5:G11)</f>
        <v>97001</v>
      </c>
    </row>
    <row r="13" spans="3:7">
      <c r="C13" s="92" t="s">
        <v>21</v>
      </c>
      <c r="D13" s="93"/>
      <c r="E13" s="93">
        <f>E12/D12-1</f>
        <v>7.6222643940317303E-2</v>
      </c>
      <c r="F13" s="93">
        <f>F12/E12-1</f>
        <v>-0.10899458060341338</v>
      </c>
      <c r="G13" s="93">
        <f>G12/F12-1</f>
        <v>-0.11941355362897732</v>
      </c>
    </row>
    <row r="14" spans="3:7" ht="15" customHeight="1">
      <c r="C14" s="83" t="s">
        <v>78</v>
      </c>
      <c r="D14" s="84"/>
      <c r="E14" s="84"/>
      <c r="F14" s="84"/>
      <c r="G14" s="85"/>
    </row>
    <row r="17" spans="3:7" ht="39.75" customHeight="1">
      <c r="C17" s="94" t="s">
        <v>79</v>
      </c>
      <c r="D17" s="95"/>
      <c r="E17" s="95"/>
      <c r="F17" s="95"/>
      <c r="G17" s="95"/>
    </row>
    <row r="18" spans="3:7">
      <c r="C18" s="86"/>
      <c r="D18" s="87">
        <v>2007</v>
      </c>
      <c r="E18" s="87">
        <v>2008</v>
      </c>
      <c r="F18" s="86">
        <v>2009</v>
      </c>
      <c r="G18" s="86">
        <v>2010</v>
      </c>
    </row>
    <row r="19" spans="3:7" hidden="1">
      <c r="C19" s="88" t="s">
        <v>62</v>
      </c>
      <c r="D19" s="79" t="e">
        <f>GETPIVOTDATA("TOTAL GENERAL",'[1] turistas por Temporada'!#REF!,"MES","Mayo","AÑO",2007)</f>
        <v>#REF!</v>
      </c>
      <c r="E19" s="79" t="e">
        <f>GETPIVOTDATA("TOTAL GENERAL",'[1] turistas por Temporada'!#REF!,"MES","Mayo","AÑO",2008)</f>
        <v>#REF!</v>
      </c>
      <c r="F19" s="79" t="e">
        <f>GETPIVOTDATA("TOTAL GENERAL",'[1] turistas por Temporada'!#REF!,"MES","Mayo","AÑO",2009)</f>
        <v>#REF!</v>
      </c>
      <c r="G19" s="79" t="e">
        <f>GETPIVOTDATA("TOTAL GENERAL",'[1] turistas por Temporada'!#REF!,"MES","Mayo","AÑO",2009)</f>
        <v>#REF!</v>
      </c>
    </row>
    <row r="20" spans="3:7">
      <c r="C20" s="89" t="s">
        <v>63</v>
      </c>
      <c r="D20" s="52">
        <f>GETPIVOTDATA("dato",'[1] turistas por Temporada'!$A$5,"mes",6,"año",2007)</f>
        <v>13171</v>
      </c>
      <c r="E20" s="52">
        <f>GETPIVOTDATA("dato",'[1] turistas por Temporada'!$A$5,"mes",6,"año",2008)</f>
        <v>15440</v>
      </c>
      <c r="F20" s="52">
        <f>GETPIVOTDATA("dato",'[1] turistas por Temporada'!$A$5,"mes",6,"año",2009)</f>
        <v>12750</v>
      </c>
      <c r="G20" s="52">
        <f>GETPIVOTDATA("dato",'[1] turistas por Temporada'!$A$5,"mes",6,"año",2010)</f>
        <v>12682</v>
      </c>
    </row>
    <row r="21" spans="3:7">
      <c r="C21" s="89" t="s">
        <v>64</v>
      </c>
      <c r="D21" s="52">
        <f>GETPIVOTDATA("dato",'[1] turistas por Temporada'!$A$5,"mes",7,"año",2007)</f>
        <v>14360</v>
      </c>
      <c r="E21" s="52">
        <f>GETPIVOTDATA("dato",'[1] turistas por Temporada'!$A$5,"mes",7,"año",2008)</f>
        <v>16337</v>
      </c>
      <c r="F21" s="52">
        <f>GETPIVOTDATA("dato",'[1] turistas por Temporada'!$A$5,"mes",7,"año",2009)</f>
        <v>11890</v>
      </c>
      <c r="G21" s="52">
        <f>GETPIVOTDATA("dato",'[1] turistas por Temporada'!$A$5,"mes",7,"año",2010)</f>
        <v>10611</v>
      </c>
    </row>
    <row r="22" spans="3:7">
      <c r="C22" s="89" t="s">
        <v>65</v>
      </c>
      <c r="D22" s="52">
        <f>GETPIVOTDATA("dato",'[1] turistas por Temporada'!$A$5,"mes",8,"año",2007)</f>
        <v>9967</v>
      </c>
      <c r="E22" s="52">
        <f>GETPIVOTDATA("dato",'[1] turistas por Temporada'!$A$5,"mes",8,"año",2008)</f>
        <v>12308</v>
      </c>
      <c r="F22" s="52">
        <f>GETPIVOTDATA("dato",'[1] turistas por Temporada'!$A$5,"mes",8,"año",2009)</f>
        <v>7777</v>
      </c>
      <c r="G22" s="52">
        <f>GETPIVOTDATA("dato",'[1] turistas por Temporada'!$A$5,"mes",8,"año",2010)</f>
        <v>0</v>
      </c>
    </row>
    <row r="23" spans="3:7">
      <c r="C23" s="96" t="s">
        <v>66</v>
      </c>
      <c r="D23" s="52">
        <f>GETPIVOTDATA("dato",'[1] turistas por Temporada'!$A$5,"mes",9,"año",2007)</f>
        <v>14065</v>
      </c>
      <c r="E23" s="52">
        <f>GETPIVOTDATA("dato",'[1] turistas por Temporada'!$A$5,"mes",9,"año",2008)</f>
        <v>15134</v>
      </c>
      <c r="F23" s="52">
        <f>GETPIVOTDATA("dato",'[1] turistas por Temporada'!$A$5,"mes",9,"año",2009)</f>
        <v>11123</v>
      </c>
      <c r="G23" s="52">
        <f>GETPIVOTDATA("dato",'[1] turistas por Temporada'!$A$5,"mes",9,"año",2010)</f>
        <v>0</v>
      </c>
    </row>
    <row r="24" spans="3:7">
      <c r="C24" s="90" t="s">
        <v>80</v>
      </c>
      <c r="D24" s="91">
        <f>SUM(D20:D23)</f>
        <v>51563</v>
      </c>
      <c r="E24" s="91">
        <f>SUM(E20:E23)</f>
        <v>59219</v>
      </c>
      <c r="F24" s="91">
        <f>SUM(F20:F23)</f>
        <v>43540</v>
      </c>
      <c r="G24" s="91">
        <f>SUM(G20:G23)</f>
        <v>23293</v>
      </c>
    </row>
    <row r="25" spans="3:7">
      <c r="C25" s="92" t="s">
        <v>21</v>
      </c>
      <c r="D25" s="97"/>
      <c r="E25" s="93">
        <f>E24/D24-1</f>
        <v>0.14847856020790107</v>
      </c>
      <c r="F25" s="93">
        <f>F24/E24-1</f>
        <v>-0.26476299836201223</v>
      </c>
      <c r="G25" s="93"/>
    </row>
    <row r="26" spans="3:7" ht="15" customHeight="1">
      <c r="C26" s="83" t="s">
        <v>78</v>
      </c>
      <c r="D26" s="84"/>
      <c r="E26" s="84"/>
      <c r="F26" s="84"/>
      <c r="G26" s="85"/>
    </row>
  </sheetData>
  <mergeCells count="4">
    <mergeCell ref="C3:G3"/>
    <mergeCell ref="C14:G14"/>
    <mergeCell ref="C17:G17"/>
    <mergeCell ref="C26:G2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145">
    <tabColor rgb="FF000099"/>
    <pageSetUpPr fitToPage="1"/>
  </sheetPr>
  <dimension ref="B5:G31"/>
  <sheetViews>
    <sheetView showGridLines="0" showRowColHeaders="0" zoomScaleNormal="100" workbookViewId="0">
      <selection activeCell="I13" sqref="I13"/>
    </sheetView>
  </sheetViews>
  <sheetFormatPr baseColWidth="10" defaultRowHeight="15"/>
  <cols>
    <col min="1" max="1" width="15.42578125" customWidth="1"/>
    <col min="2" max="2" width="25.28515625" customWidth="1"/>
    <col min="3" max="3" width="12" bestFit="1" customWidth="1"/>
    <col min="5" max="5" width="11.5703125" bestFit="1" customWidth="1"/>
    <col min="6" max="7" width="12" bestFit="1" customWidth="1"/>
  </cols>
  <sheetData>
    <row r="5" spans="2:7" ht="25.5" customHeight="1">
      <c r="B5" s="542" t="s">
        <v>331</v>
      </c>
      <c r="C5" s="543"/>
      <c r="D5" s="543"/>
      <c r="E5" s="543"/>
      <c r="F5" s="543"/>
      <c r="G5" s="544"/>
    </row>
    <row r="6" spans="2:7">
      <c r="B6" s="296" t="str">
        <f>actualizaciones!$A$2</f>
        <v xml:space="preserve">acumulado julio 2010 </v>
      </c>
      <c r="C6" s="297"/>
      <c r="D6" s="297"/>
      <c r="E6" s="297"/>
      <c r="F6" s="297"/>
      <c r="G6" s="545"/>
    </row>
    <row r="7" spans="2:7" ht="24">
      <c r="B7" s="546" t="s">
        <v>155</v>
      </c>
      <c r="C7" s="547" t="s">
        <v>92</v>
      </c>
      <c r="D7" s="548" t="s">
        <v>89</v>
      </c>
      <c r="E7" s="548" t="s">
        <v>303</v>
      </c>
      <c r="F7" s="549" t="s">
        <v>329</v>
      </c>
      <c r="G7" s="549" t="s">
        <v>302</v>
      </c>
    </row>
    <row r="8" spans="2:7">
      <c r="B8" s="550" t="s">
        <v>156</v>
      </c>
      <c r="C8" s="562">
        <f>GETPIVOTDATA("Suma de TOTAL GENERAL",'[1]tabla dinámica nacionalidad zon'!$A$3,"PAIS/INDICADOR","ESPAÑA","AÑO","2010")/GETPIVOTDATA("Suma de TOTAL GENERAL",'[1]tabla dinámica nacionalidad zon'!$A$3,"PAIS/INDICADOR","ESPAÑA","AÑO","2009")-1</f>
        <v>6.7214356859173652E-2</v>
      </c>
      <c r="D8" s="562">
        <f>GETPIVOTDATA("dato",'[1]tabla dinámica nacionalidad zon'!$A$36,"indicador","España","municipio","SANTA CRUZ","año",2010)/GETPIVOTDATA("dato",'[1]tabla dinámica nacionalidad zon'!$A$36,"indicador","España","municipio","SANTA CRUZ","año",2009)-1</f>
        <v>-4.258493167857591E-2</v>
      </c>
      <c r="E8" s="562">
        <f>GETPIVOTDATA("dato",'[1]tabla dinámica nacionalidad zon'!$A$36,"indicador","España","municipio","PUERTO DE LA CRUZ","año",2010)/GETPIVOTDATA("dato",'[1]tabla dinámica nacionalidad zon'!$A$36,"indicador","España","municipio","PUERTO DE LA CRUZ","año",2009)-1</f>
        <v>-2.6704940848990999E-2</v>
      </c>
      <c r="F8" s="562">
        <f>GETPIVOTDATA("dato",'[1]tabla dinámica nacionalidad zon'!$A$36,"indicador","España","municipio","ADEJE","año",2010)/GETPIVOTDATA("dato",'[1]tabla dinámica nacionalidad zon'!$A$36,"indicador","España","municipio","ADEJE","año",2009)-1</f>
        <v>0.12687862319779097</v>
      </c>
      <c r="G8" s="562">
        <f>GETPIVOTDATA("dato",'[1]tabla dinámica nacionalidad zon'!$A$36,"indicador","España","municipio","ARONA","año",2010)/GETPIVOTDATA("dato",'[1]tabla dinámica nacionalidad zon'!$A$36,"indicador","España","municipio","ARONA","año",2009)-1</f>
        <v>0.14330865014685812</v>
      </c>
    </row>
    <row r="9" spans="2:7">
      <c r="B9" s="552" t="s">
        <v>158</v>
      </c>
      <c r="C9" s="563">
        <f>GETPIVOTDATA("Suma de TOTAL GENERAL",'[1]tabla dinámica nacionalidad zon'!$A$3,"PAIS/INDICADOR","HOLANDA","AÑO","2010")/GETPIVOTDATA("Suma de TOTAL GENERAL",'[1]tabla dinámica nacionalidad zon'!$A$3,"PAIS/INDICADOR","HOLANDA","AÑO","2009")-1</f>
        <v>-4.3369712532990934E-2</v>
      </c>
      <c r="D9" s="563">
        <f>GETPIVOTDATA("dato",'[1]tabla dinámica nacionalidad zon'!$A$36,"indicador","HOLANDA","municipio","SANTA CRUZ","año",2010)/GETPIVOTDATA("dato",'[1]tabla dinámica nacionalidad zon'!$A$36,"indicador","HOLANDA","municipio","SANTA CRUZ","año",2009)-1</f>
        <v>0.27777777777777768</v>
      </c>
      <c r="E9" s="563">
        <f>GETPIVOTDATA("dato",'[1]tabla dinámica nacionalidad zon'!$A$36,"indicador","HOLANDA","municipio","PUERTO DE LA CRUZ","año",2010)/GETPIVOTDATA("dato",'[1]tabla dinámica nacionalidad zon'!$A$36,"indicador","HOLANDA","municipio","PUERTO DE LA CRUZ","año",2009)-1</f>
        <v>-8.8174273858921182E-2</v>
      </c>
      <c r="F9" s="563">
        <f>GETPIVOTDATA("dato",'[1]tabla dinámica nacionalidad zon'!$A$36,"indicador","HOLANDA","municipio","ADEJE","año",2010)/GETPIVOTDATA("dato",'[1]tabla dinámica nacionalidad zon'!$A$36,"indicador","HOLANDA","municipio","ADEJE","año",2009)-1</f>
        <v>-5.0775779980955615E-2</v>
      </c>
      <c r="G9" s="563">
        <f>GETPIVOTDATA("dato",'[1]tabla dinámica nacionalidad zon'!$A$36,"indicador","HOLANDA","municipio","ARONA","año",2010)/GETPIVOTDATA("dato",'[1]tabla dinámica nacionalidad zon'!$A$36,"indicador","HOLANDA","municipio","ARONA","año",2009)-1</f>
        <v>-5.9497081275258212E-2</v>
      </c>
    </row>
    <row r="10" spans="2:7">
      <c r="B10" s="552" t="s">
        <v>159</v>
      </c>
      <c r="C10" s="563">
        <f>GETPIVOTDATA("Suma de TOTAL GENERAL",'[1]tabla dinámica nacionalidad zon'!$A$3,"PAIS/INDICADOR","BELGICA","AÑO","2010")/GETPIVOTDATA("Suma de TOTAL GENERAL",'[1]tabla dinámica nacionalidad zon'!$A$3,"PAIS/INDICADOR","BELGICA","AÑO","2009")-1</f>
        <v>6.4959282082659664E-2</v>
      </c>
      <c r="D10" s="563">
        <f>GETPIVOTDATA("dato",'[1]tabla dinámica nacionalidad zon'!$A$36,"indicador","BÉLGICA","municipio","SANTA CRUZ","año",2010)/GETPIVOTDATA("dato",'[1]tabla dinámica nacionalidad zon'!$A$36,"indicador","BÉLGICA","municipio","SANTA CRUZ","año",2009)-1</f>
        <v>4.2944785276073594E-2</v>
      </c>
      <c r="E10" s="563">
        <f>GETPIVOTDATA("dato",'[1]tabla dinámica nacionalidad zon'!$A$36,"indicador","BÉLGICA","municipio","PUERTO DE LA CRUZ","año",2010)/GETPIVOTDATA("dato",'[1]tabla dinámica nacionalidad zon'!$A$36,"indicador","BÉLGICA","municipio","PUERTO DE LA CRUZ","año",2009)-1</f>
        <v>0.47340980187695525</v>
      </c>
      <c r="F10" s="563">
        <f>GETPIVOTDATA("dato",'[1]tabla dinámica nacionalidad zon'!$A$36,"indicador","BÉLGICA","municipio","ADEJE","año",2010)/GETPIVOTDATA("dato",'[1]tabla dinámica nacionalidad zon'!$A$36,"indicador","BÉLGICA","municipio","ADEJE","año",2009)-1</f>
        <v>0.10039500619900243</v>
      </c>
      <c r="G10" s="563">
        <f>GETPIVOTDATA("dato",'[1]tabla dinámica nacionalidad zon'!$A$36,"indicador","BÉLGICA","municipio","ARONA","año",2010)/GETPIVOTDATA("dato",'[1]tabla dinámica nacionalidad zon'!$A$36,"indicador","BÉLGICA","municipio","ARONA","año",2009)-1</f>
        <v>3.662650602409645E-2</v>
      </c>
    </row>
    <row r="11" spans="2:7">
      <c r="B11" s="552" t="s">
        <v>160</v>
      </c>
      <c r="C11" s="563">
        <f>GETPIVOTDATA("Suma de TOTAL GENERAL",'[1]tabla dinámica nacionalidad zon'!$A$3,"PAIS/INDICADOR","ALEMANIA","AÑO","2010")/GETPIVOTDATA("Suma de TOTAL GENERAL",'[1]tabla dinámica nacionalidad zon'!$A$3,"PAIS/INDICADOR","ALEMANIA","AÑO","2009")-1</f>
        <v>-1.4311761701247261E-2</v>
      </c>
      <c r="D11" s="563">
        <f>GETPIVOTDATA("dato",'[1]tabla dinámica nacionalidad zon'!$A$36,"indicador","ALEMANIA","municipio","SANTA CRUZ","año",2010)/GETPIVOTDATA("dato",'[1]tabla dinámica nacionalidad zon'!$A$36,"indicador","ALEMANIA","municipio","SANTA CRUZ","año",2009)-1</f>
        <v>4.5576407506702443E-2</v>
      </c>
      <c r="E11" s="563">
        <f>GETPIVOTDATA("dato",'[1]tabla dinámica nacionalidad zon'!$A$36,"indicador","ALEMANIA","municipio","PUERTO DE LA CRUZ","año",2010)/GETPIVOTDATA("dato",'[1]tabla dinámica nacionalidad zon'!$A$36,"indicador","ALEMANIA","municipio","PUERTO DE LA CRUZ","año",2009)-1</f>
        <v>-0.12637019564312479</v>
      </c>
      <c r="F11" s="563">
        <f>GETPIVOTDATA("dato",'[1]tabla dinámica nacionalidad zon'!$A$36,"indicador","ALEMANIA","municipio","ADEJE","año",2010)/GETPIVOTDATA("dato",'[1]tabla dinámica nacionalidad zon'!$A$36,"indicador","ALEMANIA","municipio","ADEJE","año",2009)-1</f>
        <v>5.5322675762260687E-2</v>
      </c>
      <c r="G11" s="563">
        <f>GETPIVOTDATA("dato",'[1]tabla dinámica nacionalidad zon'!$A$36,"indicador","ALEMANIA","municipio","ARONA","año",2010)/GETPIVOTDATA("dato",'[1]tabla dinámica nacionalidad zon'!$A$36,"indicador","ALEMANIA","municipio","ARONA","año",2009)-1</f>
        <v>1.9413935129569238E-2</v>
      </c>
    </row>
    <row r="12" spans="2:7">
      <c r="B12" s="552" t="s">
        <v>161</v>
      </c>
      <c r="C12" s="563">
        <f>GETPIVOTDATA("Suma de TOTAL GENERAL",'[1]tabla dinámica nacionalidad zon'!$A$3,"PAIS/INDICADOR","FRANCIA","AÑO","2010")/GETPIVOTDATA("Suma de TOTAL GENERAL",'[1]tabla dinámica nacionalidad zon'!$A$3,"PAIS/INDICADOR","FRANCIA","AÑO","2009")-1</f>
        <v>7.5263838551562268E-2</v>
      </c>
      <c r="D12" s="563">
        <f>GETPIVOTDATA("dato",'[1]tabla dinámica nacionalidad zon'!$A$36,"indicador","FRANCIA","municipio","SANTA CRUZ","año",2010)/GETPIVOTDATA("dato",'[1]tabla dinámica nacionalidad zon'!$A$36,"indicador","FRANCIA","municipio","SANTA CRUZ","año",2009)-1</f>
        <v>-0.10540013012361749</v>
      </c>
      <c r="E12" s="563">
        <f>GETPIVOTDATA("dato",'[1]tabla dinámica nacionalidad zon'!$A$36,"indicador","FRANCIA","municipio","PUERTO DE LA CRUZ","año",2010)/GETPIVOTDATA("dato",'[1]tabla dinámica nacionalidad zon'!$A$36,"indicador","FRANCIA","municipio","PUERTO DE LA CRUZ","año",2009)-1</f>
        <v>0.24780763790664784</v>
      </c>
      <c r="F12" s="563">
        <f>GETPIVOTDATA("dato",'[1]tabla dinámica nacionalidad zon'!$A$36,"indicador","FRANCIA","municipio","ADEJE","año",2010)/GETPIVOTDATA("dato",'[1]tabla dinámica nacionalidad zon'!$A$36,"indicador","FRANCIA","municipio","ADEJE","año",2009)-1</f>
        <v>-1.9365770999757448E-3</v>
      </c>
      <c r="G12" s="563">
        <f>GETPIVOTDATA("dato",'[1]tabla dinámica nacionalidad zon'!$A$36,"indicador","FRANCIA","municipio","ARONA","año",2010)/GETPIVOTDATA("dato",'[1]tabla dinámica nacionalidad zon'!$A$36,"indicador","FRANCIA","municipio","ARONA","año",2009)-1</f>
        <v>0.34590768767412094</v>
      </c>
    </row>
    <row r="13" spans="2:7">
      <c r="B13" s="552" t="s">
        <v>162</v>
      </c>
      <c r="C13" s="563">
        <f>GETPIVOTDATA("Suma de TOTAL GENERAL",'[1]tabla dinámica nacionalidad zon'!$A$3,"PAIS/INDICADOR","REINO UNIDO","AÑO","2010")/GETPIVOTDATA("Suma de TOTAL GENERAL",'[1]tabla dinámica nacionalidad zon'!$A$3,"PAIS/INDICADOR","REINO UNIDO","AÑO","2009")-1</f>
        <v>2.9254703041898589E-2</v>
      </c>
      <c r="D13" s="563">
        <f>GETPIVOTDATA("dato",'[1]tabla dinámica nacionalidad zon'!$A$36,"indicador","REINO UNIDO","municipio","SANTA CRUZ","año",2010)/GETPIVOTDATA("dato",'[1]tabla dinámica nacionalidad zon'!$A$36,"indicador","REINO UNIDO","municipio","SANTA CRUZ","año",2009)-1</f>
        <v>6.6379840196681084E-2</v>
      </c>
      <c r="E13" s="563">
        <f>GETPIVOTDATA("dato",'[1]tabla dinámica nacionalidad zon'!$A$36,"indicador","REINO UNIDO","municipio","PUERTO DE LA CRUZ","año",2010)/GETPIVOTDATA("dato",'[1]tabla dinámica nacionalidad zon'!$A$36,"indicador","REINO UNIDO","municipio","PUERTO DE LA CRUZ","año",2009)-1</f>
        <v>-6.2581437772234794E-2</v>
      </c>
      <c r="F13" s="563">
        <f>GETPIVOTDATA("dato",'[1]tabla dinámica nacionalidad zon'!$A$36,"indicador","REINO UNIDO","municipio","ADEJE","año",2010)/GETPIVOTDATA("dato",'[1]tabla dinámica nacionalidad zon'!$A$36,"indicador","REINO UNIDO","municipio","ADEJE","año",2009)-1</f>
        <v>2.8594835848561262E-2</v>
      </c>
      <c r="G13" s="563">
        <f>GETPIVOTDATA("dato",'[1]tabla dinámica nacionalidad zon'!$A$36,"indicador","REINO UNIDO","municipio","ARONA","año",2010)/GETPIVOTDATA("dato",'[1]tabla dinámica nacionalidad zon'!$A$36,"indicador","REINO UNIDO","municipio","ARONA","año",2009)-1</f>
        <v>9.6944294611618353E-3</v>
      </c>
    </row>
    <row r="14" spans="2:7">
      <c r="B14" s="552" t="s">
        <v>163</v>
      </c>
      <c r="C14" s="563">
        <f>GETPIVOTDATA("Suma de TOTAL GENERAL",'[1]tabla dinámica nacionalidad zon'!$A$3,"PAIS/INDICADOR","IRLANDA","AÑO","2010")/GETPIVOTDATA("Suma de TOTAL GENERAL",'[1]tabla dinámica nacionalidad zon'!$A$3,"PAIS/INDICADOR","IRLANDA","AÑO","2009")-1</f>
        <v>-0.1495624190573368</v>
      </c>
      <c r="D14" s="563">
        <f>GETPIVOTDATA("dato",'[1]tabla dinámica nacionalidad zon'!$A$36,"indicador","IRLANDA","municipio","SANTA CRUZ","año",2010)/GETPIVOTDATA("dato",'[1]tabla dinámica nacionalidad zon'!$A$36,"indicador","IRLANDA","municipio","SANTA CRUZ","año",2009)-1</f>
        <v>4.2194092827003704E-3</v>
      </c>
      <c r="E14" s="563">
        <f>GETPIVOTDATA("dato",'[1]tabla dinámica nacionalidad zon'!$A$36,"indicador","IRLANDA","municipio","PUERTO DE LA CRUZ","año",2010)/GETPIVOTDATA("dato",'[1]tabla dinámica nacionalidad zon'!$A$36,"indicador","IRLANDA","municipio","PUERTO DE LA CRUZ","año",2009)-1</f>
        <v>6.3965884861407751E-3</v>
      </c>
      <c r="F14" s="563">
        <f>GETPIVOTDATA("dato",'[1]tabla dinámica nacionalidad zon'!$A$36,"indicador","IRLANDA","municipio","ADEJE","año",2010)/GETPIVOTDATA("dato",'[1]tabla dinámica nacionalidad zon'!$A$36,"indicador","IRLANDA","municipio","ADEJE","año",2009)-1</f>
        <v>-0.27833579063767044</v>
      </c>
      <c r="G14" s="563">
        <f>GETPIVOTDATA("dato",'[1]tabla dinámica nacionalidad zon'!$A$36,"indicador","IRLANDA","municipio","ARONA","año",2010)/GETPIVOTDATA("dato",'[1]tabla dinámica nacionalidad zon'!$A$36,"indicador","IRLANDA","municipio","ARONA","año",2009)-1</f>
        <v>-2.9471926528908399E-2</v>
      </c>
    </row>
    <row r="15" spans="2:7">
      <c r="B15" s="552" t="s">
        <v>164</v>
      </c>
      <c r="C15" s="563">
        <f>GETPIVOTDATA("Suma de TOTAL GENERAL",'[1]tabla dinámica nacionalidad zon'!$A$3,"PAIS/INDICADOR","ITALIA","AÑO","2010")/GETPIVOTDATA("Suma de TOTAL GENERAL",'[1]tabla dinámica nacionalidad zon'!$A$3,"PAIS/INDICADOR","ITALIA","AÑO","2009")-1</f>
        <v>4.7775047775047819E-2</v>
      </c>
      <c r="D15" s="563">
        <f>GETPIVOTDATA("dato",'[1]tabla dinámica nacionalidad zon'!$A$36,"indicador","ITALIA","municipio","SANTA CRUZ","año",2010)/GETPIVOTDATA("dato",'[1]tabla dinámica nacionalidad zon'!$A$36,"indicador","ITALIA","municipio","SANTA CRUZ","año",2009)-1</f>
        <v>-2.9889538661468484E-2</v>
      </c>
      <c r="E15" s="563">
        <f>GETPIVOTDATA("dato",'[1]tabla dinámica nacionalidad zon'!$A$36,"indicador","ITALIA","municipio","PUERTO DE LA CRUZ","año",2010)/GETPIVOTDATA("dato",'[1]tabla dinámica nacionalidad zon'!$A$36,"indicador","ITALIA","municipio","PUERTO DE LA CRUZ","año",2009)-1</f>
        <v>1.6992981159955622E-2</v>
      </c>
      <c r="F15" s="563">
        <f>GETPIVOTDATA("dato",'[1]tabla dinámica nacionalidad zon'!$A$36,"indicador","ITALIA","municipio","ADEJE","año",2010)/GETPIVOTDATA("dato",'[1]tabla dinámica nacionalidad zon'!$A$36,"indicador","ITALIA","municipio","ADEJE","año",2009)-1</f>
        <v>5.0197856920545902E-2</v>
      </c>
      <c r="G15" s="563">
        <f>GETPIVOTDATA("dato",'[1]tabla dinámica nacionalidad zon'!$A$36,"indicador","ITALIA","municipio","ARONA","año",2010)/GETPIVOTDATA("dato",'[1]tabla dinámica nacionalidad zon'!$A$36,"indicador","ITALIA","municipio","ARONA","año",2009)-1</f>
        <v>5.2959309494451379E-2</v>
      </c>
    </row>
    <row r="16" spans="2:7">
      <c r="B16" s="552" t="s">
        <v>165</v>
      </c>
      <c r="C16" s="563">
        <f>(GETPIVOTDATA("Suma de TOTAL GENERAL",'[1]tabla dinámica nacionalidad zon'!$A$3,"PAIS/INDICADOR","SUECIA","AÑO","2010")+GETPIVOTDATA("Suma de TOTAL GENERAL",'[1]tabla dinámica nacionalidad zon'!$A$3,"PAIS/INDICADOR","NORUEGA","AÑO","2010")+GETPIVOTDATA("Suma de TOTAL GENERAL",'[1]tabla dinámica nacionalidad zon'!$A$3,"PAIS/INDICADOR","DINAMARCA","AÑO","2010")+GETPIVOTDATA("Suma de TOTAL GENERAL",'[1]tabla dinámica nacionalidad zon'!$A$3,"PAIS/INDICADOR","FINLANDIA","AÑO","2010"))/(GETPIVOTDATA("Suma de TOTAL GENERAL",'[1]tabla dinámica nacionalidad zon'!$A$3,"PAIS/INDICADOR","SUECIA","AÑO","2009")+GETPIVOTDATA("Suma de TOTAL GENERAL",'[1]tabla dinámica nacionalidad zon'!$A$3,"PAIS/INDICADOR","NORUEGA","AÑO","2009")+GETPIVOTDATA("Suma de TOTAL GENERAL",'[1]tabla dinámica nacionalidad zon'!$A$3,"PAIS/INDICADOR","DINAMARCA","AÑO","2009")+GETPIVOTDATA("Suma de TOTAL GENERAL",'[1]tabla dinámica nacionalidad zon'!$A$3,"PAIS/INDICADOR","FINLANDIA","AÑO","2009"))-1</f>
        <v>-0.18769302067624194</v>
      </c>
      <c r="D16" s="563">
        <f>(GETPIVOTDATA("dato",'[1]tabla dinámica nacionalidad zon'!$A$36,"indicador","SUECIA","municipio","SANTA CRUZ","año",2010)+GETPIVOTDATA("dato",'[1]tabla dinámica nacionalidad zon'!$A$36,"indicador","NORUEGA","municipio","SANTA CRUZ","año",2010)+GETPIVOTDATA("dato",'[1]tabla dinámica nacionalidad zon'!$A$36,"indicador","DINAMARCA","municipio","SANTA CRUZ","año",2010)+GETPIVOTDATA("dato",'[1]tabla dinámica nacionalidad zon'!$A$36,"indicador","FINLANDIA","municipio","SANTA CRUZ","año",2010))/(GETPIVOTDATA("dato",'[1]tabla dinámica nacionalidad zon'!$A$36,"indicador","SUECIA","municipio","SANTA CRUZ","año",2009)+GETPIVOTDATA("dato",'[1]tabla dinámica nacionalidad zon'!$A$36,"indicador","NORUEGA","municipio","SANTA CRUZ","año",2009)+GETPIVOTDATA("dato",'[1]tabla dinámica nacionalidad zon'!$A$36,"indicador","DINAMARCA","municipio","SANTA CRUZ","año",2009)+GETPIVOTDATA("dato",'[1]tabla dinámica nacionalidad zon'!$A$36,"indicador","FINLANDIA","municipio","SANTA CRUZ","año",2009))-1</f>
        <v>-0.108843537414966</v>
      </c>
      <c r="E16" s="563">
        <f>(GETPIVOTDATA("dato",'[1]tabla dinámica nacionalidad zon'!$A$36,"indicador","SUECIA","municipio","PUERTO DE LA CRUZ","año",2010)+GETPIVOTDATA("dato",'[1]tabla dinámica nacionalidad zon'!$A$36,"indicador","NORUEGA","municipio","PUERTO DE LA CRUZ","año",2010)+GETPIVOTDATA("dato",'[1]tabla dinámica nacionalidad zon'!$A$36,"indicador","DINAMARCA","municipio","PUERTO DE LA CRUZ","año",2010)+GETPIVOTDATA("dato",'[1]tabla dinámica nacionalidad zon'!$A$36,"indicador","FINLANDIA","municipio","PUERTO DE LA CRUZ","año",2010))/(GETPIVOTDATA("dato",'[1]tabla dinámica nacionalidad zon'!$A$36,"indicador","SUECIA","municipio","PUERTO DE LA CRUZ","año",2009)+GETPIVOTDATA("dato",'[1]tabla dinámica nacionalidad zon'!$A$36,"indicador","NORUEGA","municipio","PUERTO DE LA CRUZ","año",2009)+GETPIVOTDATA("dato",'[1]tabla dinámica nacionalidad zon'!$A$36,"indicador","DINAMARCA","municipio","PUERTO DE LA CRUZ","año",2009)+GETPIVOTDATA("dato",'[1]tabla dinámica nacionalidad zon'!$A$36,"indicador","FINLANDIA","municipio","PUERTO DE LA CRUZ","año",2009))-1</f>
        <v>-0.27798026491243666</v>
      </c>
      <c r="F16" s="563">
        <f>(GETPIVOTDATA("dato",'[1]tabla dinámica nacionalidad zon'!$A$36,"indicador","SUECIA","municipio","ADEJE","año",2010)+GETPIVOTDATA("dato",'[1]tabla dinámica nacionalidad zon'!$A$36,"indicador","NORUEGA","municipio","ADEJE","año",2010)+GETPIVOTDATA("dato",'[1]tabla dinámica nacionalidad zon'!$A$36,"indicador","DINAMARCA","municipio","ADEJE","año",2010)+GETPIVOTDATA("dato",'[1]tabla dinámica nacionalidad zon'!$A$36,"indicador","FINLANDIA","municipio","ADEJE","año",2010))/(GETPIVOTDATA("dato",'[1]tabla dinámica nacionalidad zon'!$A$36,"indicador","SUECIA","municipio","ADEJE","año",2009)+GETPIVOTDATA("dato",'[1]tabla dinámica nacionalidad zon'!$A$36,"indicador","NORUEGA","municipio","ADEJE","año",2009)+GETPIVOTDATA("dato",'[1]tabla dinámica nacionalidad zon'!$A$36,"indicador","DINAMARCA","municipio","ADEJE","año",2009)+GETPIVOTDATA("dato",'[1]tabla dinámica nacionalidad zon'!$A$36,"indicador","FINLANDIA","municipio","ADEJE","año",2009))-1</f>
        <v>-0.14451217050821463</v>
      </c>
      <c r="G16" s="563">
        <f>(GETPIVOTDATA("dato",'[1]tabla dinámica nacionalidad zon'!$A$36,"indicador","SUECIA","municipio","ARONA","año",2010)+GETPIVOTDATA("dato",'[1]tabla dinámica nacionalidad zon'!$A$36,"indicador","NORUEGA","municipio","ARONA","año",2010)+GETPIVOTDATA("dato",'[1]tabla dinámica nacionalidad zon'!$A$36,"indicador","DINAMARCA","municipio","ARONA","año",2010)+GETPIVOTDATA("dato",'[1]tabla dinámica nacionalidad zon'!$A$36,"indicador","FINLANDIA","municipio","ARONA","año",2010))/(GETPIVOTDATA("dato",'[1]tabla dinámica nacionalidad zon'!$A$36,"indicador","SUECIA","municipio","ARONA","año",2009)+GETPIVOTDATA("dato",'[1]tabla dinámica nacionalidad zon'!$A$36,"indicador","NORUEGA","municipio","ARONA","año",2009)+GETPIVOTDATA("dato",'[1]tabla dinámica nacionalidad zon'!$A$36,"indicador","DINAMARCA","municipio","ARONA","año",2009)+GETPIVOTDATA("dato",'[1]tabla dinámica nacionalidad zon'!$A$36,"indicador","FINLANDIA","municipio","ARONA","año",2009))-1</f>
        <v>-0.1275255130382339</v>
      </c>
    </row>
    <row r="17" spans="2:7">
      <c r="B17" s="554" t="s">
        <v>166</v>
      </c>
      <c r="C17" s="563">
        <f>GETPIVOTDATA("Suma de TOTAL GENERAL",'[1]tabla dinámica nacionalidad zon'!$A$3,"PAIS/INDICADOR","SUECIA","AÑO","2010")/GETPIVOTDATA("Suma de TOTAL GENERAL",'[1]tabla dinámica nacionalidad zon'!$A$3,"PAIS/INDICADOR","SUECIA","AÑO","2009")-1</f>
        <v>-0.1768214156216007</v>
      </c>
      <c r="D17" s="563">
        <f>GETPIVOTDATA("dato",'[1]tabla dinámica nacionalidad zon'!$A$36,"indicador","SUECIA","municipio","SANTA CRUZ","año",2010)/GETPIVOTDATA("dato",'[1]tabla dinámica nacionalidad zon'!$A$36,"indicador","SUECIA","municipio","SANTA CRUZ","año",2009)-1</f>
        <v>7.1729957805907185E-2</v>
      </c>
      <c r="E17" s="563">
        <f>GETPIVOTDATA("dato",'[1]tabla dinámica nacionalidad zon'!$A$36,"indicador","SUECIA","municipio","PUERTO DE LA CRUZ","año",2010)/GETPIVOTDATA("dato",'[1]tabla dinámica nacionalidad zon'!$A$36,"indicador","SUECIA","municipio","PUERTO DE LA CRUZ","año",2009)-1</f>
        <v>-0.19967934703396006</v>
      </c>
      <c r="F17" s="563">
        <f>GETPIVOTDATA("dato",'[1]tabla dinámica nacionalidad zon'!$A$36,"indicador","SUECIA","municipio","ADEJE","año",2010)/GETPIVOTDATA("dato",'[1]tabla dinámica nacionalidad zon'!$A$36,"indicador","SUECIA","municipio","ADEJE","año",2009)-1</f>
        <v>-0.12802935602242027</v>
      </c>
      <c r="G17" s="563">
        <f>GETPIVOTDATA("dato",'[1]tabla dinámica nacionalidad zon'!$A$36,"indicador","SUECIA","municipio","ARONA","año",2010)/GETPIVOTDATA("dato",'[1]tabla dinámica nacionalidad zon'!$A$36,"indicador","SUECIA","municipio","ARONA","año",2009)-1</f>
        <v>-0.16801848178188483</v>
      </c>
    </row>
    <row r="18" spans="2:7">
      <c r="B18" s="554" t="s">
        <v>167</v>
      </c>
      <c r="C18" s="563">
        <f>GETPIVOTDATA("Suma de TOTAL GENERAL",'[1]tabla dinámica nacionalidad zon'!$A$3,"PAIS/INDICADOR","NORUEGA","AÑO","2010")/GETPIVOTDATA("Suma de TOTAL GENERAL",'[1]tabla dinámica nacionalidad zon'!$A$3,"PAIS/INDICADOR","NORUEGA","AÑO","2009")-1</f>
        <v>-7.5728356661482588E-2</v>
      </c>
      <c r="D18" s="563">
        <f>GETPIVOTDATA("dato",'[1]tabla dinámica nacionalidad zon'!$A$36,"indicador","NORUEGA","municipio","SANTA CRUZ","año",2010)/GETPIVOTDATA("dato",'[1]tabla dinámica nacionalidad zon'!$A$36,"indicador","NORUEGA","municipio","SANTA CRUZ","año",2009)-1</f>
        <v>-0.27542372881355937</v>
      </c>
      <c r="E18" s="563">
        <f>GETPIVOTDATA("dato",'[1]tabla dinámica nacionalidad zon'!$A$36,"indicador","NORUEGA","municipio","PUERTO DE LA CRUZ","año",2010)/GETPIVOTDATA("dato",'[1]tabla dinámica nacionalidad zon'!$A$36,"indicador","NORUEGA","municipio","PUERTO DE LA CRUZ","año",2009)-1</f>
        <v>-0.2704345183834701</v>
      </c>
      <c r="F18" s="563">
        <f>GETPIVOTDATA("dato",'[1]tabla dinámica nacionalidad zon'!$A$36,"indicador","NORUEGA","municipio","ADEJE","año",2010)/GETPIVOTDATA("dato",'[1]tabla dinámica nacionalidad zon'!$A$36,"indicador","NORUEGA","municipio","ADEJE","año",2009)-1</f>
        <v>-0.13157317340744534</v>
      </c>
      <c r="G18" s="563">
        <f>GETPIVOTDATA("dato",'[1]tabla dinámica nacionalidad zon'!$A$36,"indicador","NORUEGA","municipio","ARONA","año",2010)/GETPIVOTDATA("dato",'[1]tabla dinámica nacionalidad zon'!$A$36,"indicador","NORUEGA","municipio","ARONA","año",2009)-1</f>
        <v>3.5744902903574571E-2</v>
      </c>
    </row>
    <row r="19" spans="2:7">
      <c r="B19" s="554" t="s">
        <v>168</v>
      </c>
      <c r="C19" s="563">
        <f>GETPIVOTDATA("Suma de TOTAL GENERAL",'[1]tabla dinámica nacionalidad zon'!$A$3,"PAIS/INDICADOR","DINAMARCA","AÑO","2010")/GETPIVOTDATA("Suma de TOTAL GENERAL",'[1]tabla dinámica nacionalidad zon'!$A$3,"PAIS/INDICADOR","DINAMARCA","AÑO","2009")-1</f>
        <v>-0.24619172424747837</v>
      </c>
      <c r="D19" s="563">
        <f>GETPIVOTDATA("dato",'[1]tabla dinámica nacionalidad zon'!$A$36,"indicador","DINAMARCA","municipio","SANTA CRUZ","año",2010)/GETPIVOTDATA("dato",'[1]tabla dinámica nacionalidad zon'!$A$36,"indicador","DINAMARCA","municipio","SANTA CRUZ","año",2009)-1</f>
        <v>-0.12184873949579833</v>
      </c>
      <c r="E19" s="563">
        <f>GETPIVOTDATA("dato",'[1]tabla dinámica nacionalidad zon'!$A$36,"indicador","DINAMARCA","municipio","PUERTO DE LA CRUZ","año",2010)/GETPIVOTDATA("dato",'[1]tabla dinámica nacionalidad zon'!$A$36,"indicador","DINAMARCA","municipio","PUERTO DE LA CRUZ","año",2009)-1</f>
        <v>-0.1110817244115313</v>
      </c>
      <c r="F19" s="563">
        <f>GETPIVOTDATA("dato",'[1]tabla dinámica nacionalidad zon'!$A$36,"indicador","DINAMARCA","municipio","ADEJE","año",2010)/GETPIVOTDATA("dato",'[1]tabla dinámica nacionalidad zon'!$A$36,"indicador","DINAMARCA","municipio","ADEJE","año",2009)-1</f>
        <v>-0.24872346710554083</v>
      </c>
      <c r="G19" s="563">
        <f>GETPIVOTDATA("dato",'[1]tabla dinámica nacionalidad zon'!$A$36,"indicador","DINAMARCA","municipio","ARONA","año",2010)/GETPIVOTDATA("dato",'[1]tabla dinámica nacionalidad zon'!$A$36,"indicador","DINAMARCA","municipio","ARONA","año",2009)-1</f>
        <v>-0.21507558790593506</v>
      </c>
    </row>
    <row r="20" spans="2:7">
      <c r="B20" s="554" t="s">
        <v>169</v>
      </c>
      <c r="C20" s="563">
        <f>GETPIVOTDATA("Suma de TOTAL GENERAL",'[1]tabla dinámica nacionalidad zon'!$A$3,"PAIS/INDICADOR","FINLANDIA","AÑO","2010")/GETPIVOTDATA("Suma de TOTAL GENERAL",'[1]tabla dinámica nacionalidad zon'!$A$3,"PAIS/INDICADOR","FINLANDIA","AÑO","2009")-1</f>
        <v>-0.2235677625190734</v>
      </c>
      <c r="D20" s="563">
        <f>GETPIVOTDATA("dato",'[1]tabla dinámica nacionalidad zon'!$A$36,"indicador","FINLANDIA","municipio","SANTA CRUZ","año",2010)/GETPIVOTDATA("dato",'[1]tabla dinámica nacionalidad zon'!$A$36,"indicador","FINLANDIA","municipio","SANTA CRUZ","año",2009)-1</f>
        <v>-0.11006289308176098</v>
      </c>
      <c r="E20" s="563">
        <f>GETPIVOTDATA("dato",'[1]tabla dinámica nacionalidad zon'!$A$36,"indicador","FINLANDIA","municipio","PUERTO DE LA CRUZ","año",2010)/GETPIVOTDATA("dato",'[1]tabla dinámica nacionalidad zon'!$A$36,"indicador","FINLANDIA","municipio","PUERTO DE LA CRUZ","año",2009)-1</f>
        <v>-0.33819521550418896</v>
      </c>
      <c r="F20" s="563">
        <f>GETPIVOTDATA("dato",'[1]tabla dinámica nacionalidad zon'!$A$36,"indicador","FINLANDIA","municipio","ADEJE","año",2010)/GETPIVOTDATA("dato",'[1]tabla dinámica nacionalidad zon'!$A$36,"indicador","FINLANDIA","municipio","ADEJE","año",2009)-1</f>
        <v>1.0534979423868274E-2</v>
      </c>
      <c r="G20" s="563">
        <f>GETPIVOTDATA("dato",'[1]tabla dinámica nacionalidad zon'!$A$36,"indicador","FINLANDIA","municipio","ARONA","año",2010)/GETPIVOTDATA("dato",'[1]tabla dinámica nacionalidad zon'!$A$36,"indicador","FINLANDIA","municipio","ARONA","año",2009)-1</f>
        <v>-0.13616578964464365</v>
      </c>
    </row>
    <row r="21" spans="2:7">
      <c r="B21" s="552" t="s">
        <v>170</v>
      </c>
      <c r="C21" s="563">
        <f>GETPIVOTDATA("Suma de TOTAL GENERAL",'[1]tabla dinámica nacionalidad zon'!$A$3,"PAIS/INDICADOR","SUIZA","AÑO","2010")/GETPIVOTDATA("Suma de TOTAL GENERAL",'[1]tabla dinámica nacionalidad zon'!$A$3,"PAIS/INDICADOR","SUIZA","AÑO","2009")-1</f>
        <v>-2.7137042062415184E-2</v>
      </c>
      <c r="D21" s="563">
        <f>GETPIVOTDATA("dato",'[1]tabla dinámica nacionalidad zon'!$A$36,"indicador","SUIZA","municipio","SANTA CRUZ","año",2010)/GETPIVOTDATA("dato",'[1]tabla dinámica nacionalidad zon'!$A$36,"indicador","SUIZA","municipio","SANTA CRUZ","año",2009)-1</f>
        <v>-4.3343653250773939E-2</v>
      </c>
      <c r="E21" s="563">
        <f>GETPIVOTDATA("dato",'[1]tabla dinámica nacionalidad zon'!$A$36,"indicador","SUIZA","municipio","PUERTO DE LA CRUZ","año",2010)/GETPIVOTDATA("dato",'[1]tabla dinámica nacionalidad zon'!$A$36,"indicador","SUIZA","municipio","PUERTO DE LA CRUZ","año",2009)-1</f>
        <v>-2.7397260273972601E-2</v>
      </c>
      <c r="F21" s="563">
        <f>GETPIVOTDATA("dato",'[1]tabla dinámica nacionalidad zon'!$A$36,"indicador","SUIZA","municipio","ADEJE","año",2010)/GETPIVOTDATA("dato",'[1]tabla dinámica nacionalidad zon'!$A$36,"indicador","SUIZA","municipio","ADEJE","año",2009)-1</f>
        <v>-6.9021518473406651E-3</v>
      </c>
      <c r="G21" s="563">
        <f>GETPIVOTDATA("dato",'[1]tabla dinámica nacionalidad zon'!$A$36,"indicador","SUIZA","municipio","ARONA","año",2010)/GETPIVOTDATA("dato",'[1]tabla dinámica nacionalidad zon'!$A$36,"indicador","SUIZA","municipio","ARONA","año",2009)-1</f>
        <v>-1.7453798767967155E-2</v>
      </c>
    </row>
    <row r="22" spans="2:7">
      <c r="B22" s="552" t="s">
        <v>171</v>
      </c>
      <c r="C22" s="563">
        <f>GETPIVOTDATA("Suma de TOTAL GENERAL",'[1]tabla dinámica nacionalidad zon'!$A$3,"PAIS/INDICADOR","AUSTRIA","AÑO","2010")/GETPIVOTDATA("Suma de TOTAL GENERAL",'[1]tabla dinámica nacionalidad zon'!$A$3,"PAIS/INDICADOR","AUSTRIA","AÑO","2009")-1</f>
        <v>4.9068133211121356E-2</v>
      </c>
      <c r="D22" s="563">
        <f>GETPIVOTDATA("dato",'[1]tabla dinámica nacionalidad zon'!$A$36,"indicador","AUSTRIA","municipio","SANTA CRUZ","año",2010)/GETPIVOTDATA("dato",'[1]tabla dinámica nacionalidad zon'!$A$36,"indicador","AUSTRIA","municipio","SANTA CRUZ","año",2009)-1</f>
        <v>1.5151515151515138E-2</v>
      </c>
      <c r="E22" s="563">
        <f>GETPIVOTDATA("dato",'[1]tabla dinámica nacionalidad zon'!$A$36,"indicador","AUSTRIA","municipio","PUERTO DE LA CRUZ","año",2010)/GETPIVOTDATA("dato",'[1]tabla dinámica nacionalidad zon'!$A$36,"indicador","AUSTRIA","municipio","PUERTO DE LA CRUZ","año",2009)-1</f>
        <v>-0.15313653136531369</v>
      </c>
      <c r="F22" s="563">
        <f>GETPIVOTDATA("dato",'[1]tabla dinámica nacionalidad zon'!$A$36,"indicador","AUSTRIA","municipio","ADEJE","año",2010)/GETPIVOTDATA("dato",'[1]tabla dinámica nacionalidad zon'!$A$36,"indicador","AUSTRIA","municipio","ADEJE","año",2009)-1</f>
        <v>0.28805132317562143</v>
      </c>
      <c r="G22" s="563">
        <f>GETPIVOTDATA("dato",'[1]tabla dinámica nacionalidad zon'!$A$36,"indicador","AUSTRIA","municipio","ARONA","año",2010)/GETPIVOTDATA("dato",'[1]tabla dinámica nacionalidad zon'!$A$36,"indicador","AUSTRIA","municipio","ARONA","año",2009)-1</f>
        <v>-4.3794186959937198E-2</v>
      </c>
    </row>
    <row r="23" spans="2:7">
      <c r="B23" s="552" t="s">
        <v>172</v>
      </c>
      <c r="C23" s="563">
        <f>GETPIVOTDATA("Suma de TOTAL GENERAL",'[1]tabla dinámica nacionalidad zon'!$A$3,"PAIS/INDICADOR","RUSIA","AÑO","2010")/GETPIVOTDATA("Suma de TOTAL GENERAL",'[1]tabla dinámica nacionalidad zon'!$A$3,"PAIS/INDICADOR","RUSIA","AÑO","2009")-1</f>
        <v>8.1798736262385319E-2</v>
      </c>
      <c r="D23" s="563">
        <f>GETPIVOTDATA("dato",'[1]tabla dinámica nacionalidad zon'!$A$36,"indicador","RUSIA","municipio","SANTA CRUZ","año",2010)/GETPIVOTDATA("dato",'[1]tabla dinámica nacionalidad zon'!$A$36,"indicador","RUSIA","municipio","SANTA CRUZ","año",2009)-1</f>
        <v>-3.515625E-2</v>
      </c>
      <c r="E23" s="563">
        <f>GETPIVOTDATA("dato",'[1]tabla dinámica nacionalidad zon'!$A$36,"indicador","RUSIA","municipio","PUERTO DE LA CRUZ","año",2010)/GETPIVOTDATA("dato",'[1]tabla dinámica nacionalidad zon'!$A$36,"indicador","RUSIA","municipio","PUERTO DE LA CRUZ","año",2009)-1</f>
        <v>0.12397820163487738</v>
      </c>
      <c r="F23" s="563">
        <f>GETPIVOTDATA("dato",'[1]tabla dinámica nacionalidad zon'!$A$36,"indicador","RUSIA","municipio","ADEJE","año",2010)/GETPIVOTDATA("dato",'[1]tabla dinámica nacionalidad zon'!$A$36,"indicador","RUSIA","municipio","ADEJE","año",2009)-1</f>
        <v>0.15979684351914036</v>
      </c>
      <c r="G23" s="563">
        <f>GETPIVOTDATA("dato",'[1]tabla dinámica nacionalidad zon'!$A$36,"indicador","RUSIA","municipio","ARONA","año",2010)/GETPIVOTDATA("dato",'[1]tabla dinámica nacionalidad zon'!$A$36,"indicador","RUSIA","municipio","ARONA","año",2009)-1</f>
        <v>0.1402384165542061</v>
      </c>
    </row>
    <row r="24" spans="2:7">
      <c r="B24" s="552" t="s">
        <v>173</v>
      </c>
      <c r="C24" s="563">
        <f>GETPIVOTDATA("Suma de TOTAL GENERAL",'[1]tabla dinámica nacionalidad zon'!$A$3,"PAIS/INDICADOR","PAISES DEL ESTE","AÑO","2010")/GETPIVOTDATA("Suma de TOTAL GENERAL",'[1]tabla dinámica nacionalidad zon'!$A$3,"PAIS/INDICADOR","PAISES DEL ESTE","AÑO","2009")-1</f>
        <v>-7.4984391259105054E-2</v>
      </c>
      <c r="D24" s="563">
        <f>GETPIVOTDATA("dato",'[1]tabla dinámica nacionalidad zon'!$A$36,"indicador","PAÍSES DEL ESTE","municipio","SANTA CRUZ","año",2010)/GETPIVOTDATA("dato",'[1]tabla dinámica nacionalidad zon'!$A$36,"indicador","PAÍSES DEL ESTE","municipio","SANTA CRUZ","año",2009)-1</f>
        <v>-0.19310344827586212</v>
      </c>
      <c r="E24" s="563">
        <f>GETPIVOTDATA("dato",'[1]tabla dinámica nacionalidad zon'!$A$36,"indicador","PAÍSES DEL ESTE","municipio","PUERTO DE LA CRUZ","año",2010)/GETPIVOTDATA("dato",'[1]tabla dinámica nacionalidad zon'!$A$36,"indicador","PAÍSES DEL ESTE","municipio","PUERTO DE LA CRUZ","año",2009)-1</f>
        <v>-0.39327485380116955</v>
      </c>
      <c r="F24" s="563">
        <f>GETPIVOTDATA("dato",'[1]tabla dinámica nacionalidad zon'!$A$36,"indicador","PAÍSES DEL ESTE","municipio","ADEJE","año",2010)/GETPIVOTDATA("dato",'[1]tabla dinámica nacionalidad zon'!$A$36,"indicador","PAÍSES DEL ESTE","municipio","ADEJE","año",2009)-1</f>
        <v>-9.8308739303281434E-2</v>
      </c>
      <c r="G24" s="563">
        <f>GETPIVOTDATA("dato",'[1]tabla dinámica nacionalidad zon'!$A$36,"indicador","PAÍSES DEL ESTE","municipio","ARONA","año",2010)/GETPIVOTDATA("dato",'[1]tabla dinámica nacionalidad zon'!$A$36,"indicador","PAÍSES DEL ESTE","municipio","ARONA","año",2009)-1</f>
        <v>0.15186302169471744</v>
      </c>
    </row>
    <row r="25" spans="2:7">
      <c r="B25" s="552" t="s">
        <v>174</v>
      </c>
      <c r="C25" s="563">
        <f>GETPIVOTDATA("Suma de TOTAL GENERAL",'[1]tabla dinámica nacionalidad zon'!$A$3,"PAIS/INDICADOR","RESTO DE EUROPA","AÑO","2010")/GETPIVOTDATA("Suma de TOTAL GENERAL",'[1]tabla dinámica nacionalidad zon'!$A$3,"PAIS/INDICADOR","RESTO DE EUROPA","AÑO","2009")-1</f>
        <v>1.5977755644089875E-3</v>
      </c>
      <c r="D25" s="563">
        <f>GETPIVOTDATA("dato",'[1]tabla dinámica nacionalidad zon'!$A$36,"indicador","RESTO DE EUROPA","municipio","SANTA CRUZ","año",2010)/GETPIVOTDATA("dato",'[1]tabla dinámica nacionalidad zon'!$A$36,"indicador","RESTO DE EUROPA","municipio","SANTA CRUZ","año",2009)-1</f>
        <v>-9.8901098901098883E-2</v>
      </c>
      <c r="E25" s="563">
        <f>GETPIVOTDATA("dato",'[1]tabla dinámica nacionalidad zon'!$A$36,"indicador","RESTO DE EUROPA","municipio","PUERTO DE LA CRUZ","año",2010)/GETPIVOTDATA("dato",'[1]tabla dinámica nacionalidad zon'!$A$36,"indicador","RESTO DE EUROPA","municipio","PUERTO DE LA CRUZ","año",2009)-1</f>
        <v>-0.11562370493162044</v>
      </c>
      <c r="F25" s="563">
        <f>GETPIVOTDATA("dato",'[1]tabla dinámica nacionalidad zon'!$A$36,"indicador","RESTO DE EUROPA","municipio","ADEJE","año",2010)/GETPIVOTDATA("dato",'[1]tabla dinámica nacionalidad zon'!$A$36,"indicador","RESTO DE EUROPA","municipio","ADEJE","año",2009)-1</f>
        <v>4.930199681922609E-2</v>
      </c>
      <c r="G25" s="563">
        <f>GETPIVOTDATA("dato",'[1]tabla dinámica nacionalidad zon'!$A$36,"indicador","RESTO DE EUROPA","municipio","ARONA","año",2010)/GETPIVOTDATA("dato",'[1]tabla dinámica nacionalidad zon'!$A$36,"indicador","RESTO DE EUROPA","municipio","ARONA","año",2009)-1</f>
        <v>-9.0600390145220699E-2</v>
      </c>
    </row>
    <row r="26" spans="2:7">
      <c r="B26" s="552" t="s">
        <v>175</v>
      </c>
      <c r="C26" s="563">
        <f>GETPIVOTDATA("Suma de TOTAL GENERAL",'[1]tabla dinámica nacionalidad zon'!$A$3,"PAIS/INDICADOR","USA","AÑO","2010")/GETPIVOTDATA("Suma de TOTAL GENERAL",'[1]tabla dinámica nacionalidad zon'!$A$3,"PAIS/INDICADOR","USA","AÑO","2009")-1</f>
        <v>0.12539364443172052</v>
      </c>
      <c r="D26" s="563">
        <f>GETPIVOTDATA("dato",'[1]tabla dinámica nacionalidad zon'!$A$36,"indicador","USA","municipio","SANTA CRUZ","año",2010)/GETPIVOTDATA("dato",'[1]tabla dinámica nacionalidad zon'!$A$36,"indicador","USA","municipio","SANTA CRUZ","año",2009)-1</f>
        <v>0.41366906474820153</v>
      </c>
      <c r="E26" s="563">
        <f>GETPIVOTDATA("dato",'[1]tabla dinámica nacionalidad zon'!$A$36,"indicador","USA","municipio","PUERTO DE LA CRUZ","año",2010)/GETPIVOTDATA("dato",'[1]tabla dinámica nacionalidad zon'!$A$36,"indicador","USA","municipio","PUERTO DE LA CRUZ","año",2009)-1</f>
        <v>0.24408703878902549</v>
      </c>
      <c r="F26" s="563">
        <f>GETPIVOTDATA("dato",'[1]tabla dinámica nacionalidad zon'!$A$36,"indicador","USA","municipio","ADEJE","año",2010)/GETPIVOTDATA("dato",'[1]tabla dinámica nacionalidad zon'!$A$36,"indicador","USA","municipio","ADEJE","año",2009)-1</f>
        <v>5.3208996160175603E-2</v>
      </c>
      <c r="G26" s="563">
        <f>GETPIVOTDATA("dato",'[1]tabla dinámica nacionalidad zon'!$A$36,"indicador","USA","municipio","ARONA","año",2010)/GETPIVOTDATA("dato",'[1]tabla dinámica nacionalidad zon'!$A$36,"indicador","USA","municipio","ARONA","año",2009)-1</f>
        <v>-0.18025751072961371</v>
      </c>
    </row>
    <row r="27" spans="2:7">
      <c r="B27" s="552" t="s">
        <v>176</v>
      </c>
      <c r="C27" s="563">
        <f>GETPIVOTDATA("Suma de TOTAL GENERAL",'[1]tabla dinámica nacionalidad zon'!$A$3,"PAIS/INDICADOR","RESTO DE AMERICA","AÑO","2010")/GETPIVOTDATA("Suma de TOTAL GENERAL",'[1]tabla dinámica nacionalidad zon'!$A$3,"PAIS/INDICADOR","RESTO DE AMERICA","AÑO","2009")-1</f>
        <v>6.7347528663647793E-2</v>
      </c>
      <c r="D27" s="563">
        <f>GETPIVOTDATA("dato",'[1]tabla dinámica nacionalidad zon'!$A$36,"indicador","RESTO DE AMÉRICA","municipio","SANTA CRUZ","año",2010)/GETPIVOTDATA("dato",'[1]tabla dinámica nacionalidad zon'!$A$36,"indicador","RESTO DE AMÉRICA","municipio","SANTA CRUZ","año",2009)-1</f>
        <v>0.11332250203086924</v>
      </c>
      <c r="E27" s="563">
        <f>GETPIVOTDATA("dato",'[1]tabla dinámica nacionalidad zon'!$A$36,"indicador","RESTO DE AMÉRICA","municipio","PUERTO DE LA CRUZ","año",2010)/GETPIVOTDATA("dato",'[1]tabla dinámica nacionalidad zon'!$A$36,"indicador","RESTO DE AMÉRICA","municipio","PUERTO DE LA CRUZ","año",2009)-1</f>
        <v>-4.5373980857851826E-2</v>
      </c>
      <c r="F27" s="563">
        <f>GETPIVOTDATA("dato",'[1]tabla dinámica nacionalidad zon'!$A$36,"indicador","RESTO DE AMÉRICA","municipio","ADEJE","año",2010)/GETPIVOTDATA("dato",'[1]tabla dinámica nacionalidad zon'!$A$36,"indicador","RESTO DE AMÉRICA","municipio","ADEJE","año",2009)-1</f>
        <v>-0.13831967213114749</v>
      </c>
      <c r="G27" s="563">
        <f>GETPIVOTDATA("dato",'[1]tabla dinámica nacionalidad zon'!$A$36,"indicador","RESTO DE AMÉRICA","municipio","ARONA","año",2010)/GETPIVOTDATA("dato",'[1]tabla dinámica nacionalidad zon'!$A$36,"indicador","RESTO DE AMÉRICA","municipio","ARONA","año",2009)-1</f>
        <v>0.12788018433179715</v>
      </c>
    </row>
    <row r="28" spans="2:7">
      <c r="B28" s="555" t="s">
        <v>177</v>
      </c>
      <c r="C28" s="563">
        <f>GETPIVOTDATA("Suma de TOTAL GENERAL",'[1]tabla dinámica nacionalidad zon'!$A$3,"PAIS/INDICADOR","RESTO DEL MUNDO","AÑO","2010")/GETPIVOTDATA("Suma de TOTAL GENERAL",'[1]tabla dinámica nacionalidad zon'!$A$3,"PAIS/INDICADOR","RESTO DEL MUNDO","AÑO","2009")-1</f>
        <v>0.49543125533731858</v>
      </c>
      <c r="D28" s="563">
        <f>GETPIVOTDATA("dato",'[1]tabla dinámica nacionalidad zon'!$A$36,"indicador","RESTO DEL MUNDO","municipio","SANTA CRUZ","año",2010)/GETPIVOTDATA("dato",'[1]tabla dinámica nacionalidad zon'!$A$36,"indicador","RESTO DEL MUNDO","municipio","SANTA CRUZ","año",2009)-1</f>
        <v>0.1994428969359332</v>
      </c>
      <c r="E28" s="563">
        <f>GETPIVOTDATA("dato",'[1]tabla dinámica nacionalidad zon'!$A$36,"indicador","RESTO DEL MUNDO","municipio","PUERTO DE LA CRUZ","año",2010)/GETPIVOTDATA("dato",'[1]tabla dinámica nacionalidad zon'!$A$36,"indicador","RESTO DEL MUNDO","municipio","PUERTO DE LA CRUZ","año",2009)-1</f>
        <v>3.6509675063891578E-3</v>
      </c>
      <c r="F28" s="563">
        <f>GETPIVOTDATA("dato",'[1]tabla dinámica nacionalidad zon'!$A$36,"indicador","RESTO DEL MUNDO","municipio","ADEJE","año",2010)/GETPIVOTDATA("dato",'[1]tabla dinámica nacionalidad zon'!$A$36,"indicador","RESTO DEL MUNDO","municipio","ADEJE","año",2009)-1</f>
        <v>0.71399696816574032</v>
      </c>
      <c r="G28" s="563">
        <f>GETPIVOTDATA("dato",'[1]tabla dinámica nacionalidad zon'!$A$36,"indicador","RESTO DEL MUNDO","municipio","ARONA","año",2010)/GETPIVOTDATA("dato",'[1]tabla dinámica nacionalidad zon'!$A$36,"indicador","RESTO DEL MUNDO","municipio","ARONA","año",2009)-1</f>
        <v>-1.6004197822379607E-2</v>
      </c>
    </row>
    <row r="29" spans="2:7">
      <c r="B29" s="274" t="s">
        <v>330</v>
      </c>
      <c r="C29" s="564">
        <f>(GETPIVOTDATA("Suma de TOTAL GENERAL",'[1]tabla dinámica nacionalidad zon'!$A$3,"PAIS/INDICADOR","TOTAL","AÑO","2010")-GETPIVOTDATA("Suma de TOTAL GENERAL",'[1]tabla dinámica nacionalidad zon'!$A$3,"PAIS/INDICADOR","ESPAÑA","AÑO","2010"))/(GETPIVOTDATA("Suma de TOTAL GENERAL",'[1]tabla dinámica nacionalidad zon'!$A$3,"PAIS/INDICADOR","TOTAL","AÑO","2009")-GETPIVOTDATA("Suma de TOTAL GENERAL",'[1]tabla dinámica nacionalidad zon'!$A$3,"PAIS/INDICADOR","ESPAÑA","AÑO","2009"))-1</f>
        <v>-8.2757335238657914E-3</v>
      </c>
      <c r="D29" s="564">
        <f>(GETPIVOTDATA("dato",'[1]tabla dinámica nacionalidad zon'!$A$36,"indicador","TOTAL","municipio","SANTA CRUZ","año",2010)-GETPIVOTDATA("dato",'[1]tabla dinámica nacionalidad zon'!$A$36,"indicador","España","municipio","SANTA CRUZ","año",2010))/(GETPIVOTDATA("dato",'[1]tabla dinámica nacionalidad zon'!$A$36,"indicador","TOTAL","municipio","SANTA CRUZ","año",2009)-GETPIVOTDATA("dato",'[1]tabla dinámica nacionalidad zon'!$A$36,"indicador","España","municipio","SANTA CRUZ","año",2009))-1</f>
        <v>3.9511948413200049E-2</v>
      </c>
      <c r="E29" s="564">
        <f>(GETPIVOTDATA("dato",'[1]tabla dinámica nacionalidad zon'!$A$36,"indicador","TOTAL","municipio","PUERTO DE LA CRUZ","año",2010)-GETPIVOTDATA("dato",'[1]tabla dinámica nacionalidad zon'!$A$36,"indicador","España","municipio","PUERTO DE LA CRUZ","año",2010))/(GETPIVOTDATA("dato",'[1]tabla dinámica nacionalidad zon'!$A$36,"indicador","TOTAL","municipio","PUERTO DE LA CRUZ","año",2009)-GETPIVOTDATA("dato",'[1]tabla dinámica nacionalidad zon'!$A$36,"indicador","España","municipio","PUERTO DE LA CRUZ","año",2009))-1</f>
        <v>-0.11996695801658797</v>
      </c>
      <c r="F29" s="564">
        <f>(GETPIVOTDATA("dato",'[1]tabla dinámica nacionalidad zon'!$A$36,"indicador","TOTAL","municipio","ADEJE","año",2010)-GETPIVOTDATA("dato",'[1]tabla dinámica nacionalidad zon'!$A$36,"indicador","España","municipio","ADEJE","año",2010))/(GETPIVOTDATA("dato",'[1]tabla dinámica nacionalidad zon'!$A$36,"indicador","TOTAL","municipio","ADEJE","año",2009)-GETPIVOTDATA("dato",'[1]tabla dinámica nacionalidad zon'!$A$36,"indicador","España","municipio","ADEJE","año",2009))-1</f>
        <v>1.1097074830203058E-2</v>
      </c>
      <c r="G29" s="564">
        <f>(GETPIVOTDATA("dato",'[1]tabla dinámica nacionalidad zon'!$A$36,"indicador","TOTAL","municipio","ARONA","año",2010)-GETPIVOTDATA("dato",'[1]tabla dinámica nacionalidad zon'!$A$36,"indicador","España","municipio","ARONA","año",2010))/(GETPIVOTDATA("dato",'[1]tabla dinámica nacionalidad zon'!$A$36,"indicador","TOTAL","municipio","ARONA","año",2009)-GETPIVOTDATA("dato",'[1]tabla dinámica nacionalidad zon'!$A$36,"indicador","España","municipio","ARONA","año",2009))-1</f>
        <v>-1.1013087764495832E-2</v>
      </c>
    </row>
    <row r="30" spans="2:7">
      <c r="B30" s="557" t="s">
        <v>105</v>
      </c>
      <c r="C30" s="565">
        <f>GETPIVOTDATA("Suma de TOTAL GENERAL",'[1]tabla dinámica nacionalidad zon'!$A$3,"PAIS/INDICADOR","TOTAL","AÑO","2010")/GETPIVOTDATA("Suma de TOTAL GENERAL",'[1]tabla dinámica nacionalidad zon'!$A$3,"PAIS/INDICADOR","TOTAL","AÑO","2009")-1</f>
        <v>1.3778881153530875E-2</v>
      </c>
      <c r="D30" s="565">
        <f>GETPIVOTDATA("dato",'[1]tabla dinámica nacionalidad zon'!$A$36,"indicador","TOTAL","municipio","SANTA CRUZ","año",2010)/GETPIVOTDATA("dato",'[1]tabla dinámica nacionalidad zon'!$A$36,"indicador","TOTAL","municipio","SANTA CRUZ","año",2009)-1</f>
        <v>-2.8999455998660939E-2</v>
      </c>
      <c r="E30" s="565">
        <f>GETPIVOTDATA("dato",'[1]tabla dinámica nacionalidad zon'!$A$36,"indicador","TOTAL","municipio","PUERTO DE LA CRUZ","año",2010)/GETPIVOTDATA("dato",'[1]tabla dinámica nacionalidad zon'!$A$36,"indicador","TOTAL","municipio","PUERTO DE LA CRUZ","año",2009)-1</f>
        <v>-6.4374828100835502E-2</v>
      </c>
      <c r="F30" s="565">
        <f>GETPIVOTDATA("dato",'[1]tabla dinámica nacionalidad zon'!$A$36,"indicador","TOTAL","municipio","ADEJE","año",2010)/GETPIVOTDATA("dato",'[1]tabla dinámica nacionalidad zon'!$A$36,"indicador","TOTAL","municipio","ADEJE","año",2009)-1</f>
        <v>3.4725819854985795E-2</v>
      </c>
      <c r="G30" s="565">
        <f>GETPIVOTDATA("dato",'[1]tabla dinámica nacionalidad zon'!$A$36,"indicador","TOTAL","municipio","ARONA","año",2010)/GETPIVOTDATA("dato",'[1]tabla dinámica nacionalidad zon'!$A$36,"indicador","TOTAL","municipio","ARONA","año",2009)-1</f>
        <v>1.205169392703942E-2</v>
      </c>
    </row>
    <row r="31" spans="2:7" ht="24" customHeight="1">
      <c r="B31" s="559" t="s">
        <v>212</v>
      </c>
      <c r="C31" s="560"/>
      <c r="D31" s="560"/>
      <c r="E31" s="560"/>
      <c r="F31" s="560"/>
      <c r="G31" s="561"/>
    </row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9">
    <tabColor rgb="FF000099"/>
    <pageSetUpPr autoPageBreaks="0" fitToPage="1"/>
  </sheetPr>
  <dimension ref="B1:K34"/>
  <sheetViews>
    <sheetView showGridLines="0" showRowColHeaders="0" showOutlineSymbols="0" zoomScaleNormal="100" workbookViewId="0">
      <selection activeCell="I13" sqref="I13"/>
    </sheetView>
  </sheetViews>
  <sheetFormatPr baseColWidth="10" defaultRowHeight="12"/>
  <cols>
    <col min="1" max="1" width="13.5703125" style="541" customWidth="1"/>
    <col min="2" max="2" width="23.7109375" style="541" customWidth="1"/>
    <col min="3" max="7" width="10.7109375" style="541" customWidth="1"/>
    <col min="8" max="256" width="11.42578125" style="541"/>
    <col min="257" max="257" width="13.5703125" style="541" customWidth="1"/>
    <col min="258" max="258" width="23.7109375" style="541" customWidth="1"/>
    <col min="259" max="263" width="10.7109375" style="541" customWidth="1"/>
    <col min="264" max="512" width="11.42578125" style="541"/>
    <col min="513" max="513" width="13.5703125" style="541" customWidth="1"/>
    <col min="514" max="514" width="23.7109375" style="541" customWidth="1"/>
    <col min="515" max="519" width="10.7109375" style="541" customWidth="1"/>
    <col min="520" max="768" width="11.42578125" style="541"/>
    <col min="769" max="769" width="13.5703125" style="541" customWidth="1"/>
    <col min="770" max="770" width="23.7109375" style="541" customWidth="1"/>
    <col min="771" max="775" width="10.7109375" style="541" customWidth="1"/>
    <col min="776" max="1024" width="11.42578125" style="541"/>
    <col min="1025" max="1025" width="13.5703125" style="541" customWidth="1"/>
    <col min="1026" max="1026" width="23.7109375" style="541" customWidth="1"/>
    <col min="1027" max="1031" width="10.7109375" style="541" customWidth="1"/>
    <col min="1032" max="1280" width="11.42578125" style="541"/>
    <col min="1281" max="1281" width="13.5703125" style="541" customWidth="1"/>
    <col min="1282" max="1282" width="23.7109375" style="541" customWidth="1"/>
    <col min="1283" max="1287" width="10.7109375" style="541" customWidth="1"/>
    <col min="1288" max="1536" width="11.42578125" style="541"/>
    <col min="1537" max="1537" width="13.5703125" style="541" customWidth="1"/>
    <col min="1538" max="1538" width="23.7109375" style="541" customWidth="1"/>
    <col min="1539" max="1543" width="10.7109375" style="541" customWidth="1"/>
    <col min="1544" max="1792" width="11.42578125" style="541"/>
    <col min="1793" max="1793" width="13.5703125" style="541" customWidth="1"/>
    <col min="1794" max="1794" width="23.7109375" style="541" customWidth="1"/>
    <col min="1795" max="1799" width="10.7109375" style="541" customWidth="1"/>
    <col min="1800" max="2048" width="11.42578125" style="541"/>
    <col min="2049" max="2049" width="13.5703125" style="541" customWidth="1"/>
    <col min="2050" max="2050" width="23.7109375" style="541" customWidth="1"/>
    <col min="2051" max="2055" width="10.7109375" style="541" customWidth="1"/>
    <col min="2056" max="2304" width="11.42578125" style="541"/>
    <col min="2305" max="2305" width="13.5703125" style="541" customWidth="1"/>
    <col min="2306" max="2306" width="23.7109375" style="541" customWidth="1"/>
    <col min="2307" max="2311" width="10.7109375" style="541" customWidth="1"/>
    <col min="2312" max="2560" width="11.42578125" style="541"/>
    <col min="2561" max="2561" width="13.5703125" style="541" customWidth="1"/>
    <col min="2562" max="2562" width="23.7109375" style="541" customWidth="1"/>
    <col min="2563" max="2567" width="10.7109375" style="541" customWidth="1"/>
    <col min="2568" max="2816" width="11.42578125" style="541"/>
    <col min="2817" max="2817" width="13.5703125" style="541" customWidth="1"/>
    <col min="2818" max="2818" width="23.7109375" style="541" customWidth="1"/>
    <col min="2819" max="2823" width="10.7109375" style="541" customWidth="1"/>
    <col min="2824" max="3072" width="11.42578125" style="541"/>
    <col min="3073" max="3073" width="13.5703125" style="541" customWidth="1"/>
    <col min="3074" max="3074" width="23.7109375" style="541" customWidth="1"/>
    <col min="3075" max="3079" width="10.7109375" style="541" customWidth="1"/>
    <col min="3080" max="3328" width="11.42578125" style="541"/>
    <col min="3329" max="3329" width="13.5703125" style="541" customWidth="1"/>
    <col min="3330" max="3330" width="23.7109375" style="541" customWidth="1"/>
    <col min="3331" max="3335" width="10.7109375" style="541" customWidth="1"/>
    <col min="3336" max="3584" width="11.42578125" style="541"/>
    <col min="3585" max="3585" width="13.5703125" style="541" customWidth="1"/>
    <col min="3586" max="3586" width="23.7109375" style="541" customWidth="1"/>
    <col min="3587" max="3591" width="10.7109375" style="541" customWidth="1"/>
    <col min="3592" max="3840" width="11.42578125" style="541"/>
    <col min="3841" max="3841" width="13.5703125" style="541" customWidth="1"/>
    <col min="3842" max="3842" width="23.7109375" style="541" customWidth="1"/>
    <col min="3843" max="3847" width="10.7109375" style="541" customWidth="1"/>
    <col min="3848" max="4096" width="11.42578125" style="541"/>
    <col min="4097" max="4097" width="13.5703125" style="541" customWidth="1"/>
    <col min="4098" max="4098" width="23.7109375" style="541" customWidth="1"/>
    <col min="4099" max="4103" width="10.7109375" style="541" customWidth="1"/>
    <col min="4104" max="4352" width="11.42578125" style="541"/>
    <col min="4353" max="4353" width="13.5703125" style="541" customWidth="1"/>
    <col min="4354" max="4354" width="23.7109375" style="541" customWidth="1"/>
    <col min="4355" max="4359" width="10.7109375" style="541" customWidth="1"/>
    <col min="4360" max="4608" width="11.42578125" style="541"/>
    <col min="4609" max="4609" width="13.5703125" style="541" customWidth="1"/>
    <col min="4610" max="4610" width="23.7109375" style="541" customWidth="1"/>
    <col min="4611" max="4615" width="10.7109375" style="541" customWidth="1"/>
    <col min="4616" max="4864" width="11.42578125" style="541"/>
    <col min="4865" max="4865" width="13.5703125" style="541" customWidth="1"/>
    <col min="4866" max="4866" width="23.7109375" style="541" customWidth="1"/>
    <col min="4867" max="4871" width="10.7109375" style="541" customWidth="1"/>
    <col min="4872" max="5120" width="11.42578125" style="541"/>
    <col min="5121" max="5121" width="13.5703125" style="541" customWidth="1"/>
    <col min="5122" max="5122" width="23.7109375" style="541" customWidth="1"/>
    <col min="5123" max="5127" width="10.7109375" style="541" customWidth="1"/>
    <col min="5128" max="5376" width="11.42578125" style="541"/>
    <col min="5377" max="5377" width="13.5703125" style="541" customWidth="1"/>
    <col min="5378" max="5378" width="23.7109375" style="541" customWidth="1"/>
    <col min="5379" max="5383" width="10.7109375" style="541" customWidth="1"/>
    <col min="5384" max="5632" width="11.42578125" style="541"/>
    <col min="5633" max="5633" width="13.5703125" style="541" customWidth="1"/>
    <col min="5634" max="5634" width="23.7109375" style="541" customWidth="1"/>
    <col min="5635" max="5639" width="10.7109375" style="541" customWidth="1"/>
    <col min="5640" max="5888" width="11.42578125" style="541"/>
    <col min="5889" max="5889" width="13.5703125" style="541" customWidth="1"/>
    <col min="5890" max="5890" width="23.7109375" style="541" customWidth="1"/>
    <col min="5891" max="5895" width="10.7109375" style="541" customWidth="1"/>
    <col min="5896" max="6144" width="11.42578125" style="541"/>
    <col min="6145" max="6145" width="13.5703125" style="541" customWidth="1"/>
    <col min="6146" max="6146" width="23.7109375" style="541" customWidth="1"/>
    <col min="6147" max="6151" width="10.7109375" style="541" customWidth="1"/>
    <col min="6152" max="6400" width="11.42578125" style="541"/>
    <col min="6401" max="6401" width="13.5703125" style="541" customWidth="1"/>
    <col min="6402" max="6402" width="23.7109375" style="541" customWidth="1"/>
    <col min="6403" max="6407" width="10.7109375" style="541" customWidth="1"/>
    <col min="6408" max="6656" width="11.42578125" style="541"/>
    <col min="6657" max="6657" width="13.5703125" style="541" customWidth="1"/>
    <col min="6658" max="6658" width="23.7109375" style="541" customWidth="1"/>
    <col min="6659" max="6663" width="10.7109375" style="541" customWidth="1"/>
    <col min="6664" max="6912" width="11.42578125" style="541"/>
    <col min="6913" max="6913" width="13.5703125" style="541" customWidth="1"/>
    <col min="6914" max="6914" width="23.7109375" style="541" customWidth="1"/>
    <col min="6915" max="6919" width="10.7109375" style="541" customWidth="1"/>
    <col min="6920" max="7168" width="11.42578125" style="541"/>
    <col min="7169" max="7169" width="13.5703125" style="541" customWidth="1"/>
    <col min="7170" max="7170" width="23.7109375" style="541" customWidth="1"/>
    <col min="7171" max="7175" width="10.7109375" style="541" customWidth="1"/>
    <col min="7176" max="7424" width="11.42578125" style="541"/>
    <col min="7425" max="7425" width="13.5703125" style="541" customWidth="1"/>
    <col min="7426" max="7426" width="23.7109375" style="541" customWidth="1"/>
    <col min="7427" max="7431" width="10.7109375" style="541" customWidth="1"/>
    <col min="7432" max="7680" width="11.42578125" style="541"/>
    <col min="7681" max="7681" width="13.5703125" style="541" customWidth="1"/>
    <col min="7682" max="7682" width="23.7109375" style="541" customWidth="1"/>
    <col min="7683" max="7687" width="10.7109375" style="541" customWidth="1"/>
    <col min="7688" max="7936" width="11.42578125" style="541"/>
    <col min="7937" max="7937" width="13.5703125" style="541" customWidth="1"/>
    <col min="7938" max="7938" width="23.7109375" style="541" customWidth="1"/>
    <col min="7939" max="7943" width="10.7109375" style="541" customWidth="1"/>
    <col min="7944" max="8192" width="11.42578125" style="541"/>
    <col min="8193" max="8193" width="13.5703125" style="541" customWidth="1"/>
    <col min="8194" max="8194" width="23.7109375" style="541" customWidth="1"/>
    <col min="8195" max="8199" width="10.7109375" style="541" customWidth="1"/>
    <col min="8200" max="8448" width="11.42578125" style="541"/>
    <col min="8449" max="8449" width="13.5703125" style="541" customWidth="1"/>
    <col min="8450" max="8450" width="23.7109375" style="541" customWidth="1"/>
    <col min="8451" max="8455" width="10.7109375" style="541" customWidth="1"/>
    <col min="8456" max="8704" width="11.42578125" style="541"/>
    <col min="8705" max="8705" width="13.5703125" style="541" customWidth="1"/>
    <col min="8706" max="8706" width="23.7109375" style="541" customWidth="1"/>
    <col min="8707" max="8711" width="10.7109375" style="541" customWidth="1"/>
    <col min="8712" max="8960" width="11.42578125" style="541"/>
    <col min="8961" max="8961" width="13.5703125" style="541" customWidth="1"/>
    <col min="8962" max="8962" width="23.7109375" style="541" customWidth="1"/>
    <col min="8963" max="8967" width="10.7109375" style="541" customWidth="1"/>
    <col min="8968" max="9216" width="11.42578125" style="541"/>
    <col min="9217" max="9217" width="13.5703125" style="541" customWidth="1"/>
    <col min="9218" max="9218" width="23.7109375" style="541" customWidth="1"/>
    <col min="9219" max="9223" width="10.7109375" style="541" customWidth="1"/>
    <col min="9224" max="9472" width="11.42578125" style="541"/>
    <col min="9473" max="9473" width="13.5703125" style="541" customWidth="1"/>
    <col min="9474" max="9474" width="23.7109375" style="541" customWidth="1"/>
    <col min="9475" max="9479" width="10.7109375" style="541" customWidth="1"/>
    <col min="9480" max="9728" width="11.42578125" style="541"/>
    <col min="9729" max="9729" width="13.5703125" style="541" customWidth="1"/>
    <col min="9730" max="9730" width="23.7109375" style="541" customWidth="1"/>
    <col min="9731" max="9735" width="10.7109375" style="541" customWidth="1"/>
    <col min="9736" max="9984" width="11.42578125" style="541"/>
    <col min="9985" max="9985" width="13.5703125" style="541" customWidth="1"/>
    <col min="9986" max="9986" width="23.7109375" style="541" customWidth="1"/>
    <col min="9987" max="9991" width="10.7109375" style="541" customWidth="1"/>
    <col min="9992" max="10240" width="11.42578125" style="541"/>
    <col min="10241" max="10241" width="13.5703125" style="541" customWidth="1"/>
    <col min="10242" max="10242" width="23.7109375" style="541" customWidth="1"/>
    <col min="10243" max="10247" width="10.7109375" style="541" customWidth="1"/>
    <col min="10248" max="10496" width="11.42578125" style="541"/>
    <col min="10497" max="10497" width="13.5703125" style="541" customWidth="1"/>
    <col min="10498" max="10498" width="23.7109375" style="541" customWidth="1"/>
    <col min="10499" max="10503" width="10.7109375" style="541" customWidth="1"/>
    <col min="10504" max="10752" width="11.42578125" style="541"/>
    <col min="10753" max="10753" width="13.5703125" style="541" customWidth="1"/>
    <col min="10754" max="10754" width="23.7109375" style="541" customWidth="1"/>
    <col min="10755" max="10759" width="10.7109375" style="541" customWidth="1"/>
    <col min="10760" max="11008" width="11.42578125" style="541"/>
    <col min="11009" max="11009" width="13.5703125" style="541" customWidth="1"/>
    <col min="11010" max="11010" width="23.7109375" style="541" customWidth="1"/>
    <col min="11011" max="11015" width="10.7109375" style="541" customWidth="1"/>
    <col min="11016" max="11264" width="11.42578125" style="541"/>
    <col min="11265" max="11265" width="13.5703125" style="541" customWidth="1"/>
    <col min="11266" max="11266" width="23.7109375" style="541" customWidth="1"/>
    <col min="11267" max="11271" width="10.7109375" style="541" customWidth="1"/>
    <col min="11272" max="11520" width="11.42578125" style="541"/>
    <col min="11521" max="11521" width="13.5703125" style="541" customWidth="1"/>
    <col min="11522" max="11522" width="23.7109375" style="541" customWidth="1"/>
    <col min="11523" max="11527" width="10.7109375" style="541" customWidth="1"/>
    <col min="11528" max="11776" width="11.42578125" style="541"/>
    <col min="11777" max="11777" width="13.5703125" style="541" customWidth="1"/>
    <col min="11778" max="11778" width="23.7109375" style="541" customWidth="1"/>
    <col min="11779" max="11783" width="10.7109375" style="541" customWidth="1"/>
    <col min="11784" max="12032" width="11.42578125" style="541"/>
    <col min="12033" max="12033" width="13.5703125" style="541" customWidth="1"/>
    <col min="12034" max="12034" width="23.7109375" style="541" customWidth="1"/>
    <col min="12035" max="12039" width="10.7109375" style="541" customWidth="1"/>
    <col min="12040" max="12288" width="11.42578125" style="541"/>
    <col min="12289" max="12289" width="13.5703125" style="541" customWidth="1"/>
    <col min="12290" max="12290" width="23.7109375" style="541" customWidth="1"/>
    <col min="12291" max="12295" width="10.7109375" style="541" customWidth="1"/>
    <col min="12296" max="12544" width="11.42578125" style="541"/>
    <col min="12545" max="12545" width="13.5703125" style="541" customWidth="1"/>
    <col min="12546" max="12546" width="23.7109375" style="541" customWidth="1"/>
    <col min="12547" max="12551" width="10.7109375" style="541" customWidth="1"/>
    <col min="12552" max="12800" width="11.42578125" style="541"/>
    <col min="12801" max="12801" width="13.5703125" style="541" customWidth="1"/>
    <col min="12802" max="12802" width="23.7109375" style="541" customWidth="1"/>
    <col min="12803" max="12807" width="10.7109375" style="541" customWidth="1"/>
    <col min="12808" max="13056" width="11.42578125" style="541"/>
    <col min="13057" max="13057" width="13.5703125" style="541" customWidth="1"/>
    <col min="13058" max="13058" width="23.7109375" style="541" customWidth="1"/>
    <col min="13059" max="13063" width="10.7109375" style="541" customWidth="1"/>
    <col min="13064" max="13312" width="11.42578125" style="541"/>
    <col min="13313" max="13313" width="13.5703125" style="541" customWidth="1"/>
    <col min="13314" max="13314" width="23.7109375" style="541" customWidth="1"/>
    <col min="13315" max="13319" width="10.7109375" style="541" customWidth="1"/>
    <col min="13320" max="13568" width="11.42578125" style="541"/>
    <col min="13569" max="13569" width="13.5703125" style="541" customWidth="1"/>
    <col min="13570" max="13570" width="23.7109375" style="541" customWidth="1"/>
    <col min="13571" max="13575" width="10.7109375" style="541" customWidth="1"/>
    <col min="13576" max="13824" width="11.42578125" style="541"/>
    <col min="13825" max="13825" width="13.5703125" style="541" customWidth="1"/>
    <col min="13826" max="13826" width="23.7109375" style="541" customWidth="1"/>
    <col min="13827" max="13831" width="10.7109375" style="541" customWidth="1"/>
    <col min="13832" max="14080" width="11.42578125" style="541"/>
    <col min="14081" max="14081" width="13.5703125" style="541" customWidth="1"/>
    <col min="14082" max="14082" width="23.7109375" style="541" customWidth="1"/>
    <col min="14083" max="14087" width="10.7109375" style="541" customWidth="1"/>
    <col min="14088" max="14336" width="11.42578125" style="541"/>
    <col min="14337" max="14337" width="13.5703125" style="541" customWidth="1"/>
    <col min="14338" max="14338" width="23.7109375" style="541" customWidth="1"/>
    <col min="14339" max="14343" width="10.7109375" style="541" customWidth="1"/>
    <col min="14344" max="14592" width="11.42578125" style="541"/>
    <col min="14593" max="14593" width="13.5703125" style="541" customWidth="1"/>
    <col min="14594" max="14594" width="23.7109375" style="541" customWidth="1"/>
    <col min="14595" max="14599" width="10.7109375" style="541" customWidth="1"/>
    <col min="14600" max="14848" width="11.42578125" style="541"/>
    <col min="14849" max="14849" width="13.5703125" style="541" customWidth="1"/>
    <col min="14850" max="14850" width="23.7109375" style="541" customWidth="1"/>
    <col min="14851" max="14855" width="10.7109375" style="541" customWidth="1"/>
    <col min="14856" max="15104" width="11.42578125" style="541"/>
    <col min="15105" max="15105" width="13.5703125" style="541" customWidth="1"/>
    <col min="15106" max="15106" width="23.7109375" style="541" customWidth="1"/>
    <col min="15107" max="15111" width="10.7109375" style="541" customWidth="1"/>
    <col min="15112" max="15360" width="11.42578125" style="541"/>
    <col min="15361" max="15361" width="13.5703125" style="541" customWidth="1"/>
    <col min="15362" max="15362" width="23.7109375" style="541" customWidth="1"/>
    <col min="15363" max="15367" width="10.7109375" style="541" customWidth="1"/>
    <col min="15368" max="15616" width="11.42578125" style="541"/>
    <col min="15617" max="15617" width="13.5703125" style="541" customWidth="1"/>
    <col min="15618" max="15618" width="23.7109375" style="541" customWidth="1"/>
    <col min="15619" max="15623" width="10.7109375" style="541" customWidth="1"/>
    <col min="15624" max="15872" width="11.42578125" style="541"/>
    <col min="15873" max="15873" width="13.5703125" style="541" customWidth="1"/>
    <col min="15874" max="15874" width="23.7109375" style="541" customWidth="1"/>
    <col min="15875" max="15879" width="10.7109375" style="541" customWidth="1"/>
    <col min="15880" max="16128" width="11.42578125" style="541"/>
    <col min="16129" max="16129" width="13.5703125" style="541" customWidth="1"/>
    <col min="16130" max="16130" width="23.7109375" style="541" customWidth="1"/>
    <col min="16131" max="16135" width="10.7109375" style="541" customWidth="1"/>
    <col min="16136" max="16384" width="11.42578125" style="541"/>
  </cols>
  <sheetData>
    <row r="1" spans="2:10" ht="12.75">
      <c r="B1" s="540"/>
    </row>
    <row r="2" spans="2:10" ht="12.75">
      <c r="B2" s="540"/>
    </row>
    <row r="3" spans="2:10" ht="12.75">
      <c r="B3" s="540"/>
    </row>
    <row r="4" spans="2:10" ht="12.75">
      <c r="B4" s="540"/>
    </row>
    <row r="5" spans="2:10" ht="15" customHeight="1">
      <c r="B5" s="540"/>
    </row>
    <row r="6" spans="2:10" ht="30" customHeight="1">
      <c r="B6" s="542" t="s">
        <v>332</v>
      </c>
      <c r="C6" s="543"/>
      <c r="D6" s="543"/>
      <c r="E6" s="543"/>
      <c r="F6" s="543"/>
      <c r="G6" s="544"/>
    </row>
    <row r="7" spans="2:10" ht="12.75">
      <c r="B7" s="296" t="str">
        <f>actualizaciones!A2</f>
        <v xml:space="preserve">acumulado julio 2010 </v>
      </c>
      <c r="C7" s="297"/>
      <c r="D7" s="297"/>
      <c r="E7" s="297"/>
      <c r="F7" s="297"/>
      <c r="G7" s="545"/>
      <c r="J7" s="566"/>
    </row>
    <row r="8" spans="2:10" ht="28.5" customHeight="1">
      <c r="B8" s="546" t="s">
        <v>155</v>
      </c>
      <c r="C8" s="547" t="s">
        <v>92</v>
      </c>
      <c r="D8" s="548" t="s">
        <v>89</v>
      </c>
      <c r="E8" s="548" t="s">
        <v>303</v>
      </c>
      <c r="F8" s="549" t="s">
        <v>329</v>
      </c>
      <c r="G8" s="549" t="s">
        <v>302</v>
      </c>
    </row>
    <row r="9" spans="2:10">
      <c r="B9" s="550" t="s">
        <v>156</v>
      </c>
      <c r="C9" s="567">
        <f>'Nacionalidad-Zona (datos)'!C9/'Nacionalidad-Zona (datos)'!C$31</f>
        <v>0.30755156997360633</v>
      </c>
      <c r="D9" s="567">
        <f>'Nacionalidad-Zona (datos)'!D9/'Nacionalidad-Zona (datos)'!D$31</f>
        <v>0.82284304430270638</v>
      </c>
      <c r="E9" s="567">
        <f>'Nacionalidad-Zona (datos)'!E9/'Nacionalidad-Zona (datos)'!E$31</f>
        <v>0.62008486358455883</v>
      </c>
      <c r="F9" s="567">
        <f>'Nacionalidad-Zona (datos)'!F9/'Nacionalidad-Zona (datos)'!F$31</f>
        <v>0.222255827474269</v>
      </c>
      <c r="G9" s="567">
        <f>'Nacionalidad-Zona (datos)'!G9/'Nacionalidad-Zona (datos)'!G$31</f>
        <v>0.16884299065648944</v>
      </c>
    </row>
    <row r="10" spans="2:10">
      <c r="B10" s="552" t="s">
        <v>158</v>
      </c>
      <c r="C10" s="568">
        <f>'Nacionalidad-Zona (datos)'!C10/'Nacionalidad-Zona (datos)'!C$31</f>
        <v>2.9089076575640239E-2</v>
      </c>
      <c r="D10" s="568">
        <f>'Nacionalidad-Zona (datos)'!D10/'Nacionalidad-Zona (datos)'!D$31</f>
        <v>5.4516462678848472E-3</v>
      </c>
      <c r="E10" s="568">
        <f>'Nacionalidad-Zona (datos)'!E10/'Nacionalidad-Zona (datos)'!E$31</f>
        <v>4.2359506432235634E-3</v>
      </c>
      <c r="F10" s="568">
        <f>'Nacionalidad-Zona (datos)'!F10/'Nacionalidad-Zona (datos)'!F$31</f>
        <v>3.4631234015508598E-2</v>
      </c>
      <c r="G10" s="568">
        <f>'Nacionalidad-Zona (datos)'!G10/'Nacionalidad-Zona (datos)'!G$31</f>
        <v>4.6065083226523008E-2</v>
      </c>
    </row>
    <row r="11" spans="2:10">
      <c r="B11" s="552" t="s">
        <v>159</v>
      </c>
      <c r="C11" s="568">
        <f>'Nacionalidad-Zona (datos)'!C11/'Nacionalidad-Zona (datos)'!C$31</f>
        <v>2.6426934057023496E-2</v>
      </c>
      <c r="D11" s="568">
        <f>'Nacionalidad-Zona (datos)'!D11/'Nacionalidad-Zona (datos)'!D$31</f>
        <v>3.6631615238751939E-3</v>
      </c>
      <c r="E11" s="568">
        <f>'Nacionalidad-Zona (datos)'!E11/'Nacionalidad-Zona (datos)'!E$31</f>
        <v>3.4046634009527277E-3</v>
      </c>
      <c r="F11" s="568">
        <f>'Nacionalidad-Zona (datos)'!F11/'Nacionalidad-Zona (datos)'!F$31</f>
        <v>3.8996283781367408E-2</v>
      </c>
      <c r="G11" s="568">
        <f>'Nacionalidad-Zona (datos)'!G11/'Nacionalidad-Zona (datos)'!G$31</f>
        <v>3.4166677866986628E-2</v>
      </c>
    </row>
    <row r="12" spans="2:10">
      <c r="B12" s="552" t="s">
        <v>160</v>
      </c>
      <c r="C12" s="568">
        <f>'Nacionalidad-Zona (datos)'!C12/'Nacionalidad-Zona (datos)'!C$31</f>
        <v>0.11022332859637776</v>
      </c>
      <c r="D12" s="568">
        <f>'Nacionalidad-Zona (datos)'!D12/'Nacionalidad-Zona (datos)'!D$31</f>
        <v>2.1009308739872435E-2</v>
      </c>
      <c r="E12" s="568">
        <f>'Nacionalidad-Zona (datos)'!E12/'Nacionalidad-Zona (datos)'!E$31</f>
        <v>0.18205190605731303</v>
      </c>
      <c r="F12" s="568">
        <f>'Nacionalidad-Zona (datos)'!F12/'Nacionalidad-Zona (datos)'!F$31</f>
        <v>0.13530836849112532</v>
      </c>
      <c r="G12" s="568">
        <f>'Nacionalidad-Zona (datos)'!G12/'Nacionalidad-Zona (datos)'!G$31</f>
        <v>5.8063680539179333E-2</v>
      </c>
    </row>
    <row r="13" spans="2:10">
      <c r="B13" s="552" t="s">
        <v>161</v>
      </c>
      <c r="C13" s="568">
        <f>'Nacionalidad-Zona (datos)'!C13/'Nacionalidad-Zona (datos)'!C$31</f>
        <v>2.4346457387463563E-2</v>
      </c>
      <c r="D13" s="568">
        <f>'Nacionalidad-Zona (datos)'!D13/'Nacionalidad-Zona (datos)'!D$31</f>
        <v>1.4814256162730563E-2</v>
      </c>
      <c r="E13" s="568">
        <f>'Nacionalidad-Zona (datos)'!E13/'Nacionalidad-Zona (datos)'!E$31</f>
        <v>2.1256858119748735E-2</v>
      </c>
      <c r="F13" s="568">
        <f>'Nacionalidad-Zona (datos)'!F13/'Nacionalidad-Zona (datos)'!F$31</f>
        <v>2.5276826102016689E-2</v>
      </c>
      <c r="G13" s="568">
        <f>'Nacionalidad-Zona (datos)'!G13/'Nacionalidad-Zona (datos)'!G$31</f>
        <v>2.1840623927060258E-2</v>
      </c>
    </row>
    <row r="14" spans="2:10">
      <c r="B14" s="552" t="s">
        <v>162</v>
      </c>
      <c r="C14" s="568">
        <f>'Nacionalidad-Zona (datos)'!C14/'Nacionalidad-Zona (datos)'!C$31</f>
        <v>0.30999427733350493</v>
      </c>
      <c r="D14" s="568">
        <f>'Nacionalidad-Zona (datos)'!D14/'Nacionalidad-Zona (datos)'!D$31</f>
        <v>1.8692897776245474E-2</v>
      </c>
      <c r="E14" s="568">
        <f>'Nacionalidad-Zona (datos)'!E14/'Nacionalidad-Zona (datos)'!E$31</f>
        <v>6.0671921044578685E-2</v>
      </c>
      <c r="F14" s="568">
        <f>'Nacionalidad-Zona (datos)'!F14/'Nacionalidad-Zona (datos)'!F$31</f>
        <v>0.33226386889319626</v>
      </c>
      <c r="G14" s="568">
        <f>'Nacionalidad-Zona (datos)'!G14/'Nacionalidad-Zona (datos)'!G$31</f>
        <v>0.41855310601163936</v>
      </c>
    </row>
    <row r="15" spans="2:10">
      <c r="B15" s="552" t="s">
        <v>163</v>
      </c>
      <c r="C15" s="568">
        <f>'Nacionalidad-Zona (datos)'!C15/'Nacionalidad-Zona (datos)'!C$31</f>
        <v>1.5667742634009992E-2</v>
      </c>
      <c r="D15" s="568">
        <f>'Nacionalidad-Zona (datos)'!D15/'Nacionalidad-Zona (datos)'!D$31</f>
        <v>2.5642130667126359E-3</v>
      </c>
      <c r="E15" s="568">
        <f>'Nacionalidad-Zona (datos)'!E15/'Nacionalidad-Zona (datos)'!E$31</f>
        <v>2.2745946571120839E-3</v>
      </c>
      <c r="F15" s="568">
        <f>'Nacionalidad-Zona (datos)'!F15/'Nacionalidad-Zona (datos)'!F$31</f>
        <v>1.6004160693503411E-2</v>
      </c>
      <c r="G15" s="568">
        <f>'Nacionalidad-Zona (datos)'!G15/'Nacionalidad-Zona (datos)'!G$31</f>
        <v>2.8406862415676862E-2</v>
      </c>
    </row>
    <row r="16" spans="2:10">
      <c r="B16" s="552" t="s">
        <v>164</v>
      </c>
      <c r="C16" s="568">
        <f>'Nacionalidad-Zona (datos)'!C16/'Nacionalidad-Zona (datos)'!C$31</f>
        <v>1.8037063935885892E-2</v>
      </c>
      <c r="D16" s="568">
        <f>'Nacionalidad-Zona (datos)'!D16/'Nacionalidad-Zona (datos)'!D$31</f>
        <v>1.6085588691604896E-2</v>
      </c>
      <c r="E16" s="568">
        <f>'Nacionalidad-Zona (datos)'!E16/'Nacionalidad-Zona (datos)'!E$31</f>
        <v>6.6334312404974227E-3</v>
      </c>
      <c r="F16" s="568">
        <f>'Nacionalidad-Zona (datos)'!F16/'Nacionalidad-Zona (datos)'!F$31</f>
        <v>2.4134474594940343E-2</v>
      </c>
      <c r="G16" s="568">
        <f>'Nacionalidad-Zona (datos)'!G16/'Nacionalidad-Zona (datos)'!G$31</f>
        <v>2.0868028869944735E-2</v>
      </c>
    </row>
    <row r="17" spans="2:11">
      <c r="B17" s="552" t="s">
        <v>165</v>
      </c>
      <c r="C17" s="568">
        <f>'Nacionalidad-Zona (datos)'!C17/'Nacionalidad-Zona (datos)'!C$31</f>
        <v>7.73044397119073E-2</v>
      </c>
      <c r="D17" s="568">
        <f>'Nacionalidad-Zona (datos)'!D17/'Nacionalidad-Zona (datos)'!D$31</f>
        <v>9.8797621099810384E-3</v>
      </c>
      <c r="E17" s="568">
        <f>'Nacionalidad-Zona (datos)'!E17/'Nacionalidad-Zona (datos)'!E$31</f>
        <v>5.8710565058467203E-2</v>
      </c>
      <c r="F17" s="568">
        <f>'Nacionalidad-Zona (datos)'!F17/'Nacionalidad-Zona (datos)'!F$31</f>
        <v>6.4963834050453514E-2</v>
      </c>
      <c r="G17" s="568">
        <f>'Nacionalidad-Zona (datos)'!G17/'Nacionalidad-Zona (datos)'!G$31</f>
        <v>0.13433541577827765</v>
      </c>
    </row>
    <row r="18" spans="2:11">
      <c r="B18" s="554" t="s">
        <v>166</v>
      </c>
      <c r="C18" s="568">
        <f>'Nacionalidad-Zona (datos)'!C18/'Nacionalidad-Zona (datos)'!C$31</f>
        <v>2.3800580798230636E-2</v>
      </c>
      <c r="D18" s="568">
        <f>'Nacionalidad-Zona (datos)'!D18/'Nacionalidad-Zona (datos)'!D$31</f>
        <v>2.7365971384244094E-3</v>
      </c>
      <c r="E18" s="568">
        <f>'Nacionalidad-Zona (datos)'!E18/'Nacionalidad-Zona (datos)'!E$31</f>
        <v>1.3230719557417853E-2</v>
      </c>
      <c r="F18" s="568">
        <f>'Nacionalidad-Zona (datos)'!F18/'Nacionalidad-Zona (datos)'!F$31</f>
        <v>2.2094999095723537E-2</v>
      </c>
      <c r="G18" s="568">
        <f>'Nacionalidad-Zona (datos)'!G18/'Nacionalidad-Zona (datos)'!G$31</f>
        <v>4.0482436472803383E-2</v>
      </c>
    </row>
    <row r="19" spans="2:11">
      <c r="B19" s="554" t="s">
        <v>167</v>
      </c>
      <c r="C19" s="568">
        <f>'Nacionalidad-Zona (datos)'!C19/'Nacionalidad-Zona (datos)'!C$31</f>
        <v>1.6113481597271051E-2</v>
      </c>
      <c r="D19" s="568">
        <f>'Nacionalidad-Zona (datos)'!D19/'Nacionalidad-Zona (datos)'!D$31</f>
        <v>1.8423547664195828E-3</v>
      </c>
      <c r="E19" s="568">
        <f>'Nacionalidad-Zona (datos)'!E19/'Nacionalidad-Zona (datos)'!E$31</f>
        <v>5.7852773005573239E-3</v>
      </c>
      <c r="F19" s="568">
        <f>'Nacionalidad-Zona (datos)'!F19/'Nacionalidad-Zona (datos)'!F$31</f>
        <v>1.2132631301453076E-2</v>
      </c>
      <c r="G19" s="568">
        <f>'Nacionalidad-Zona (datos)'!G19/'Nacionalidad-Zona (datos)'!G$31</f>
        <v>3.3952853576791633E-2</v>
      </c>
    </row>
    <row r="20" spans="2:11">
      <c r="B20" s="554" t="s">
        <v>168</v>
      </c>
      <c r="C20" s="568">
        <f>'Nacionalidad-Zona (datos)'!C20/'Nacionalidad-Zona (datos)'!C$31</f>
        <v>1.7155708224263454E-2</v>
      </c>
      <c r="D20" s="568">
        <f>'Nacionalidad-Zona (datos)'!D20/'Nacionalidad-Zona (datos)'!D$31</f>
        <v>2.2517669367350455E-3</v>
      </c>
      <c r="E20" s="568">
        <f>'Nacionalidad-Zona (datos)'!E20/'Nacionalidad-Zona (datos)'!E$31</f>
        <v>8.0984244094848678E-3</v>
      </c>
      <c r="F20" s="568">
        <f>'Nacionalidad-Zona (datos)'!F20/'Nacionalidad-Zona (datos)'!F$31</f>
        <v>1.8190772701681748E-2</v>
      </c>
      <c r="G20" s="568">
        <f>'Nacionalidad-Zona (datos)'!G20/'Nacionalidad-Zona (datos)'!G$31</f>
        <v>2.7406164737564284E-2</v>
      </c>
    </row>
    <row r="21" spans="2:11">
      <c r="B21" s="554" t="s">
        <v>169</v>
      </c>
      <c r="C21" s="568">
        <f>'Nacionalidad-Zona (datos)'!C21/'Nacionalidad-Zona (datos)'!C$31</f>
        <v>2.0234669092142162E-2</v>
      </c>
      <c r="D21" s="568">
        <f>'Nacionalidad-Zona (datos)'!D21/'Nacionalidad-Zona (datos)'!D$31</f>
        <v>3.0490432684019998E-3</v>
      </c>
      <c r="E21" s="568">
        <f>'Nacionalidad-Zona (datos)'!E21/'Nacionalidad-Zona (datos)'!E$31</f>
        <v>3.1596143791007156E-2</v>
      </c>
      <c r="F21" s="568">
        <f>'Nacionalidad-Zona (datos)'!F21/'Nacionalidad-Zona (datos)'!F$31</f>
        <v>1.2545430951595153E-2</v>
      </c>
      <c r="G21" s="568">
        <f>'Nacionalidad-Zona (datos)'!G21/'Nacionalidad-Zona (datos)'!G$31</f>
        <v>3.2493960991118349E-2</v>
      </c>
    </row>
    <row r="22" spans="2:11">
      <c r="B22" s="552" t="s">
        <v>170</v>
      </c>
      <c r="C22" s="568">
        <f>'Nacionalidad-Zona (datos)'!C22/'Nacionalidad-Zona (datos)'!C$31</f>
        <v>6.2208240712054441E-3</v>
      </c>
      <c r="D22" s="568">
        <f>'Nacionalidad-Zona (datos)'!D22/'Nacionalidad-Zona (datos)'!D$31</f>
        <v>3.3291673849336323E-3</v>
      </c>
      <c r="E22" s="568">
        <f>'Nacionalidad-Zona (datos)'!E22/'Nacionalidad-Zona (datos)'!E$31</f>
        <v>3.5926066035530902E-3</v>
      </c>
      <c r="F22" s="568">
        <f>'Nacionalidad-Zona (datos)'!F22/'Nacionalidad-Zona (datos)'!F$31</f>
        <v>7.4978312691647859E-3</v>
      </c>
      <c r="G22" s="568">
        <f>'Nacionalidad-Zona (datos)'!G22/'Nacionalidad-Zona (datos)'!G$31</f>
        <v>7.015880424569511E-3</v>
      </c>
    </row>
    <row r="23" spans="2:11">
      <c r="B23" s="552" t="s">
        <v>171</v>
      </c>
      <c r="C23" s="568">
        <f>'Nacionalidad-Zona (datos)'!C23/'Nacionalidad-Zona (datos)'!C$31</f>
        <v>6.2063637642058959E-3</v>
      </c>
      <c r="D23" s="568">
        <f>'Nacionalidad-Zona (datos)'!D23/'Nacionalidad-Zona (datos)'!D$31</f>
        <v>2.1655749008791586E-3</v>
      </c>
      <c r="E23" s="568">
        <f>'Nacionalidad-Zona (datos)'!E23/'Nacionalidad-Zona (datos)'!E$31</f>
        <v>5.5298673072799081E-3</v>
      </c>
      <c r="F23" s="568">
        <f>'Nacionalidad-Zona (datos)'!F23/'Nacionalidad-Zona (datos)'!F$31</f>
        <v>8.2059257185421626E-3</v>
      </c>
      <c r="G23" s="568">
        <f>'Nacionalidad-Zona (datos)'!G23/'Nacionalidad-Zona (datos)'!G$31</f>
        <v>5.9492026797681903E-3</v>
      </c>
    </row>
    <row r="24" spans="2:11">
      <c r="B24" s="552" t="s">
        <v>172</v>
      </c>
      <c r="C24" s="568">
        <f>'Nacionalidad-Zona (datos)'!C24/'Nacionalidad-Zona (datos)'!C$31</f>
        <v>1.5906337699502528E-2</v>
      </c>
      <c r="D24" s="568">
        <f>'Nacionalidad-Zona (datos)'!D24/'Nacionalidad-Zona (datos)'!D$31</f>
        <v>2.6611791070505087E-3</v>
      </c>
      <c r="E24" s="568">
        <f>'Nacionalidad-Zona (datos)'!E24/'Nacionalidad-Zona (datos)'!E$31</f>
        <v>1.9878607967346073E-3</v>
      </c>
      <c r="F24" s="568">
        <f>'Nacionalidad-Zona (datos)'!F24/'Nacionalidad-Zona (datos)'!F$31</f>
        <v>2.8232839438306376E-2</v>
      </c>
      <c r="G24" s="568">
        <f>'Nacionalidad-Zona (datos)'!G24/'Nacionalidad-Zona (datos)'!G$31</f>
        <v>1.2388368447354628E-2</v>
      </c>
    </row>
    <row r="25" spans="2:11">
      <c r="B25" s="552" t="s">
        <v>173</v>
      </c>
      <c r="C25" s="568">
        <f>'Nacionalidad-Zona (datos)'!C25/'Nacionalidad-Zona (datos)'!C$31</f>
        <v>1.6067931630222475E-2</v>
      </c>
      <c r="D25" s="568">
        <f>'Nacionalidad-Zona (datos)'!D25/'Nacionalidad-Zona (datos)'!D$31</f>
        <v>5.0422340975693845E-3</v>
      </c>
      <c r="E25" s="568">
        <f>'Nacionalidad-Zona (datos)'!E25/'Nacionalidad-Zona (datos)'!E$31</f>
        <v>2.9998626568904074E-3</v>
      </c>
      <c r="F25" s="568">
        <f>'Nacionalidad-Zona (datos)'!F25/'Nacionalidad-Zona (datos)'!F$31</f>
        <v>2.734695504060048E-2</v>
      </c>
      <c r="G25" s="568">
        <f>'Nacionalidad-Zona (datos)'!G25/'Nacionalidad-Zona (datos)'!G$31</f>
        <v>1.4466740548049984E-2</v>
      </c>
    </row>
    <row r="26" spans="2:11">
      <c r="B26" s="552" t="s">
        <v>174</v>
      </c>
      <c r="C26" s="568">
        <f>'Nacionalidad-Zona (datos)'!C26/'Nacionalidad-Zona (datos)'!C$31</f>
        <v>1.7449613964029262E-2</v>
      </c>
      <c r="D26" s="568">
        <f>'Nacionalidad-Zona (datos)'!D26/'Nacionalidad-Zona (datos)'!D$31</f>
        <v>1.060162041027409E-2</v>
      </c>
      <c r="E26" s="568">
        <f>'Nacionalidad-Zona (datos)'!E26/'Nacionalidad-Zona (datos)'!E$31</f>
        <v>1.0283866521773702E-2</v>
      </c>
      <c r="F26" s="568">
        <f>'Nacionalidad-Zona (datos)'!F26/'Nacionalidad-Zona (datos)'!F$31</f>
        <v>2.426934972815508E-2</v>
      </c>
      <c r="G26" s="568">
        <f>'Nacionalidad-Zona (datos)'!G26/'Nacionalidad-Zona (datos)'!G$31</f>
        <v>1.5379464803910907E-2</v>
      </c>
    </row>
    <row r="27" spans="2:11">
      <c r="B27" s="552" t="s">
        <v>175</v>
      </c>
      <c r="C27" s="568">
        <f>'Nacionalidad-Zona (datos)'!C27/'Nacionalidad-Zona (datos)'!C$31</f>
        <v>2.8421733407611111E-3</v>
      </c>
      <c r="D27" s="568">
        <f>'Nacionalidad-Zona (datos)'!D27/'Nacionalidad-Zona (datos)'!D$31</f>
        <v>8.4683675228408896E-3</v>
      </c>
      <c r="E27" s="568">
        <f>'Nacionalidad-Zona (datos)'!E27/'Nacionalidad-Zona (datos)'!E$31</f>
        <v>3.1685296335830409E-3</v>
      </c>
      <c r="F27" s="568">
        <f>'Nacionalidad-Zona (datos)'!F27/'Nacionalidad-Zona (datos)'!F$31</f>
        <v>1.9618201194871068E-3</v>
      </c>
      <c r="G27" s="568">
        <f>'Nacionalidad-Zona (datos)'!G27/'Nacionalidad-Zona (datos)'!G$31</f>
        <v>2.1003654562582706E-3</v>
      </c>
    </row>
    <row r="28" spans="2:11">
      <c r="B28" s="552" t="s">
        <v>176</v>
      </c>
      <c r="C28" s="568">
        <f>'Nacionalidad-Zona (datos)'!C28/'Nacionalidad-Zona (datos)'!C$31</f>
        <v>4.0047820235247509E-3</v>
      </c>
      <c r="D28" s="568">
        <f>'Nacionalidad-Zona (datos)'!D28/'Nacionalidad-Zona (datos)'!D$31</f>
        <v>2.9531546285123254E-2</v>
      </c>
      <c r="E28" s="568">
        <f>'Nacionalidad-Zona (datos)'!E28/'Nacionalidad-Zona (datos)'!E$31</f>
        <v>6.4888595461894518E-3</v>
      </c>
      <c r="F28" s="568">
        <f>'Nacionalidad-Zona (datos)'!F28/'Nacionalidad-Zona (datos)'!F$31</f>
        <v>1.7186361671756841E-3</v>
      </c>
      <c r="G28" s="568">
        <f>'Nacionalidad-Zona (datos)'!G28/'Nacionalidad-Zona (datos)'!G$31</f>
        <v>2.392388344010293E-3</v>
      </c>
    </row>
    <row r="29" spans="2:11" ht="12.75">
      <c r="B29" s="555" t="s">
        <v>177</v>
      </c>
      <c r="C29" s="568">
        <f>'Nacionalidad-Zona (datos)'!C29/'Nacionalidad-Zona (datos)'!C$31</f>
        <v>1.2661083301129025E-2</v>
      </c>
      <c r="D29" s="568">
        <f>'Nacionalidad-Zona (datos)'!D29/'Nacionalidad-Zona (datos)'!D$31</f>
        <v>2.3196431649715566E-2</v>
      </c>
      <c r="E29" s="568">
        <f>'Nacionalidad-Zona (datos)'!E29/'Nacionalidad-Zona (datos)'!E$31</f>
        <v>6.6237931275435584E-3</v>
      </c>
      <c r="F29" s="568">
        <f>'Nacionalidad-Zona (datos)'!F29/'Nacionalidad-Zona (datos)'!F$31</f>
        <v>6.9317644221877769E-3</v>
      </c>
      <c r="G29" s="568">
        <f>'Nacionalidad-Zona (datos)'!G29/'Nacionalidad-Zona (datos)'!G$31</f>
        <v>9.165120004300923E-3</v>
      </c>
    </row>
    <row r="30" spans="2:11" ht="12.75">
      <c r="B30" s="274" t="s">
        <v>330</v>
      </c>
      <c r="C30" s="569">
        <f>'Nacionalidad-Zona (datos)'!C30/'Nacionalidad-Zona (datos)'!C$31</f>
        <v>0.69244843002639367</v>
      </c>
      <c r="D30" s="569">
        <f>'Nacionalidad-Zona (datos)'!D30/'Nacionalidad-Zona (datos)'!D$31</f>
        <v>0.17715695569729356</v>
      </c>
      <c r="E30" s="569">
        <f>'Nacionalidad-Zona (datos)'!E30/'Nacionalidad-Zona (datos)'!E$31</f>
        <v>0.37991513641544122</v>
      </c>
      <c r="F30" s="569">
        <f>'Nacionalidad-Zona (datos)'!F30/'Nacionalidad-Zona (datos)'!F$31</f>
        <v>0.77774417252573103</v>
      </c>
      <c r="G30" s="569">
        <f>'Nacionalidad-Zona (datos)'!G30/'Nacionalidad-Zona (datos)'!G$31</f>
        <v>0.83115700934351056</v>
      </c>
    </row>
    <row r="31" spans="2:11">
      <c r="B31" s="570" t="s">
        <v>105</v>
      </c>
      <c r="C31" s="571">
        <f>'Nacionalidad-Zona (datos)'!C31/'Nacionalidad-Zona (datos)'!C$31</f>
        <v>1</v>
      </c>
      <c r="D31" s="571">
        <f>'Nacionalidad-Zona (datos)'!D31/'Nacionalidad-Zona (datos)'!D$31</f>
        <v>1</v>
      </c>
      <c r="E31" s="571">
        <f>'Nacionalidad-Zona (datos)'!E31/'Nacionalidad-Zona (datos)'!E$31</f>
        <v>1</v>
      </c>
      <c r="F31" s="571">
        <f>'Nacionalidad-Zona (datos)'!F31/'Nacionalidad-Zona (datos)'!F$31</f>
        <v>1</v>
      </c>
      <c r="G31" s="571">
        <f>'Nacionalidad-Zona (datos)'!G31/'Nacionalidad-Zona (datos)'!G$31</f>
        <v>1</v>
      </c>
      <c r="H31" s="294"/>
      <c r="I31" s="294"/>
      <c r="J31" s="294"/>
      <c r="K31" s="294"/>
    </row>
    <row r="32" spans="2:11" ht="25.5" customHeight="1">
      <c r="B32" s="559" t="s">
        <v>333</v>
      </c>
      <c r="C32" s="560"/>
      <c r="D32" s="560"/>
      <c r="E32" s="560"/>
      <c r="F32" s="560"/>
      <c r="G32" s="561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38">
    <tabColor theme="4" tint="-0.499984740745262"/>
    <pageSetUpPr autoPageBreaks="0" fitToPage="1"/>
  </sheetPr>
  <dimension ref="C7:J75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3" width="11.42578125" style="194"/>
    <col min="4" max="4" width="9.140625" style="194" customWidth="1"/>
    <col min="5" max="5" width="12" style="194" customWidth="1"/>
    <col min="6" max="6" width="43.5703125" style="194" customWidth="1"/>
    <col min="7" max="259" width="11.42578125" style="194"/>
    <col min="260" max="260" width="9.140625" style="194" customWidth="1"/>
    <col min="261" max="261" width="12" style="194" customWidth="1"/>
    <col min="262" max="262" width="43.5703125" style="194" customWidth="1"/>
    <col min="263" max="515" width="11.42578125" style="194"/>
    <col min="516" max="516" width="9.140625" style="194" customWidth="1"/>
    <col min="517" max="517" width="12" style="194" customWidth="1"/>
    <col min="518" max="518" width="43.5703125" style="194" customWidth="1"/>
    <col min="519" max="771" width="11.42578125" style="194"/>
    <col min="772" max="772" width="9.140625" style="194" customWidth="1"/>
    <col min="773" max="773" width="12" style="194" customWidth="1"/>
    <col min="774" max="774" width="43.5703125" style="194" customWidth="1"/>
    <col min="775" max="1027" width="11.42578125" style="194"/>
    <col min="1028" max="1028" width="9.140625" style="194" customWidth="1"/>
    <col min="1029" max="1029" width="12" style="194" customWidth="1"/>
    <col min="1030" max="1030" width="43.5703125" style="194" customWidth="1"/>
    <col min="1031" max="1283" width="11.42578125" style="194"/>
    <col min="1284" max="1284" width="9.140625" style="194" customWidth="1"/>
    <col min="1285" max="1285" width="12" style="194" customWidth="1"/>
    <col min="1286" max="1286" width="43.5703125" style="194" customWidth="1"/>
    <col min="1287" max="1539" width="11.42578125" style="194"/>
    <col min="1540" max="1540" width="9.140625" style="194" customWidth="1"/>
    <col min="1541" max="1541" width="12" style="194" customWidth="1"/>
    <col min="1542" max="1542" width="43.5703125" style="194" customWidth="1"/>
    <col min="1543" max="1795" width="11.42578125" style="194"/>
    <col min="1796" max="1796" width="9.140625" style="194" customWidth="1"/>
    <col min="1797" max="1797" width="12" style="194" customWidth="1"/>
    <col min="1798" max="1798" width="43.5703125" style="194" customWidth="1"/>
    <col min="1799" max="2051" width="11.42578125" style="194"/>
    <col min="2052" max="2052" width="9.140625" style="194" customWidth="1"/>
    <col min="2053" max="2053" width="12" style="194" customWidth="1"/>
    <col min="2054" max="2054" width="43.5703125" style="194" customWidth="1"/>
    <col min="2055" max="2307" width="11.42578125" style="194"/>
    <col min="2308" max="2308" width="9.140625" style="194" customWidth="1"/>
    <col min="2309" max="2309" width="12" style="194" customWidth="1"/>
    <col min="2310" max="2310" width="43.5703125" style="194" customWidth="1"/>
    <col min="2311" max="2563" width="11.42578125" style="194"/>
    <col min="2564" max="2564" width="9.140625" style="194" customWidth="1"/>
    <col min="2565" max="2565" width="12" style="194" customWidth="1"/>
    <col min="2566" max="2566" width="43.5703125" style="194" customWidth="1"/>
    <col min="2567" max="2819" width="11.42578125" style="194"/>
    <col min="2820" max="2820" width="9.140625" style="194" customWidth="1"/>
    <col min="2821" max="2821" width="12" style="194" customWidth="1"/>
    <col min="2822" max="2822" width="43.5703125" style="194" customWidth="1"/>
    <col min="2823" max="3075" width="11.42578125" style="194"/>
    <col min="3076" max="3076" width="9.140625" style="194" customWidth="1"/>
    <col min="3077" max="3077" width="12" style="194" customWidth="1"/>
    <col min="3078" max="3078" width="43.5703125" style="194" customWidth="1"/>
    <col min="3079" max="3331" width="11.42578125" style="194"/>
    <col min="3332" max="3332" width="9.140625" style="194" customWidth="1"/>
    <col min="3333" max="3333" width="12" style="194" customWidth="1"/>
    <col min="3334" max="3334" width="43.5703125" style="194" customWidth="1"/>
    <col min="3335" max="3587" width="11.42578125" style="194"/>
    <col min="3588" max="3588" width="9.140625" style="194" customWidth="1"/>
    <col min="3589" max="3589" width="12" style="194" customWidth="1"/>
    <col min="3590" max="3590" width="43.5703125" style="194" customWidth="1"/>
    <col min="3591" max="3843" width="11.42578125" style="194"/>
    <col min="3844" max="3844" width="9.140625" style="194" customWidth="1"/>
    <col min="3845" max="3845" width="12" style="194" customWidth="1"/>
    <col min="3846" max="3846" width="43.5703125" style="194" customWidth="1"/>
    <col min="3847" max="4099" width="11.42578125" style="194"/>
    <col min="4100" max="4100" width="9.140625" style="194" customWidth="1"/>
    <col min="4101" max="4101" width="12" style="194" customWidth="1"/>
    <col min="4102" max="4102" width="43.5703125" style="194" customWidth="1"/>
    <col min="4103" max="4355" width="11.42578125" style="194"/>
    <col min="4356" max="4356" width="9.140625" style="194" customWidth="1"/>
    <col min="4357" max="4357" width="12" style="194" customWidth="1"/>
    <col min="4358" max="4358" width="43.5703125" style="194" customWidth="1"/>
    <col min="4359" max="4611" width="11.42578125" style="194"/>
    <col min="4612" max="4612" width="9.140625" style="194" customWidth="1"/>
    <col min="4613" max="4613" width="12" style="194" customWidth="1"/>
    <col min="4614" max="4614" width="43.5703125" style="194" customWidth="1"/>
    <col min="4615" max="4867" width="11.42578125" style="194"/>
    <col min="4868" max="4868" width="9.140625" style="194" customWidth="1"/>
    <col min="4869" max="4869" width="12" style="194" customWidth="1"/>
    <col min="4870" max="4870" width="43.5703125" style="194" customWidth="1"/>
    <col min="4871" max="5123" width="11.42578125" style="194"/>
    <col min="5124" max="5124" width="9.140625" style="194" customWidth="1"/>
    <col min="5125" max="5125" width="12" style="194" customWidth="1"/>
    <col min="5126" max="5126" width="43.5703125" style="194" customWidth="1"/>
    <col min="5127" max="5379" width="11.42578125" style="194"/>
    <col min="5380" max="5380" width="9.140625" style="194" customWidth="1"/>
    <col min="5381" max="5381" width="12" style="194" customWidth="1"/>
    <col min="5382" max="5382" width="43.5703125" style="194" customWidth="1"/>
    <col min="5383" max="5635" width="11.42578125" style="194"/>
    <col min="5636" max="5636" width="9.140625" style="194" customWidth="1"/>
    <col min="5637" max="5637" width="12" style="194" customWidth="1"/>
    <col min="5638" max="5638" width="43.5703125" style="194" customWidth="1"/>
    <col min="5639" max="5891" width="11.42578125" style="194"/>
    <col min="5892" max="5892" width="9.140625" style="194" customWidth="1"/>
    <col min="5893" max="5893" width="12" style="194" customWidth="1"/>
    <col min="5894" max="5894" width="43.5703125" style="194" customWidth="1"/>
    <col min="5895" max="6147" width="11.42578125" style="194"/>
    <col min="6148" max="6148" width="9.140625" style="194" customWidth="1"/>
    <col min="6149" max="6149" width="12" style="194" customWidth="1"/>
    <col min="6150" max="6150" width="43.5703125" style="194" customWidth="1"/>
    <col min="6151" max="6403" width="11.42578125" style="194"/>
    <col min="6404" max="6404" width="9.140625" style="194" customWidth="1"/>
    <col min="6405" max="6405" width="12" style="194" customWidth="1"/>
    <col min="6406" max="6406" width="43.5703125" style="194" customWidth="1"/>
    <col min="6407" max="6659" width="11.42578125" style="194"/>
    <col min="6660" max="6660" width="9.140625" style="194" customWidth="1"/>
    <col min="6661" max="6661" width="12" style="194" customWidth="1"/>
    <col min="6662" max="6662" width="43.5703125" style="194" customWidth="1"/>
    <col min="6663" max="6915" width="11.42578125" style="194"/>
    <col min="6916" max="6916" width="9.140625" style="194" customWidth="1"/>
    <col min="6917" max="6917" width="12" style="194" customWidth="1"/>
    <col min="6918" max="6918" width="43.5703125" style="194" customWidth="1"/>
    <col min="6919" max="7171" width="11.42578125" style="194"/>
    <col min="7172" max="7172" width="9.140625" style="194" customWidth="1"/>
    <col min="7173" max="7173" width="12" style="194" customWidth="1"/>
    <col min="7174" max="7174" width="43.5703125" style="194" customWidth="1"/>
    <col min="7175" max="7427" width="11.42578125" style="194"/>
    <col min="7428" max="7428" width="9.140625" style="194" customWidth="1"/>
    <col min="7429" max="7429" width="12" style="194" customWidth="1"/>
    <col min="7430" max="7430" width="43.5703125" style="194" customWidth="1"/>
    <col min="7431" max="7683" width="11.42578125" style="194"/>
    <col min="7684" max="7684" width="9.140625" style="194" customWidth="1"/>
    <col min="7685" max="7685" width="12" style="194" customWidth="1"/>
    <col min="7686" max="7686" width="43.5703125" style="194" customWidth="1"/>
    <col min="7687" max="7939" width="11.42578125" style="194"/>
    <col min="7940" max="7940" width="9.140625" style="194" customWidth="1"/>
    <col min="7941" max="7941" width="12" style="194" customWidth="1"/>
    <col min="7942" max="7942" width="43.5703125" style="194" customWidth="1"/>
    <col min="7943" max="8195" width="11.42578125" style="194"/>
    <col min="8196" max="8196" width="9.140625" style="194" customWidth="1"/>
    <col min="8197" max="8197" width="12" style="194" customWidth="1"/>
    <col min="8198" max="8198" width="43.5703125" style="194" customWidth="1"/>
    <col min="8199" max="8451" width="11.42578125" style="194"/>
    <col min="8452" max="8452" width="9.140625" style="194" customWidth="1"/>
    <col min="8453" max="8453" width="12" style="194" customWidth="1"/>
    <col min="8454" max="8454" width="43.5703125" style="194" customWidth="1"/>
    <col min="8455" max="8707" width="11.42578125" style="194"/>
    <col min="8708" max="8708" width="9.140625" style="194" customWidth="1"/>
    <col min="8709" max="8709" width="12" style="194" customWidth="1"/>
    <col min="8710" max="8710" width="43.5703125" style="194" customWidth="1"/>
    <col min="8711" max="8963" width="11.42578125" style="194"/>
    <col min="8964" max="8964" width="9.140625" style="194" customWidth="1"/>
    <col min="8965" max="8965" width="12" style="194" customWidth="1"/>
    <col min="8966" max="8966" width="43.5703125" style="194" customWidth="1"/>
    <col min="8967" max="9219" width="11.42578125" style="194"/>
    <col min="9220" max="9220" width="9.140625" style="194" customWidth="1"/>
    <col min="9221" max="9221" width="12" style="194" customWidth="1"/>
    <col min="9222" max="9222" width="43.5703125" style="194" customWidth="1"/>
    <col min="9223" max="9475" width="11.42578125" style="194"/>
    <col min="9476" max="9476" width="9.140625" style="194" customWidth="1"/>
    <col min="9477" max="9477" width="12" style="194" customWidth="1"/>
    <col min="9478" max="9478" width="43.5703125" style="194" customWidth="1"/>
    <col min="9479" max="9731" width="11.42578125" style="194"/>
    <col min="9732" max="9732" width="9.140625" style="194" customWidth="1"/>
    <col min="9733" max="9733" width="12" style="194" customWidth="1"/>
    <col min="9734" max="9734" width="43.5703125" style="194" customWidth="1"/>
    <col min="9735" max="9987" width="11.42578125" style="194"/>
    <col min="9988" max="9988" width="9.140625" style="194" customWidth="1"/>
    <col min="9989" max="9989" width="12" style="194" customWidth="1"/>
    <col min="9990" max="9990" width="43.5703125" style="194" customWidth="1"/>
    <col min="9991" max="10243" width="11.42578125" style="194"/>
    <col min="10244" max="10244" width="9.140625" style="194" customWidth="1"/>
    <col min="10245" max="10245" width="12" style="194" customWidth="1"/>
    <col min="10246" max="10246" width="43.5703125" style="194" customWidth="1"/>
    <col min="10247" max="10499" width="11.42578125" style="194"/>
    <col min="10500" max="10500" width="9.140625" style="194" customWidth="1"/>
    <col min="10501" max="10501" width="12" style="194" customWidth="1"/>
    <col min="10502" max="10502" width="43.5703125" style="194" customWidth="1"/>
    <col min="10503" max="10755" width="11.42578125" style="194"/>
    <col min="10756" max="10756" width="9.140625" style="194" customWidth="1"/>
    <col min="10757" max="10757" width="12" style="194" customWidth="1"/>
    <col min="10758" max="10758" width="43.5703125" style="194" customWidth="1"/>
    <col min="10759" max="11011" width="11.42578125" style="194"/>
    <col min="11012" max="11012" width="9.140625" style="194" customWidth="1"/>
    <col min="11013" max="11013" width="12" style="194" customWidth="1"/>
    <col min="11014" max="11014" width="43.5703125" style="194" customWidth="1"/>
    <col min="11015" max="11267" width="11.42578125" style="194"/>
    <col min="11268" max="11268" width="9.140625" style="194" customWidth="1"/>
    <col min="11269" max="11269" width="12" style="194" customWidth="1"/>
    <col min="11270" max="11270" width="43.5703125" style="194" customWidth="1"/>
    <col min="11271" max="11523" width="11.42578125" style="194"/>
    <col min="11524" max="11524" width="9.140625" style="194" customWidth="1"/>
    <col min="11525" max="11525" width="12" style="194" customWidth="1"/>
    <col min="11526" max="11526" width="43.5703125" style="194" customWidth="1"/>
    <col min="11527" max="11779" width="11.42578125" style="194"/>
    <col min="11780" max="11780" width="9.140625" style="194" customWidth="1"/>
    <col min="11781" max="11781" width="12" style="194" customWidth="1"/>
    <col min="11782" max="11782" width="43.5703125" style="194" customWidth="1"/>
    <col min="11783" max="12035" width="11.42578125" style="194"/>
    <col min="12036" max="12036" width="9.140625" style="194" customWidth="1"/>
    <col min="12037" max="12037" width="12" style="194" customWidth="1"/>
    <col min="12038" max="12038" width="43.5703125" style="194" customWidth="1"/>
    <col min="12039" max="12291" width="11.42578125" style="194"/>
    <col min="12292" max="12292" width="9.140625" style="194" customWidth="1"/>
    <col min="12293" max="12293" width="12" style="194" customWidth="1"/>
    <col min="12294" max="12294" width="43.5703125" style="194" customWidth="1"/>
    <col min="12295" max="12547" width="11.42578125" style="194"/>
    <col min="12548" max="12548" width="9.140625" style="194" customWidth="1"/>
    <col min="12549" max="12549" width="12" style="194" customWidth="1"/>
    <col min="12550" max="12550" width="43.5703125" style="194" customWidth="1"/>
    <col min="12551" max="12803" width="11.42578125" style="194"/>
    <col min="12804" max="12804" width="9.140625" style="194" customWidth="1"/>
    <col min="12805" max="12805" width="12" style="194" customWidth="1"/>
    <col min="12806" max="12806" width="43.5703125" style="194" customWidth="1"/>
    <col min="12807" max="13059" width="11.42578125" style="194"/>
    <col min="13060" max="13060" width="9.140625" style="194" customWidth="1"/>
    <col min="13061" max="13061" width="12" style="194" customWidth="1"/>
    <col min="13062" max="13062" width="43.5703125" style="194" customWidth="1"/>
    <col min="13063" max="13315" width="11.42578125" style="194"/>
    <col min="13316" max="13316" width="9.140625" style="194" customWidth="1"/>
    <col min="13317" max="13317" width="12" style="194" customWidth="1"/>
    <col min="13318" max="13318" width="43.5703125" style="194" customWidth="1"/>
    <col min="13319" max="13571" width="11.42578125" style="194"/>
    <col min="13572" max="13572" width="9.140625" style="194" customWidth="1"/>
    <col min="13573" max="13573" width="12" style="194" customWidth="1"/>
    <col min="13574" max="13574" width="43.5703125" style="194" customWidth="1"/>
    <col min="13575" max="13827" width="11.42578125" style="194"/>
    <col min="13828" max="13828" width="9.140625" style="194" customWidth="1"/>
    <col min="13829" max="13829" width="12" style="194" customWidth="1"/>
    <col min="13830" max="13830" width="43.5703125" style="194" customWidth="1"/>
    <col min="13831" max="14083" width="11.42578125" style="194"/>
    <col min="14084" max="14084" width="9.140625" style="194" customWidth="1"/>
    <col min="14085" max="14085" width="12" style="194" customWidth="1"/>
    <col min="14086" max="14086" width="43.5703125" style="194" customWidth="1"/>
    <col min="14087" max="14339" width="11.42578125" style="194"/>
    <col min="14340" max="14340" width="9.140625" style="194" customWidth="1"/>
    <col min="14341" max="14341" width="12" style="194" customWidth="1"/>
    <col min="14342" max="14342" width="43.5703125" style="194" customWidth="1"/>
    <col min="14343" max="14595" width="11.42578125" style="194"/>
    <col min="14596" max="14596" width="9.140625" style="194" customWidth="1"/>
    <col min="14597" max="14597" width="12" style="194" customWidth="1"/>
    <col min="14598" max="14598" width="43.5703125" style="194" customWidth="1"/>
    <col min="14599" max="14851" width="11.42578125" style="194"/>
    <col min="14852" max="14852" width="9.140625" style="194" customWidth="1"/>
    <col min="14853" max="14853" width="12" style="194" customWidth="1"/>
    <col min="14854" max="14854" width="43.5703125" style="194" customWidth="1"/>
    <col min="14855" max="15107" width="11.42578125" style="194"/>
    <col min="15108" max="15108" width="9.140625" style="194" customWidth="1"/>
    <col min="15109" max="15109" width="12" style="194" customWidth="1"/>
    <col min="15110" max="15110" width="43.5703125" style="194" customWidth="1"/>
    <col min="15111" max="15363" width="11.42578125" style="194"/>
    <col min="15364" max="15364" width="9.140625" style="194" customWidth="1"/>
    <col min="15365" max="15365" width="12" style="194" customWidth="1"/>
    <col min="15366" max="15366" width="43.5703125" style="194" customWidth="1"/>
    <col min="15367" max="15619" width="11.42578125" style="194"/>
    <col min="15620" max="15620" width="9.140625" style="194" customWidth="1"/>
    <col min="15621" max="15621" width="12" style="194" customWidth="1"/>
    <col min="15622" max="15622" width="43.5703125" style="194" customWidth="1"/>
    <col min="15623" max="15875" width="11.42578125" style="194"/>
    <col min="15876" max="15876" width="9.140625" style="194" customWidth="1"/>
    <col min="15877" max="15877" width="12" style="194" customWidth="1"/>
    <col min="15878" max="15878" width="43.5703125" style="194" customWidth="1"/>
    <col min="15879" max="16131" width="11.42578125" style="194"/>
    <col min="16132" max="16132" width="9.140625" style="194" customWidth="1"/>
    <col min="16133" max="16133" width="12" style="194" customWidth="1"/>
    <col min="16134" max="16134" width="43.5703125" style="194" customWidth="1"/>
    <col min="16135" max="16384" width="11.42578125" style="194"/>
  </cols>
  <sheetData>
    <row r="7" spans="4:7" ht="30" customHeight="1"/>
    <row r="8" spans="4:7" ht="30" customHeight="1">
      <c r="D8" s="415" t="s">
        <v>334</v>
      </c>
      <c r="E8" s="415"/>
      <c r="F8" s="415"/>
      <c r="G8" s="415"/>
    </row>
    <row r="9" spans="4:7" ht="20.100000000000001" customHeight="1">
      <c r="D9" s="416"/>
      <c r="E9" s="417"/>
      <c r="F9" s="417"/>
      <c r="G9" s="417"/>
    </row>
    <row r="10" spans="4:7" ht="20.100000000000001" customHeight="1">
      <c r="D10" s="417"/>
      <c r="E10" s="418" t="s">
        <v>10</v>
      </c>
      <c r="F10" s="419"/>
      <c r="G10" s="419"/>
    </row>
    <row r="11" spans="4:7" ht="20.100000000000001" customHeight="1">
      <c r="D11" s="417"/>
      <c r="E11" s="417"/>
      <c r="F11" s="420"/>
      <c r="G11" s="417"/>
    </row>
    <row r="12" spans="4:7" ht="20.100000000000001" customHeight="1">
      <c r="D12" s="417"/>
      <c r="E12" s="417"/>
      <c r="F12" s="421" t="s">
        <v>219</v>
      </c>
      <c r="G12" s="417"/>
    </row>
    <row r="13" spans="4:7" ht="20.100000000000001" customHeight="1">
      <c r="D13" s="417"/>
      <c r="E13" s="417"/>
      <c r="F13" s="421" t="s">
        <v>335</v>
      </c>
      <c r="G13" s="417"/>
    </row>
    <row r="14" spans="4:7" ht="20.100000000000001" customHeight="1">
      <c r="D14" s="417"/>
      <c r="E14" s="417"/>
      <c r="F14" s="420"/>
      <c r="G14" s="417"/>
    </row>
    <row r="15" spans="4:7" ht="20.100000000000001" customHeight="1">
      <c r="D15" s="417"/>
      <c r="E15" s="418" t="s">
        <v>17</v>
      </c>
      <c r="F15" s="419"/>
      <c r="G15" s="419"/>
    </row>
    <row r="16" spans="4:7" ht="20.100000000000001" customHeight="1">
      <c r="D16" s="417"/>
      <c r="E16" s="417"/>
      <c r="F16" s="420"/>
      <c r="G16" s="417"/>
    </row>
    <row r="17" spans="3:10" ht="20.100000000000001" customHeight="1">
      <c r="D17" s="417"/>
      <c r="E17" s="417"/>
      <c r="F17" s="421" t="s">
        <v>221</v>
      </c>
      <c r="G17" s="417"/>
    </row>
    <row r="18" spans="3:10" ht="20.100000000000001" customHeight="1">
      <c r="D18" s="417"/>
      <c r="E18" s="417"/>
      <c r="F18" s="421" t="s">
        <v>222</v>
      </c>
      <c r="G18" s="417"/>
    </row>
    <row r="19" spans="3:10" ht="20.100000000000001" customHeight="1">
      <c r="D19" s="417"/>
      <c r="E19" s="417"/>
      <c r="F19" s="422"/>
      <c r="G19" s="417"/>
    </row>
    <row r="20" spans="3:10" ht="20.100000000000001" customHeight="1">
      <c r="E20" s="424"/>
      <c r="F20" s="425"/>
    </row>
    <row r="21" spans="3:10" ht="15" customHeight="1">
      <c r="D21" s="426" t="s">
        <v>8</v>
      </c>
      <c r="E21" s="426"/>
      <c r="F21" s="426"/>
      <c r="G21" s="426"/>
    </row>
    <row r="22" spans="3:10" ht="20.100000000000001" customHeight="1"/>
    <row r="23" spans="3:10" ht="15" customHeight="1"/>
    <row r="24" spans="3:10" ht="15" customHeight="1">
      <c r="E24" s="424"/>
      <c r="F24" s="425"/>
    </row>
    <row r="25" spans="3:10" ht="15" customHeight="1"/>
    <row r="26" spans="3:10" ht="20.100000000000001" customHeight="1">
      <c r="D26" s="423"/>
    </row>
    <row r="27" spans="3:10" ht="15" customHeight="1">
      <c r="C27" s="427"/>
      <c r="D27" s="427"/>
      <c r="E27" s="427"/>
      <c r="F27" s="427"/>
      <c r="G27" s="427"/>
      <c r="H27" s="427"/>
      <c r="I27" s="427"/>
      <c r="J27" s="427"/>
    </row>
    <row r="28" spans="3:10" ht="15" customHeight="1"/>
    <row r="29" spans="3:10" ht="15" customHeight="1"/>
    <row r="30" spans="3:10" ht="15" customHeight="1"/>
    <row r="31" spans="3:10" ht="15" customHeight="1">
      <c r="D31" s="423"/>
    </row>
    <row r="32" spans="3:10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</sheetData>
  <mergeCells count="2">
    <mergeCell ref="D8:G8"/>
    <mergeCell ref="D21:G21"/>
  </mergeCells>
  <hyperlinks>
    <hyperlink ref="F12" location="'Ofe Aloj Estim zona cat '!A1" tooltip="Zonas y tipología de establecimiento" display="Zona turística y tipología de establecimiento"/>
    <hyperlink ref="F13" location="'Oferta Alojat Estim tipol categ'!A1" tooltip="Tipología y categoría de establecimiento" display="Tipología y categoría de establecimiento"/>
    <hyperlink ref="F17" location="'Graf plazas estim zona tipologí'!A1" tooltip="Gráfica zona y tipología" display="Zonas y tipología alojativa"/>
    <hyperlink ref="F18" location="'Gráfica plazas estim tipo categ'!A1" tooltip="Gráfica tipología alojativa" display="Tipología y categor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10">
    <tabColor rgb="FF000099"/>
    <pageSetUpPr autoPageBreaks="0" fitToPage="1"/>
  </sheetPr>
  <dimension ref="B1:N69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4.7109375" style="194" customWidth="1"/>
    <col min="2" max="2" width="26.85546875" style="194" customWidth="1"/>
    <col min="3" max="3" width="12.7109375" style="194" customWidth="1"/>
    <col min="4" max="4" width="10.5703125" style="194" customWidth="1"/>
    <col min="5" max="5" width="12.7109375" style="194" customWidth="1"/>
    <col min="6" max="6" width="10.7109375" style="194" customWidth="1"/>
    <col min="7" max="7" width="10.5703125" style="194" customWidth="1"/>
    <col min="8" max="8" width="9.28515625" style="194" customWidth="1"/>
    <col min="9" max="9" width="25.28515625" style="194" customWidth="1"/>
    <col min="10" max="255" width="11.42578125" style="194"/>
    <col min="256" max="256" width="14.7109375" style="194" customWidth="1"/>
    <col min="257" max="257" width="26.85546875" style="194" customWidth="1"/>
    <col min="258" max="258" width="12.7109375" style="194" customWidth="1"/>
    <col min="259" max="259" width="10.5703125" style="194" customWidth="1"/>
    <col min="260" max="260" width="12.7109375" style="194" customWidth="1"/>
    <col min="261" max="261" width="10.7109375" style="194" customWidth="1"/>
    <col min="262" max="262" width="10.5703125" style="194" customWidth="1"/>
    <col min="263" max="263" width="9.28515625" style="194" customWidth="1"/>
    <col min="264" max="511" width="11.42578125" style="194"/>
    <col min="512" max="512" width="14.7109375" style="194" customWidth="1"/>
    <col min="513" max="513" width="26.85546875" style="194" customWidth="1"/>
    <col min="514" max="514" width="12.7109375" style="194" customWidth="1"/>
    <col min="515" max="515" width="10.5703125" style="194" customWidth="1"/>
    <col min="516" max="516" width="12.7109375" style="194" customWidth="1"/>
    <col min="517" max="517" width="10.7109375" style="194" customWidth="1"/>
    <col min="518" max="518" width="10.5703125" style="194" customWidth="1"/>
    <col min="519" max="519" width="9.28515625" style="194" customWidth="1"/>
    <col min="520" max="767" width="11.42578125" style="194"/>
    <col min="768" max="768" width="14.7109375" style="194" customWidth="1"/>
    <col min="769" max="769" width="26.85546875" style="194" customWidth="1"/>
    <col min="770" max="770" width="12.7109375" style="194" customWidth="1"/>
    <col min="771" max="771" width="10.5703125" style="194" customWidth="1"/>
    <col min="772" max="772" width="12.7109375" style="194" customWidth="1"/>
    <col min="773" max="773" width="10.7109375" style="194" customWidth="1"/>
    <col min="774" max="774" width="10.5703125" style="194" customWidth="1"/>
    <col min="775" max="775" width="9.28515625" style="194" customWidth="1"/>
    <col min="776" max="1023" width="11.42578125" style="194"/>
    <col min="1024" max="1024" width="14.7109375" style="194" customWidth="1"/>
    <col min="1025" max="1025" width="26.85546875" style="194" customWidth="1"/>
    <col min="1026" max="1026" width="12.7109375" style="194" customWidth="1"/>
    <col min="1027" max="1027" width="10.5703125" style="194" customWidth="1"/>
    <col min="1028" max="1028" width="12.7109375" style="194" customWidth="1"/>
    <col min="1029" max="1029" width="10.7109375" style="194" customWidth="1"/>
    <col min="1030" max="1030" width="10.5703125" style="194" customWidth="1"/>
    <col min="1031" max="1031" width="9.28515625" style="194" customWidth="1"/>
    <col min="1032" max="1279" width="11.42578125" style="194"/>
    <col min="1280" max="1280" width="14.7109375" style="194" customWidth="1"/>
    <col min="1281" max="1281" width="26.85546875" style="194" customWidth="1"/>
    <col min="1282" max="1282" width="12.7109375" style="194" customWidth="1"/>
    <col min="1283" max="1283" width="10.5703125" style="194" customWidth="1"/>
    <col min="1284" max="1284" width="12.7109375" style="194" customWidth="1"/>
    <col min="1285" max="1285" width="10.7109375" style="194" customWidth="1"/>
    <col min="1286" max="1286" width="10.5703125" style="194" customWidth="1"/>
    <col min="1287" max="1287" width="9.28515625" style="194" customWidth="1"/>
    <col min="1288" max="1535" width="11.42578125" style="194"/>
    <col min="1536" max="1536" width="14.7109375" style="194" customWidth="1"/>
    <col min="1537" max="1537" width="26.85546875" style="194" customWidth="1"/>
    <col min="1538" max="1538" width="12.7109375" style="194" customWidth="1"/>
    <col min="1539" max="1539" width="10.5703125" style="194" customWidth="1"/>
    <col min="1540" max="1540" width="12.7109375" style="194" customWidth="1"/>
    <col min="1541" max="1541" width="10.7109375" style="194" customWidth="1"/>
    <col min="1542" max="1542" width="10.5703125" style="194" customWidth="1"/>
    <col min="1543" max="1543" width="9.28515625" style="194" customWidth="1"/>
    <col min="1544" max="1791" width="11.42578125" style="194"/>
    <col min="1792" max="1792" width="14.7109375" style="194" customWidth="1"/>
    <col min="1793" max="1793" width="26.85546875" style="194" customWidth="1"/>
    <col min="1794" max="1794" width="12.7109375" style="194" customWidth="1"/>
    <col min="1795" max="1795" width="10.5703125" style="194" customWidth="1"/>
    <col min="1796" max="1796" width="12.7109375" style="194" customWidth="1"/>
    <col min="1797" max="1797" width="10.7109375" style="194" customWidth="1"/>
    <col min="1798" max="1798" width="10.5703125" style="194" customWidth="1"/>
    <col min="1799" max="1799" width="9.28515625" style="194" customWidth="1"/>
    <col min="1800" max="2047" width="11.42578125" style="194"/>
    <col min="2048" max="2048" width="14.7109375" style="194" customWidth="1"/>
    <col min="2049" max="2049" width="26.85546875" style="194" customWidth="1"/>
    <col min="2050" max="2050" width="12.7109375" style="194" customWidth="1"/>
    <col min="2051" max="2051" width="10.5703125" style="194" customWidth="1"/>
    <col min="2052" max="2052" width="12.7109375" style="194" customWidth="1"/>
    <col min="2053" max="2053" width="10.7109375" style="194" customWidth="1"/>
    <col min="2054" max="2054" width="10.5703125" style="194" customWidth="1"/>
    <col min="2055" max="2055" width="9.28515625" style="194" customWidth="1"/>
    <col min="2056" max="2303" width="11.42578125" style="194"/>
    <col min="2304" max="2304" width="14.7109375" style="194" customWidth="1"/>
    <col min="2305" max="2305" width="26.85546875" style="194" customWidth="1"/>
    <col min="2306" max="2306" width="12.7109375" style="194" customWidth="1"/>
    <col min="2307" max="2307" width="10.5703125" style="194" customWidth="1"/>
    <col min="2308" max="2308" width="12.7109375" style="194" customWidth="1"/>
    <col min="2309" max="2309" width="10.7109375" style="194" customWidth="1"/>
    <col min="2310" max="2310" width="10.5703125" style="194" customWidth="1"/>
    <col min="2311" max="2311" width="9.28515625" style="194" customWidth="1"/>
    <col min="2312" max="2559" width="11.42578125" style="194"/>
    <col min="2560" max="2560" width="14.7109375" style="194" customWidth="1"/>
    <col min="2561" max="2561" width="26.85546875" style="194" customWidth="1"/>
    <col min="2562" max="2562" width="12.7109375" style="194" customWidth="1"/>
    <col min="2563" max="2563" width="10.5703125" style="194" customWidth="1"/>
    <col min="2564" max="2564" width="12.7109375" style="194" customWidth="1"/>
    <col min="2565" max="2565" width="10.7109375" style="194" customWidth="1"/>
    <col min="2566" max="2566" width="10.5703125" style="194" customWidth="1"/>
    <col min="2567" max="2567" width="9.28515625" style="194" customWidth="1"/>
    <col min="2568" max="2815" width="11.42578125" style="194"/>
    <col min="2816" max="2816" width="14.7109375" style="194" customWidth="1"/>
    <col min="2817" max="2817" width="26.85546875" style="194" customWidth="1"/>
    <col min="2818" max="2818" width="12.7109375" style="194" customWidth="1"/>
    <col min="2819" max="2819" width="10.5703125" style="194" customWidth="1"/>
    <col min="2820" max="2820" width="12.7109375" style="194" customWidth="1"/>
    <col min="2821" max="2821" width="10.7109375" style="194" customWidth="1"/>
    <col min="2822" max="2822" width="10.5703125" style="194" customWidth="1"/>
    <col min="2823" max="2823" width="9.28515625" style="194" customWidth="1"/>
    <col min="2824" max="3071" width="11.42578125" style="194"/>
    <col min="3072" max="3072" width="14.7109375" style="194" customWidth="1"/>
    <col min="3073" max="3073" width="26.85546875" style="194" customWidth="1"/>
    <col min="3074" max="3074" width="12.7109375" style="194" customWidth="1"/>
    <col min="3075" max="3075" width="10.5703125" style="194" customWidth="1"/>
    <col min="3076" max="3076" width="12.7109375" style="194" customWidth="1"/>
    <col min="3077" max="3077" width="10.7109375" style="194" customWidth="1"/>
    <col min="3078" max="3078" width="10.5703125" style="194" customWidth="1"/>
    <col min="3079" max="3079" width="9.28515625" style="194" customWidth="1"/>
    <col min="3080" max="3327" width="11.42578125" style="194"/>
    <col min="3328" max="3328" width="14.7109375" style="194" customWidth="1"/>
    <col min="3329" max="3329" width="26.85546875" style="194" customWidth="1"/>
    <col min="3330" max="3330" width="12.7109375" style="194" customWidth="1"/>
    <col min="3331" max="3331" width="10.5703125" style="194" customWidth="1"/>
    <col min="3332" max="3332" width="12.7109375" style="194" customWidth="1"/>
    <col min="3333" max="3333" width="10.7109375" style="194" customWidth="1"/>
    <col min="3334" max="3334" width="10.5703125" style="194" customWidth="1"/>
    <col min="3335" max="3335" width="9.28515625" style="194" customWidth="1"/>
    <col min="3336" max="3583" width="11.42578125" style="194"/>
    <col min="3584" max="3584" width="14.7109375" style="194" customWidth="1"/>
    <col min="3585" max="3585" width="26.85546875" style="194" customWidth="1"/>
    <col min="3586" max="3586" width="12.7109375" style="194" customWidth="1"/>
    <col min="3587" max="3587" width="10.5703125" style="194" customWidth="1"/>
    <col min="3588" max="3588" width="12.7109375" style="194" customWidth="1"/>
    <col min="3589" max="3589" width="10.7109375" style="194" customWidth="1"/>
    <col min="3590" max="3590" width="10.5703125" style="194" customWidth="1"/>
    <col min="3591" max="3591" width="9.28515625" style="194" customWidth="1"/>
    <col min="3592" max="3839" width="11.42578125" style="194"/>
    <col min="3840" max="3840" width="14.7109375" style="194" customWidth="1"/>
    <col min="3841" max="3841" width="26.85546875" style="194" customWidth="1"/>
    <col min="3842" max="3842" width="12.7109375" style="194" customWidth="1"/>
    <col min="3843" max="3843" width="10.5703125" style="194" customWidth="1"/>
    <col min="3844" max="3844" width="12.7109375" style="194" customWidth="1"/>
    <col min="3845" max="3845" width="10.7109375" style="194" customWidth="1"/>
    <col min="3846" max="3846" width="10.5703125" style="194" customWidth="1"/>
    <col min="3847" max="3847" width="9.28515625" style="194" customWidth="1"/>
    <col min="3848" max="4095" width="11.42578125" style="194"/>
    <col min="4096" max="4096" width="14.7109375" style="194" customWidth="1"/>
    <col min="4097" max="4097" width="26.85546875" style="194" customWidth="1"/>
    <col min="4098" max="4098" width="12.7109375" style="194" customWidth="1"/>
    <col min="4099" max="4099" width="10.5703125" style="194" customWidth="1"/>
    <col min="4100" max="4100" width="12.7109375" style="194" customWidth="1"/>
    <col min="4101" max="4101" width="10.7109375" style="194" customWidth="1"/>
    <col min="4102" max="4102" width="10.5703125" style="194" customWidth="1"/>
    <col min="4103" max="4103" width="9.28515625" style="194" customWidth="1"/>
    <col min="4104" max="4351" width="11.42578125" style="194"/>
    <col min="4352" max="4352" width="14.7109375" style="194" customWidth="1"/>
    <col min="4353" max="4353" width="26.85546875" style="194" customWidth="1"/>
    <col min="4354" max="4354" width="12.7109375" style="194" customWidth="1"/>
    <col min="4355" max="4355" width="10.5703125" style="194" customWidth="1"/>
    <col min="4356" max="4356" width="12.7109375" style="194" customWidth="1"/>
    <col min="4357" max="4357" width="10.7109375" style="194" customWidth="1"/>
    <col min="4358" max="4358" width="10.5703125" style="194" customWidth="1"/>
    <col min="4359" max="4359" width="9.28515625" style="194" customWidth="1"/>
    <col min="4360" max="4607" width="11.42578125" style="194"/>
    <col min="4608" max="4608" width="14.7109375" style="194" customWidth="1"/>
    <col min="4609" max="4609" width="26.85546875" style="194" customWidth="1"/>
    <col min="4610" max="4610" width="12.7109375" style="194" customWidth="1"/>
    <col min="4611" max="4611" width="10.5703125" style="194" customWidth="1"/>
    <col min="4612" max="4612" width="12.7109375" style="194" customWidth="1"/>
    <col min="4613" max="4613" width="10.7109375" style="194" customWidth="1"/>
    <col min="4614" max="4614" width="10.5703125" style="194" customWidth="1"/>
    <col min="4615" max="4615" width="9.28515625" style="194" customWidth="1"/>
    <col min="4616" max="4863" width="11.42578125" style="194"/>
    <col min="4864" max="4864" width="14.7109375" style="194" customWidth="1"/>
    <col min="4865" max="4865" width="26.85546875" style="194" customWidth="1"/>
    <col min="4866" max="4866" width="12.7109375" style="194" customWidth="1"/>
    <col min="4867" max="4867" width="10.5703125" style="194" customWidth="1"/>
    <col min="4868" max="4868" width="12.7109375" style="194" customWidth="1"/>
    <col min="4869" max="4869" width="10.7109375" style="194" customWidth="1"/>
    <col min="4870" max="4870" width="10.5703125" style="194" customWidth="1"/>
    <col min="4871" max="4871" width="9.28515625" style="194" customWidth="1"/>
    <col min="4872" max="5119" width="11.42578125" style="194"/>
    <col min="5120" max="5120" width="14.7109375" style="194" customWidth="1"/>
    <col min="5121" max="5121" width="26.85546875" style="194" customWidth="1"/>
    <col min="5122" max="5122" width="12.7109375" style="194" customWidth="1"/>
    <col min="5123" max="5123" width="10.5703125" style="194" customWidth="1"/>
    <col min="5124" max="5124" width="12.7109375" style="194" customWidth="1"/>
    <col min="5125" max="5125" width="10.7109375" style="194" customWidth="1"/>
    <col min="5126" max="5126" width="10.5703125" style="194" customWidth="1"/>
    <col min="5127" max="5127" width="9.28515625" style="194" customWidth="1"/>
    <col min="5128" max="5375" width="11.42578125" style="194"/>
    <col min="5376" max="5376" width="14.7109375" style="194" customWidth="1"/>
    <col min="5377" max="5377" width="26.85546875" style="194" customWidth="1"/>
    <col min="5378" max="5378" width="12.7109375" style="194" customWidth="1"/>
    <col min="5379" max="5379" width="10.5703125" style="194" customWidth="1"/>
    <col min="5380" max="5380" width="12.7109375" style="194" customWidth="1"/>
    <col min="5381" max="5381" width="10.7109375" style="194" customWidth="1"/>
    <col min="5382" max="5382" width="10.5703125" style="194" customWidth="1"/>
    <col min="5383" max="5383" width="9.28515625" style="194" customWidth="1"/>
    <col min="5384" max="5631" width="11.42578125" style="194"/>
    <col min="5632" max="5632" width="14.7109375" style="194" customWidth="1"/>
    <col min="5633" max="5633" width="26.85546875" style="194" customWidth="1"/>
    <col min="5634" max="5634" width="12.7109375" style="194" customWidth="1"/>
    <col min="5635" max="5635" width="10.5703125" style="194" customWidth="1"/>
    <col min="5636" max="5636" width="12.7109375" style="194" customWidth="1"/>
    <col min="5637" max="5637" width="10.7109375" style="194" customWidth="1"/>
    <col min="5638" max="5638" width="10.5703125" style="194" customWidth="1"/>
    <col min="5639" max="5639" width="9.28515625" style="194" customWidth="1"/>
    <col min="5640" max="5887" width="11.42578125" style="194"/>
    <col min="5888" max="5888" width="14.7109375" style="194" customWidth="1"/>
    <col min="5889" max="5889" width="26.85546875" style="194" customWidth="1"/>
    <col min="5890" max="5890" width="12.7109375" style="194" customWidth="1"/>
    <col min="5891" max="5891" width="10.5703125" style="194" customWidth="1"/>
    <col min="5892" max="5892" width="12.7109375" style="194" customWidth="1"/>
    <col min="5893" max="5893" width="10.7109375" style="194" customWidth="1"/>
    <col min="5894" max="5894" width="10.5703125" style="194" customWidth="1"/>
    <col min="5895" max="5895" width="9.28515625" style="194" customWidth="1"/>
    <col min="5896" max="6143" width="11.42578125" style="194"/>
    <col min="6144" max="6144" width="14.7109375" style="194" customWidth="1"/>
    <col min="6145" max="6145" width="26.85546875" style="194" customWidth="1"/>
    <col min="6146" max="6146" width="12.7109375" style="194" customWidth="1"/>
    <col min="6147" max="6147" width="10.5703125" style="194" customWidth="1"/>
    <col min="6148" max="6148" width="12.7109375" style="194" customWidth="1"/>
    <col min="6149" max="6149" width="10.7109375" style="194" customWidth="1"/>
    <col min="6150" max="6150" width="10.5703125" style="194" customWidth="1"/>
    <col min="6151" max="6151" width="9.28515625" style="194" customWidth="1"/>
    <col min="6152" max="6399" width="11.42578125" style="194"/>
    <col min="6400" max="6400" width="14.7109375" style="194" customWidth="1"/>
    <col min="6401" max="6401" width="26.85546875" style="194" customWidth="1"/>
    <col min="6402" max="6402" width="12.7109375" style="194" customWidth="1"/>
    <col min="6403" max="6403" width="10.5703125" style="194" customWidth="1"/>
    <col min="6404" max="6404" width="12.7109375" style="194" customWidth="1"/>
    <col min="6405" max="6405" width="10.7109375" style="194" customWidth="1"/>
    <col min="6406" max="6406" width="10.5703125" style="194" customWidth="1"/>
    <col min="6407" max="6407" width="9.28515625" style="194" customWidth="1"/>
    <col min="6408" max="6655" width="11.42578125" style="194"/>
    <col min="6656" max="6656" width="14.7109375" style="194" customWidth="1"/>
    <col min="6657" max="6657" width="26.85546875" style="194" customWidth="1"/>
    <col min="6658" max="6658" width="12.7109375" style="194" customWidth="1"/>
    <col min="6659" max="6659" width="10.5703125" style="194" customWidth="1"/>
    <col min="6660" max="6660" width="12.7109375" style="194" customWidth="1"/>
    <col min="6661" max="6661" width="10.7109375" style="194" customWidth="1"/>
    <col min="6662" max="6662" width="10.5703125" style="194" customWidth="1"/>
    <col min="6663" max="6663" width="9.28515625" style="194" customWidth="1"/>
    <col min="6664" max="6911" width="11.42578125" style="194"/>
    <col min="6912" max="6912" width="14.7109375" style="194" customWidth="1"/>
    <col min="6913" max="6913" width="26.85546875" style="194" customWidth="1"/>
    <col min="6914" max="6914" width="12.7109375" style="194" customWidth="1"/>
    <col min="6915" max="6915" width="10.5703125" style="194" customWidth="1"/>
    <col min="6916" max="6916" width="12.7109375" style="194" customWidth="1"/>
    <col min="6917" max="6917" width="10.7109375" style="194" customWidth="1"/>
    <col min="6918" max="6918" width="10.5703125" style="194" customWidth="1"/>
    <col min="6919" max="6919" width="9.28515625" style="194" customWidth="1"/>
    <col min="6920" max="7167" width="11.42578125" style="194"/>
    <col min="7168" max="7168" width="14.7109375" style="194" customWidth="1"/>
    <col min="7169" max="7169" width="26.85546875" style="194" customWidth="1"/>
    <col min="7170" max="7170" width="12.7109375" style="194" customWidth="1"/>
    <col min="7171" max="7171" width="10.5703125" style="194" customWidth="1"/>
    <col min="7172" max="7172" width="12.7109375" style="194" customWidth="1"/>
    <col min="7173" max="7173" width="10.7109375" style="194" customWidth="1"/>
    <col min="7174" max="7174" width="10.5703125" style="194" customWidth="1"/>
    <col min="7175" max="7175" width="9.28515625" style="194" customWidth="1"/>
    <col min="7176" max="7423" width="11.42578125" style="194"/>
    <col min="7424" max="7424" width="14.7109375" style="194" customWidth="1"/>
    <col min="7425" max="7425" width="26.85546875" style="194" customWidth="1"/>
    <col min="7426" max="7426" width="12.7109375" style="194" customWidth="1"/>
    <col min="7427" max="7427" width="10.5703125" style="194" customWidth="1"/>
    <col min="7428" max="7428" width="12.7109375" style="194" customWidth="1"/>
    <col min="7429" max="7429" width="10.7109375" style="194" customWidth="1"/>
    <col min="7430" max="7430" width="10.5703125" style="194" customWidth="1"/>
    <col min="7431" max="7431" width="9.28515625" style="194" customWidth="1"/>
    <col min="7432" max="7679" width="11.42578125" style="194"/>
    <col min="7680" max="7680" width="14.7109375" style="194" customWidth="1"/>
    <col min="7681" max="7681" width="26.85546875" style="194" customWidth="1"/>
    <col min="7682" max="7682" width="12.7109375" style="194" customWidth="1"/>
    <col min="7683" max="7683" width="10.5703125" style="194" customWidth="1"/>
    <col min="7684" max="7684" width="12.7109375" style="194" customWidth="1"/>
    <col min="7685" max="7685" width="10.7109375" style="194" customWidth="1"/>
    <col min="7686" max="7686" width="10.5703125" style="194" customWidth="1"/>
    <col min="7687" max="7687" width="9.28515625" style="194" customWidth="1"/>
    <col min="7688" max="7935" width="11.42578125" style="194"/>
    <col min="7936" max="7936" width="14.7109375" style="194" customWidth="1"/>
    <col min="7937" max="7937" width="26.85546875" style="194" customWidth="1"/>
    <col min="7938" max="7938" width="12.7109375" style="194" customWidth="1"/>
    <col min="7939" max="7939" width="10.5703125" style="194" customWidth="1"/>
    <col min="7940" max="7940" width="12.7109375" style="194" customWidth="1"/>
    <col min="7941" max="7941" width="10.7109375" style="194" customWidth="1"/>
    <col min="7942" max="7942" width="10.5703125" style="194" customWidth="1"/>
    <col min="7943" max="7943" width="9.28515625" style="194" customWidth="1"/>
    <col min="7944" max="8191" width="11.42578125" style="194"/>
    <col min="8192" max="8192" width="14.7109375" style="194" customWidth="1"/>
    <col min="8193" max="8193" width="26.85546875" style="194" customWidth="1"/>
    <col min="8194" max="8194" width="12.7109375" style="194" customWidth="1"/>
    <col min="8195" max="8195" width="10.5703125" style="194" customWidth="1"/>
    <col min="8196" max="8196" width="12.7109375" style="194" customWidth="1"/>
    <col min="8197" max="8197" width="10.7109375" style="194" customWidth="1"/>
    <col min="8198" max="8198" width="10.5703125" style="194" customWidth="1"/>
    <col min="8199" max="8199" width="9.28515625" style="194" customWidth="1"/>
    <col min="8200" max="8447" width="11.42578125" style="194"/>
    <col min="8448" max="8448" width="14.7109375" style="194" customWidth="1"/>
    <col min="8449" max="8449" width="26.85546875" style="194" customWidth="1"/>
    <col min="8450" max="8450" width="12.7109375" style="194" customWidth="1"/>
    <col min="8451" max="8451" width="10.5703125" style="194" customWidth="1"/>
    <col min="8452" max="8452" width="12.7109375" style="194" customWidth="1"/>
    <col min="8453" max="8453" width="10.7109375" style="194" customWidth="1"/>
    <col min="8454" max="8454" width="10.5703125" style="194" customWidth="1"/>
    <col min="8455" max="8455" width="9.28515625" style="194" customWidth="1"/>
    <col min="8456" max="8703" width="11.42578125" style="194"/>
    <col min="8704" max="8704" width="14.7109375" style="194" customWidth="1"/>
    <col min="8705" max="8705" width="26.85546875" style="194" customWidth="1"/>
    <col min="8706" max="8706" width="12.7109375" style="194" customWidth="1"/>
    <col min="8707" max="8707" width="10.5703125" style="194" customWidth="1"/>
    <col min="8708" max="8708" width="12.7109375" style="194" customWidth="1"/>
    <col min="8709" max="8709" width="10.7109375" style="194" customWidth="1"/>
    <col min="8710" max="8710" width="10.5703125" style="194" customWidth="1"/>
    <col min="8711" max="8711" width="9.28515625" style="194" customWidth="1"/>
    <col min="8712" max="8959" width="11.42578125" style="194"/>
    <col min="8960" max="8960" width="14.7109375" style="194" customWidth="1"/>
    <col min="8961" max="8961" width="26.85546875" style="194" customWidth="1"/>
    <col min="8962" max="8962" width="12.7109375" style="194" customWidth="1"/>
    <col min="8963" max="8963" width="10.5703125" style="194" customWidth="1"/>
    <col min="8964" max="8964" width="12.7109375" style="194" customWidth="1"/>
    <col min="8965" max="8965" width="10.7109375" style="194" customWidth="1"/>
    <col min="8966" max="8966" width="10.5703125" style="194" customWidth="1"/>
    <col min="8967" max="8967" width="9.28515625" style="194" customWidth="1"/>
    <col min="8968" max="9215" width="11.42578125" style="194"/>
    <col min="9216" max="9216" width="14.7109375" style="194" customWidth="1"/>
    <col min="9217" max="9217" width="26.85546875" style="194" customWidth="1"/>
    <col min="9218" max="9218" width="12.7109375" style="194" customWidth="1"/>
    <col min="9219" max="9219" width="10.5703125" style="194" customWidth="1"/>
    <col min="9220" max="9220" width="12.7109375" style="194" customWidth="1"/>
    <col min="9221" max="9221" width="10.7109375" style="194" customWidth="1"/>
    <col min="9222" max="9222" width="10.5703125" style="194" customWidth="1"/>
    <col min="9223" max="9223" width="9.28515625" style="194" customWidth="1"/>
    <col min="9224" max="9471" width="11.42578125" style="194"/>
    <col min="9472" max="9472" width="14.7109375" style="194" customWidth="1"/>
    <col min="9473" max="9473" width="26.85546875" style="194" customWidth="1"/>
    <col min="9474" max="9474" width="12.7109375" style="194" customWidth="1"/>
    <col min="9475" max="9475" width="10.5703125" style="194" customWidth="1"/>
    <col min="9476" max="9476" width="12.7109375" style="194" customWidth="1"/>
    <col min="9477" max="9477" width="10.7109375" style="194" customWidth="1"/>
    <col min="9478" max="9478" width="10.5703125" style="194" customWidth="1"/>
    <col min="9479" max="9479" width="9.28515625" style="194" customWidth="1"/>
    <col min="9480" max="9727" width="11.42578125" style="194"/>
    <col min="9728" max="9728" width="14.7109375" style="194" customWidth="1"/>
    <col min="9729" max="9729" width="26.85546875" style="194" customWidth="1"/>
    <col min="9730" max="9730" width="12.7109375" style="194" customWidth="1"/>
    <col min="9731" max="9731" width="10.5703125" style="194" customWidth="1"/>
    <col min="9732" max="9732" width="12.7109375" style="194" customWidth="1"/>
    <col min="9733" max="9733" width="10.7109375" style="194" customWidth="1"/>
    <col min="9734" max="9734" width="10.5703125" style="194" customWidth="1"/>
    <col min="9735" max="9735" width="9.28515625" style="194" customWidth="1"/>
    <col min="9736" max="9983" width="11.42578125" style="194"/>
    <col min="9984" max="9984" width="14.7109375" style="194" customWidth="1"/>
    <col min="9985" max="9985" width="26.85546875" style="194" customWidth="1"/>
    <col min="9986" max="9986" width="12.7109375" style="194" customWidth="1"/>
    <col min="9987" max="9987" width="10.5703125" style="194" customWidth="1"/>
    <col min="9988" max="9988" width="12.7109375" style="194" customWidth="1"/>
    <col min="9989" max="9989" width="10.7109375" style="194" customWidth="1"/>
    <col min="9990" max="9990" width="10.5703125" style="194" customWidth="1"/>
    <col min="9991" max="9991" width="9.28515625" style="194" customWidth="1"/>
    <col min="9992" max="10239" width="11.42578125" style="194"/>
    <col min="10240" max="10240" width="14.7109375" style="194" customWidth="1"/>
    <col min="10241" max="10241" width="26.85546875" style="194" customWidth="1"/>
    <col min="10242" max="10242" width="12.7109375" style="194" customWidth="1"/>
    <col min="10243" max="10243" width="10.5703125" style="194" customWidth="1"/>
    <col min="10244" max="10244" width="12.7109375" style="194" customWidth="1"/>
    <col min="10245" max="10245" width="10.7109375" style="194" customWidth="1"/>
    <col min="10246" max="10246" width="10.5703125" style="194" customWidth="1"/>
    <col min="10247" max="10247" width="9.28515625" style="194" customWidth="1"/>
    <col min="10248" max="10495" width="11.42578125" style="194"/>
    <col min="10496" max="10496" width="14.7109375" style="194" customWidth="1"/>
    <col min="10497" max="10497" width="26.85546875" style="194" customWidth="1"/>
    <col min="10498" max="10498" width="12.7109375" style="194" customWidth="1"/>
    <col min="10499" max="10499" width="10.5703125" style="194" customWidth="1"/>
    <col min="10500" max="10500" width="12.7109375" style="194" customWidth="1"/>
    <col min="10501" max="10501" width="10.7109375" style="194" customWidth="1"/>
    <col min="10502" max="10502" width="10.5703125" style="194" customWidth="1"/>
    <col min="10503" max="10503" width="9.28515625" style="194" customWidth="1"/>
    <col min="10504" max="10751" width="11.42578125" style="194"/>
    <col min="10752" max="10752" width="14.7109375" style="194" customWidth="1"/>
    <col min="10753" max="10753" width="26.85546875" style="194" customWidth="1"/>
    <col min="10754" max="10754" width="12.7109375" style="194" customWidth="1"/>
    <col min="10755" max="10755" width="10.5703125" style="194" customWidth="1"/>
    <col min="10756" max="10756" width="12.7109375" style="194" customWidth="1"/>
    <col min="10757" max="10757" width="10.7109375" style="194" customWidth="1"/>
    <col min="10758" max="10758" width="10.5703125" style="194" customWidth="1"/>
    <col min="10759" max="10759" width="9.28515625" style="194" customWidth="1"/>
    <col min="10760" max="11007" width="11.42578125" style="194"/>
    <col min="11008" max="11008" width="14.7109375" style="194" customWidth="1"/>
    <col min="11009" max="11009" width="26.85546875" style="194" customWidth="1"/>
    <col min="11010" max="11010" width="12.7109375" style="194" customWidth="1"/>
    <col min="11011" max="11011" width="10.5703125" style="194" customWidth="1"/>
    <col min="11012" max="11012" width="12.7109375" style="194" customWidth="1"/>
    <col min="11013" max="11013" width="10.7109375" style="194" customWidth="1"/>
    <col min="11014" max="11014" width="10.5703125" style="194" customWidth="1"/>
    <col min="11015" max="11015" width="9.28515625" style="194" customWidth="1"/>
    <col min="11016" max="11263" width="11.42578125" style="194"/>
    <col min="11264" max="11264" width="14.7109375" style="194" customWidth="1"/>
    <col min="11265" max="11265" width="26.85546875" style="194" customWidth="1"/>
    <col min="11266" max="11266" width="12.7109375" style="194" customWidth="1"/>
    <col min="11267" max="11267" width="10.5703125" style="194" customWidth="1"/>
    <col min="11268" max="11268" width="12.7109375" style="194" customWidth="1"/>
    <col min="11269" max="11269" width="10.7109375" style="194" customWidth="1"/>
    <col min="11270" max="11270" width="10.5703125" style="194" customWidth="1"/>
    <col min="11271" max="11271" width="9.28515625" style="194" customWidth="1"/>
    <col min="11272" max="11519" width="11.42578125" style="194"/>
    <col min="11520" max="11520" width="14.7109375" style="194" customWidth="1"/>
    <col min="11521" max="11521" width="26.85546875" style="194" customWidth="1"/>
    <col min="11522" max="11522" width="12.7109375" style="194" customWidth="1"/>
    <col min="11523" max="11523" width="10.5703125" style="194" customWidth="1"/>
    <col min="11524" max="11524" width="12.7109375" style="194" customWidth="1"/>
    <col min="11525" max="11525" width="10.7109375" style="194" customWidth="1"/>
    <col min="11526" max="11526" width="10.5703125" style="194" customWidth="1"/>
    <col min="11527" max="11527" width="9.28515625" style="194" customWidth="1"/>
    <col min="11528" max="11775" width="11.42578125" style="194"/>
    <col min="11776" max="11776" width="14.7109375" style="194" customWidth="1"/>
    <col min="11777" max="11777" width="26.85546875" style="194" customWidth="1"/>
    <col min="11778" max="11778" width="12.7109375" style="194" customWidth="1"/>
    <col min="11779" max="11779" width="10.5703125" style="194" customWidth="1"/>
    <col min="11780" max="11780" width="12.7109375" style="194" customWidth="1"/>
    <col min="11781" max="11781" width="10.7109375" style="194" customWidth="1"/>
    <col min="11782" max="11782" width="10.5703125" style="194" customWidth="1"/>
    <col min="11783" max="11783" width="9.28515625" style="194" customWidth="1"/>
    <col min="11784" max="12031" width="11.42578125" style="194"/>
    <col min="12032" max="12032" width="14.7109375" style="194" customWidth="1"/>
    <col min="12033" max="12033" width="26.85546875" style="194" customWidth="1"/>
    <col min="12034" max="12034" width="12.7109375" style="194" customWidth="1"/>
    <col min="12035" max="12035" width="10.5703125" style="194" customWidth="1"/>
    <col min="12036" max="12036" width="12.7109375" style="194" customWidth="1"/>
    <col min="12037" max="12037" width="10.7109375" style="194" customWidth="1"/>
    <col min="12038" max="12038" width="10.5703125" style="194" customWidth="1"/>
    <col min="12039" max="12039" width="9.28515625" style="194" customWidth="1"/>
    <col min="12040" max="12287" width="11.42578125" style="194"/>
    <col min="12288" max="12288" width="14.7109375" style="194" customWidth="1"/>
    <col min="12289" max="12289" width="26.85546875" style="194" customWidth="1"/>
    <col min="12290" max="12290" width="12.7109375" style="194" customWidth="1"/>
    <col min="12291" max="12291" width="10.5703125" style="194" customWidth="1"/>
    <col min="12292" max="12292" width="12.7109375" style="194" customWidth="1"/>
    <col min="12293" max="12293" width="10.7109375" style="194" customWidth="1"/>
    <col min="12294" max="12294" width="10.5703125" style="194" customWidth="1"/>
    <col min="12295" max="12295" width="9.28515625" style="194" customWidth="1"/>
    <col min="12296" max="12543" width="11.42578125" style="194"/>
    <col min="12544" max="12544" width="14.7109375" style="194" customWidth="1"/>
    <col min="12545" max="12545" width="26.85546875" style="194" customWidth="1"/>
    <col min="12546" max="12546" width="12.7109375" style="194" customWidth="1"/>
    <col min="12547" max="12547" width="10.5703125" style="194" customWidth="1"/>
    <col min="12548" max="12548" width="12.7109375" style="194" customWidth="1"/>
    <col min="12549" max="12549" width="10.7109375" style="194" customWidth="1"/>
    <col min="12550" max="12550" width="10.5703125" style="194" customWidth="1"/>
    <col min="12551" max="12551" width="9.28515625" style="194" customWidth="1"/>
    <col min="12552" max="12799" width="11.42578125" style="194"/>
    <col min="12800" max="12800" width="14.7109375" style="194" customWidth="1"/>
    <col min="12801" max="12801" width="26.85546875" style="194" customWidth="1"/>
    <col min="12802" max="12802" width="12.7109375" style="194" customWidth="1"/>
    <col min="12803" max="12803" width="10.5703125" style="194" customWidth="1"/>
    <col min="12804" max="12804" width="12.7109375" style="194" customWidth="1"/>
    <col min="12805" max="12805" width="10.7109375" style="194" customWidth="1"/>
    <col min="12806" max="12806" width="10.5703125" style="194" customWidth="1"/>
    <col min="12807" max="12807" width="9.28515625" style="194" customWidth="1"/>
    <col min="12808" max="13055" width="11.42578125" style="194"/>
    <col min="13056" max="13056" width="14.7109375" style="194" customWidth="1"/>
    <col min="13057" max="13057" width="26.85546875" style="194" customWidth="1"/>
    <col min="13058" max="13058" width="12.7109375" style="194" customWidth="1"/>
    <col min="13059" max="13059" width="10.5703125" style="194" customWidth="1"/>
    <col min="13060" max="13060" width="12.7109375" style="194" customWidth="1"/>
    <col min="13061" max="13061" width="10.7109375" style="194" customWidth="1"/>
    <col min="13062" max="13062" width="10.5703125" style="194" customWidth="1"/>
    <col min="13063" max="13063" width="9.28515625" style="194" customWidth="1"/>
    <col min="13064" max="13311" width="11.42578125" style="194"/>
    <col min="13312" max="13312" width="14.7109375" style="194" customWidth="1"/>
    <col min="13313" max="13313" width="26.85546875" style="194" customWidth="1"/>
    <col min="13314" max="13314" width="12.7109375" style="194" customWidth="1"/>
    <col min="13315" max="13315" width="10.5703125" style="194" customWidth="1"/>
    <col min="13316" max="13316" width="12.7109375" style="194" customWidth="1"/>
    <col min="13317" max="13317" width="10.7109375" style="194" customWidth="1"/>
    <col min="13318" max="13318" width="10.5703125" style="194" customWidth="1"/>
    <col min="13319" max="13319" width="9.28515625" style="194" customWidth="1"/>
    <col min="13320" max="13567" width="11.42578125" style="194"/>
    <col min="13568" max="13568" width="14.7109375" style="194" customWidth="1"/>
    <col min="13569" max="13569" width="26.85546875" style="194" customWidth="1"/>
    <col min="13570" max="13570" width="12.7109375" style="194" customWidth="1"/>
    <col min="13571" max="13571" width="10.5703125" style="194" customWidth="1"/>
    <col min="13572" max="13572" width="12.7109375" style="194" customWidth="1"/>
    <col min="13573" max="13573" width="10.7109375" style="194" customWidth="1"/>
    <col min="13574" max="13574" width="10.5703125" style="194" customWidth="1"/>
    <col min="13575" max="13575" width="9.28515625" style="194" customWidth="1"/>
    <col min="13576" max="13823" width="11.42578125" style="194"/>
    <col min="13824" max="13824" width="14.7109375" style="194" customWidth="1"/>
    <col min="13825" max="13825" width="26.85546875" style="194" customWidth="1"/>
    <col min="13826" max="13826" width="12.7109375" style="194" customWidth="1"/>
    <col min="13827" max="13827" width="10.5703125" style="194" customWidth="1"/>
    <col min="13828" max="13828" width="12.7109375" style="194" customWidth="1"/>
    <col min="13829" max="13829" width="10.7109375" style="194" customWidth="1"/>
    <col min="13830" max="13830" width="10.5703125" style="194" customWidth="1"/>
    <col min="13831" max="13831" width="9.28515625" style="194" customWidth="1"/>
    <col min="13832" max="14079" width="11.42578125" style="194"/>
    <col min="14080" max="14080" width="14.7109375" style="194" customWidth="1"/>
    <col min="14081" max="14081" width="26.85546875" style="194" customWidth="1"/>
    <col min="14082" max="14082" width="12.7109375" style="194" customWidth="1"/>
    <col min="14083" max="14083" width="10.5703125" style="194" customWidth="1"/>
    <col min="14084" max="14084" width="12.7109375" style="194" customWidth="1"/>
    <col min="14085" max="14085" width="10.7109375" style="194" customWidth="1"/>
    <col min="14086" max="14086" width="10.5703125" style="194" customWidth="1"/>
    <col min="14087" max="14087" width="9.28515625" style="194" customWidth="1"/>
    <col min="14088" max="14335" width="11.42578125" style="194"/>
    <col min="14336" max="14336" width="14.7109375" style="194" customWidth="1"/>
    <col min="14337" max="14337" width="26.85546875" style="194" customWidth="1"/>
    <col min="14338" max="14338" width="12.7109375" style="194" customWidth="1"/>
    <col min="14339" max="14339" width="10.5703125" style="194" customWidth="1"/>
    <col min="14340" max="14340" width="12.7109375" style="194" customWidth="1"/>
    <col min="14341" max="14341" width="10.7109375" style="194" customWidth="1"/>
    <col min="14342" max="14342" width="10.5703125" style="194" customWidth="1"/>
    <col min="14343" max="14343" width="9.28515625" style="194" customWidth="1"/>
    <col min="14344" max="14591" width="11.42578125" style="194"/>
    <col min="14592" max="14592" width="14.7109375" style="194" customWidth="1"/>
    <col min="14593" max="14593" width="26.85546875" style="194" customWidth="1"/>
    <col min="14594" max="14594" width="12.7109375" style="194" customWidth="1"/>
    <col min="14595" max="14595" width="10.5703125" style="194" customWidth="1"/>
    <col min="14596" max="14596" width="12.7109375" style="194" customWidth="1"/>
    <col min="14597" max="14597" width="10.7109375" style="194" customWidth="1"/>
    <col min="14598" max="14598" width="10.5703125" style="194" customWidth="1"/>
    <col min="14599" max="14599" width="9.28515625" style="194" customWidth="1"/>
    <col min="14600" max="14847" width="11.42578125" style="194"/>
    <col min="14848" max="14848" width="14.7109375" style="194" customWidth="1"/>
    <col min="14849" max="14849" width="26.85546875" style="194" customWidth="1"/>
    <col min="14850" max="14850" width="12.7109375" style="194" customWidth="1"/>
    <col min="14851" max="14851" width="10.5703125" style="194" customWidth="1"/>
    <col min="14852" max="14852" width="12.7109375" style="194" customWidth="1"/>
    <col min="14853" max="14853" width="10.7109375" style="194" customWidth="1"/>
    <col min="14854" max="14854" width="10.5703125" style="194" customWidth="1"/>
    <col min="14855" max="14855" width="9.28515625" style="194" customWidth="1"/>
    <col min="14856" max="15103" width="11.42578125" style="194"/>
    <col min="15104" max="15104" width="14.7109375" style="194" customWidth="1"/>
    <col min="15105" max="15105" width="26.85546875" style="194" customWidth="1"/>
    <col min="15106" max="15106" width="12.7109375" style="194" customWidth="1"/>
    <col min="15107" max="15107" width="10.5703125" style="194" customWidth="1"/>
    <col min="15108" max="15108" width="12.7109375" style="194" customWidth="1"/>
    <col min="15109" max="15109" width="10.7109375" style="194" customWidth="1"/>
    <col min="15110" max="15110" width="10.5703125" style="194" customWidth="1"/>
    <col min="15111" max="15111" width="9.28515625" style="194" customWidth="1"/>
    <col min="15112" max="15359" width="11.42578125" style="194"/>
    <col min="15360" max="15360" width="14.7109375" style="194" customWidth="1"/>
    <col min="15361" max="15361" width="26.85546875" style="194" customWidth="1"/>
    <col min="15362" max="15362" width="12.7109375" style="194" customWidth="1"/>
    <col min="15363" max="15363" width="10.5703125" style="194" customWidth="1"/>
    <col min="15364" max="15364" width="12.7109375" style="194" customWidth="1"/>
    <col min="15365" max="15365" width="10.7109375" style="194" customWidth="1"/>
    <col min="15366" max="15366" width="10.5703125" style="194" customWidth="1"/>
    <col min="15367" max="15367" width="9.28515625" style="194" customWidth="1"/>
    <col min="15368" max="15615" width="11.42578125" style="194"/>
    <col min="15616" max="15616" width="14.7109375" style="194" customWidth="1"/>
    <col min="15617" max="15617" width="26.85546875" style="194" customWidth="1"/>
    <col min="15618" max="15618" width="12.7109375" style="194" customWidth="1"/>
    <col min="15619" max="15619" width="10.5703125" style="194" customWidth="1"/>
    <col min="15620" max="15620" width="12.7109375" style="194" customWidth="1"/>
    <col min="15621" max="15621" width="10.7109375" style="194" customWidth="1"/>
    <col min="15622" max="15622" width="10.5703125" style="194" customWidth="1"/>
    <col min="15623" max="15623" width="9.28515625" style="194" customWidth="1"/>
    <col min="15624" max="15871" width="11.42578125" style="194"/>
    <col min="15872" max="15872" width="14.7109375" style="194" customWidth="1"/>
    <col min="15873" max="15873" width="26.85546875" style="194" customWidth="1"/>
    <col min="15874" max="15874" width="12.7109375" style="194" customWidth="1"/>
    <col min="15875" max="15875" width="10.5703125" style="194" customWidth="1"/>
    <col min="15876" max="15876" width="12.7109375" style="194" customWidth="1"/>
    <col min="15877" max="15877" width="10.7109375" style="194" customWidth="1"/>
    <col min="15878" max="15878" width="10.5703125" style="194" customWidth="1"/>
    <col min="15879" max="15879" width="9.28515625" style="194" customWidth="1"/>
    <col min="15880" max="16127" width="11.42578125" style="194"/>
    <col min="16128" max="16128" width="14.7109375" style="194" customWidth="1"/>
    <col min="16129" max="16129" width="26.85546875" style="194" customWidth="1"/>
    <col min="16130" max="16130" width="12.7109375" style="194" customWidth="1"/>
    <col min="16131" max="16131" width="10.5703125" style="194" customWidth="1"/>
    <col min="16132" max="16132" width="12.7109375" style="194" customWidth="1"/>
    <col min="16133" max="16133" width="10.7109375" style="194" customWidth="1"/>
    <col min="16134" max="16134" width="10.5703125" style="194" customWidth="1"/>
    <col min="16135" max="16135" width="9.28515625" style="194" customWidth="1"/>
    <col min="16136" max="16384" width="11.42578125" style="194"/>
  </cols>
  <sheetData>
    <row r="1" spans="2:14">
      <c r="B1" s="425"/>
    </row>
    <row r="2" spans="2:14">
      <c r="B2" s="425"/>
    </row>
    <row r="3" spans="2:14">
      <c r="B3" s="425"/>
    </row>
    <row r="4" spans="2:14" ht="14.25" customHeight="1">
      <c r="B4" s="425"/>
    </row>
    <row r="5" spans="2:14">
      <c r="B5" s="425"/>
    </row>
    <row r="6" spans="2:14" ht="25.5" customHeight="1">
      <c r="B6" s="489" t="s">
        <v>336</v>
      </c>
      <c r="C6" s="490"/>
      <c r="D6" s="490"/>
      <c r="E6" s="490"/>
      <c r="F6" s="490"/>
      <c r="G6" s="491"/>
      <c r="I6" s="489" t="s">
        <v>336</v>
      </c>
      <c r="J6" s="490"/>
      <c r="K6" s="490"/>
      <c r="L6" s="490"/>
      <c r="M6" s="490"/>
      <c r="N6" s="491"/>
    </row>
    <row r="7" spans="2:14" ht="25.5" customHeight="1">
      <c r="B7" s="572"/>
      <c r="C7" s="492" t="s">
        <v>296</v>
      </c>
      <c r="D7" s="573" t="s">
        <v>337</v>
      </c>
      <c r="E7" s="492" t="s">
        <v>338</v>
      </c>
      <c r="F7" s="573" t="s">
        <v>337</v>
      </c>
      <c r="G7" s="574" t="s">
        <v>28</v>
      </c>
      <c r="I7" s="572"/>
      <c r="J7" s="492" t="s">
        <v>339</v>
      </c>
      <c r="K7" s="573" t="s">
        <v>337</v>
      </c>
      <c r="L7" s="492" t="s">
        <v>340</v>
      </c>
      <c r="M7" s="573" t="s">
        <v>337</v>
      </c>
      <c r="N7" s="574" t="s">
        <v>28</v>
      </c>
    </row>
    <row r="8" spans="2:14">
      <c r="B8" s="434" t="s">
        <v>341</v>
      </c>
      <c r="C8" s="575"/>
      <c r="D8" s="576"/>
      <c r="E8" s="575"/>
      <c r="F8" s="575"/>
      <c r="G8" s="577"/>
      <c r="I8" s="434" t="s">
        <v>341</v>
      </c>
      <c r="J8" s="575"/>
      <c r="K8" s="576"/>
      <c r="L8" s="575"/>
      <c r="M8" s="575"/>
      <c r="N8" s="577"/>
    </row>
    <row r="9" spans="2:14">
      <c r="B9" s="578" t="s">
        <v>342</v>
      </c>
      <c r="C9" s="579">
        <f>GETPIVOTDATA("Suma de TOTAL GENERAL",'[1]tabla dinámica oferta alojativa'!$A$4,"PAIS/INDICADOR","plazas I semestre","AÑO",2009)</f>
        <v>185142</v>
      </c>
      <c r="D9" s="470">
        <f>C9/$C$9</f>
        <v>1</v>
      </c>
      <c r="E9" s="579">
        <f>GETPIVOTDATA("Suma de TOTAL GENERAL",'[1]tabla dinámica oferta alojativa'!$A$4,"PAIS/INDICADOR","plazas I semestre","AÑO",2010)</f>
        <v>178697</v>
      </c>
      <c r="F9" s="470">
        <f>E9/E$9</f>
        <v>1</v>
      </c>
      <c r="G9" s="470">
        <f>(E9-C9)/C9</f>
        <v>-3.4811117952706569E-2</v>
      </c>
      <c r="I9" s="578" t="s">
        <v>342</v>
      </c>
      <c r="J9" s="579">
        <f>GETPIVOTDATA("Suma de TOTAL GENERAL",'[1]tabla dinámica oferta alojativa'!$A$4,"PAIS/INDICADOR","plazas II semestre","AÑO",2009)</f>
        <v>181964</v>
      </c>
      <c r="K9" s="470">
        <f>J9/$J$9</f>
        <v>1</v>
      </c>
      <c r="L9" s="579">
        <f>GETPIVOTDATA("Suma de TOTAL GENERAL",'[1]tabla dinámica oferta alojativa'!$A$4,"PAIS/INDICADOR","plazas II semestre","AÑO",2010)</f>
        <v>175168</v>
      </c>
      <c r="M9" s="470">
        <f>L9/L$9</f>
        <v>1</v>
      </c>
      <c r="N9" s="470">
        <f>(L9-J9)/J9</f>
        <v>-3.7348046866413138E-2</v>
      </c>
    </row>
    <row r="10" spans="2:14">
      <c r="B10" s="580" t="s">
        <v>343</v>
      </c>
      <c r="C10" s="581">
        <f>GETPIVOTDATA("Suma de TOTAL HOTELERO",'[1]tabla dinámica oferta alojativa'!$A$4,"PAIS/INDICADOR","plazas I semestre","AÑO",2009)</f>
        <v>88057</v>
      </c>
      <c r="D10" s="477">
        <f>C10/$C$9</f>
        <v>0.47561871428417107</v>
      </c>
      <c r="E10" s="581">
        <f>GETPIVOTDATA("Suma de TOTAL HOTELERO",'[1]tabla dinámica oferta alojativa'!$A$4,"PAIS/INDICADOR","plazas I semestre","AÑO",2010)</f>
        <v>86541</v>
      </c>
      <c r="F10" s="477">
        <f>E10/E$9</f>
        <v>0.48428904794148753</v>
      </c>
      <c r="G10" s="477">
        <f>(E10-C10)/C10</f>
        <v>-1.7216121375926957E-2</v>
      </c>
      <c r="I10" s="580" t="s">
        <v>343</v>
      </c>
      <c r="J10" s="581">
        <f>GETPIVOTDATA("Suma de TOTAL HOTELERO",'[1]tabla dinámica oferta alojativa'!$A$4,"PAIS/INDICADOR","plazas II semestre","AÑO",2009)</f>
        <v>87662</v>
      </c>
      <c r="K10" s="477">
        <f>J10/$J$9</f>
        <v>0.48175463278450681</v>
      </c>
      <c r="L10" s="581">
        <f>GETPIVOTDATA("Suma de TOTAL HOTELERO",'[1]tabla dinámica oferta alojativa'!$A$4,"PAIS/INDICADOR","plazas II semestre","AÑO",2010)</f>
        <v>85983</v>
      </c>
      <c r="M10" s="477">
        <f>L10/L$9</f>
        <v>0.4908602027767629</v>
      </c>
      <c r="N10" s="477">
        <f>(L10-J10)/J10</f>
        <v>-1.9153110811982389E-2</v>
      </c>
    </row>
    <row r="11" spans="2:14">
      <c r="B11" s="582" t="s">
        <v>344</v>
      </c>
      <c r="C11" s="583">
        <f>GETPIVOTDATA("Suma de Extrahoteleros",'[1]tabla dinámica oferta alojativa'!$A$4,"PAIS/INDICADOR","plazas I semestre","AÑO",2009)</f>
        <v>97085</v>
      </c>
      <c r="D11" s="483">
        <f>C11/$C$9</f>
        <v>0.52438128571582898</v>
      </c>
      <c r="E11" s="583">
        <f>GETPIVOTDATA("Suma de Extrahoteleros",'[1]tabla dinámica oferta alojativa'!$A$4,"PAIS/INDICADOR","plazas I semestre","AÑO",2010)</f>
        <v>92156</v>
      </c>
      <c r="F11" s="483">
        <f>E11/E$9</f>
        <v>0.51571095205851247</v>
      </c>
      <c r="G11" s="477">
        <f>(E11-C11)/C11</f>
        <v>-5.0769943863624656E-2</v>
      </c>
      <c r="I11" s="582" t="s">
        <v>344</v>
      </c>
      <c r="J11" s="583">
        <f>GETPIVOTDATA("Suma de Extrahoteleros",'[1]tabla dinámica oferta alojativa'!$A$4,"PAIS/INDICADOR","plazas II semestre","AÑO",2009)</f>
        <v>94302</v>
      </c>
      <c r="K11" s="483">
        <f>J11/$J$9</f>
        <v>0.51824536721549319</v>
      </c>
      <c r="L11" s="583">
        <f>GETPIVOTDATA("Suma de Extrahoteleros",'[1]tabla dinámica oferta alojativa'!$A$4,"PAIS/INDICADOR","plazas II semestre","AÑO",2010)</f>
        <v>89185</v>
      </c>
      <c r="M11" s="483">
        <f>L11/L$9</f>
        <v>0.5091397972232371</v>
      </c>
      <c r="N11" s="477">
        <f>(L11-J11)/J11</f>
        <v>-5.4261839621641113E-2</v>
      </c>
    </row>
    <row r="12" spans="2:14">
      <c r="B12" s="434" t="s">
        <v>345</v>
      </c>
      <c r="C12" s="584"/>
      <c r="D12" s="585"/>
      <c r="E12" s="584"/>
      <c r="F12" s="575"/>
      <c r="G12" s="586"/>
      <c r="I12" s="434" t="s">
        <v>345</v>
      </c>
      <c r="J12" s="584"/>
      <c r="K12" s="585"/>
      <c r="L12" s="584"/>
      <c r="M12" s="575"/>
      <c r="N12" s="586"/>
    </row>
    <row r="13" spans="2:14">
      <c r="B13" s="578" t="s">
        <v>342</v>
      </c>
      <c r="C13" s="579">
        <f>GETPIVOTDATA("Suma de TOTAL Z1",'[1]tabla dinámica oferta alojativa'!$A$4,"PAIS/INDICADOR","plazas I semestre","AÑO",2009)</f>
        <v>2531</v>
      </c>
      <c r="D13" s="470">
        <f>C13/$C$13</f>
        <v>1</v>
      </c>
      <c r="E13" s="579">
        <f>GETPIVOTDATA("Suma de TOTAL Z1",'[1]tabla dinámica oferta alojativa'!$A$4,"PAIS/INDICADOR","plazas I semestre","AÑO",2010)</f>
        <v>2504</v>
      </c>
      <c r="F13" s="470">
        <f>E13/$E$13</f>
        <v>1</v>
      </c>
      <c r="G13" s="470">
        <f>(E13-C13)/C13</f>
        <v>-1.066772026866851E-2</v>
      </c>
      <c r="I13" s="578" t="s">
        <v>342</v>
      </c>
      <c r="J13" s="579">
        <f>GETPIVOTDATA("Suma de TOTAL Z1",'[1]tabla dinámica oferta alojativa'!$A$4,"PAIS/INDICADOR","plazas II semestre","AÑO",2009)</f>
        <v>2504</v>
      </c>
      <c r="K13" s="470">
        <f>J13/$J$13</f>
        <v>1</v>
      </c>
      <c r="L13" s="579">
        <f>GETPIVOTDATA("Suma de TOTAL Z1",'[1]tabla dinámica oferta alojativa'!$A$4,"PAIS/INDICADOR","plazas II semestre","AÑO",2010)</f>
        <v>1947</v>
      </c>
      <c r="M13" s="470">
        <f>L13/$L$13</f>
        <v>1</v>
      </c>
      <c r="N13" s="470">
        <f>(L13-J13)/J13</f>
        <v>-0.222444089456869</v>
      </c>
    </row>
    <row r="14" spans="2:14">
      <c r="B14" s="580" t="s">
        <v>343</v>
      </c>
      <c r="C14" s="581">
        <f>GETPIVOTDATA("Suma de HOTEL Z1",'[1]tabla dinámica oferta alojativa'!$A$4,"PAIS/INDICADOR","plazas I semestre","AÑO",2009)</f>
        <v>2531</v>
      </c>
      <c r="D14" s="477">
        <f>C14/$C$13</f>
        <v>1</v>
      </c>
      <c r="E14" s="581">
        <f>GETPIVOTDATA("Suma de HOTEL Z1",'[1]tabla dinámica oferta alojativa'!$A$4,"PAIS/INDICADOR","plazas I semestre","AÑO",2010)</f>
        <v>2504</v>
      </c>
      <c r="F14" s="477">
        <f>E14/$E$14</f>
        <v>1</v>
      </c>
      <c r="G14" s="477">
        <f>(E14-C14)/C14</f>
        <v>-1.066772026866851E-2</v>
      </c>
      <c r="I14" s="580" t="s">
        <v>343</v>
      </c>
      <c r="J14" s="581">
        <f>GETPIVOTDATA("Suma de HOTEL Z1",'[1]tabla dinámica oferta alojativa'!$A$4,"PAIS/INDICADOR","plazas II semestre","AÑO",2009)</f>
        <v>2504</v>
      </c>
      <c r="K14" s="477">
        <f>J14/$J$13</f>
        <v>1</v>
      </c>
      <c r="L14" s="581">
        <f>GETPIVOTDATA("Suma de HOTEL Z1",'[1]tabla dinámica oferta alojativa'!$A$4,"PAIS/INDICADOR","plazas II semestre","AÑO",2010)</f>
        <v>1947</v>
      </c>
      <c r="M14" s="477">
        <f>L14/$L$13</f>
        <v>1</v>
      </c>
      <c r="N14" s="477">
        <f>(L14-J14)/J14</f>
        <v>-0.222444089456869</v>
      </c>
    </row>
    <row r="15" spans="2:14">
      <c r="B15" s="582" t="s">
        <v>344</v>
      </c>
      <c r="C15" s="587" t="s">
        <v>32</v>
      </c>
      <c r="D15" s="588" t="s">
        <v>32</v>
      </c>
      <c r="E15" s="587" t="s">
        <v>32</v>
      </c>
      <c r="F15" s="588" t="s">
        <v>32</v>
      </c>
      <c r="G15" s="589" t="s">
        <v>32</v>
      </c>
      <c r="I15" s="582" t="s">
        <v>344</v>
      </c>
      <c r="J15" s="587" t="s">
        <v>32</v>
      </c>
      <c r="K15" s="588" t="s">
        <v>32</v>
      </c>
      <c r="L15" s="587" t="s">
        <v>32</v>
      </c>
      <c r="M15" s="588" t="s">
        <v>32</v>
      </c>
      <c r="N15" s="589" t="s">
        <v>32</v>
      </c>
    </row>
    <row r="16" spans="2:14">
      <c r="B16" s="434" t="s">
        <v>346</v>
      </c>
      <c r="C16" s="590"/>
      <c r="D16" s="577"/>
      <c r="E16" s="590"/>
      <c r="F16" s="575"/>
      <c r="G16" s="586"/>
      <c r="I16" s="434" t="s">
        <v>346</v>
      </c>
      <c r="J16" s="590"/>
      <c r="K16" s="577"/>
      <c r="L16" s="590"/>
      <c r="M16" s="575"/>
      <c r="N16" s="586"/>
    </row>
    <row r="17" spans="2:14">
      <c r="B17" s="578" t="s">
        <v>342</v>
      </c>
      <c r="C17" s="579">
        <f>GETPIVOTDATA("Suma de TOTAL Z2",'[1]tabla dinámica oferta alojativa'!$A$4,"PAIS/INDICADOR","plazas I semestre","AÑO",2009)</f>
        <v>1946</v>
      </c>
      <c r="D17" s="470">
        <f>C17/$C$17</f>
        <v>1</v>
      </c>
      <c r="E17" s="579">
        <f>GETPIVOTDATA("Suma de TOTAL Z2",'[1]tabla dinámica oferta alojativa'!$A$4,"PAIS/INDICADOR","plazas I semestre","AÑO",2010)</f>
        <v>1713</v>
      </c>
      <c r="F17" s="470">
        <f>E17/$E$17</f>
        <v>1</v>
      </c>
      <c r="G17" s="470">
        <f>(E17-C17)/C17</f>
        <v>-0.1197327852004111</v>
      </c>
      <c r="I17" s="578" t="s">
        <v>342</v>
      </c>
      <c r="J17" s="579">
        <f>GETPIVOTDATA("Suma de TOTAL Z2",'[1]tabla dinámica oferta alojativa'!$A$4,"PAIS/INDICADOR","plazas II semestre","AÑO",2009)</f>
        <v>1713</v>
      </c>
      <c r="K17" s="470">
        <f>J17/$J$17</f>
        <v>1</v>
      </c>
      <c r="L17" s="579">
        <f>GETPIVOTDATA("Suma de TOTAL Z2",'[1]tabla dinámica oferta alojativa'!$A$4,"PAIS/INDICADOR","plazas II semestre","AÑO",2010)</f>
        <v>1409</v>
      </c>
      <c r="M17" s="470">
        <f>L17/$L$17</f>
        <v>1</v>
      </c>
      <c r="N17" s="470">
        <f>(L17-J17)/J17</f>
        <v>-0.17746643315820199</v>
      </c>
    </row>
    <row r="18" spans="2:14">
      <c r="B18" s="580" t="s">
        <v>343</v>
      </c>
      <c r="C18" s="581">
        <f>GETPIVOTDATA("Suma de HOTEL Z2",'[1]tabla dinámica oferta alojativa'!$A$4,"PAIS/INDICADOR","plazas I semestre","AÑO",2009)</f>
        <v>514</v>
      </c>
      <c r="D18" s="477">
        <f>C18/$C$17</f>
        <v>0.26413155190133608</v>
      </c>
      <c r="E18" s="581">
        <f>GETPIVOTDATA("Suma de HOTEL Z2",'[1]tabla dinámica oferta alojativa'!$A$4,"PAIS/INDICADOR","plazas I semestre","AÑO",2010)</f>
        <v>514</v>
      </c>
      <c r="F18" s="477">
        <f>E18/$E$17</f>
        <v>0.30005837711617045</v>
      </c>
      <c r="G18" s="477">
        <f>(E18-C18)/C18</f>
        <v>0</v>
      </c>
      <c r="I18" s="580" t="s">
        <v>343</v>
      </c>
      <c r="J18" s="581">
        <f>GETPIVOTDATA("Suma de HOTEL Z2",'[1]tabla dinámica oferta alojativa'!$A$4,"PAIS/INDICADOR","plazas II semestre","AÑO",2009)</f>
        <v>514</v>
      </c>
      <c r="K18" s="477">
        <f>J18/$J$17</f>
        <v>0.30005837711617045</v>
      </c>
      <c r="L18" s="581">
        <f>GETPIVOTDATA("Suma de HOTEL Z2",'[1]tabla dinámica oferta alojativa'!$A$4,"PAIS/INDICADOR","plazas II semestre","AÑO",2010)</f>
        <v>514</v>
      </c>
      <c r="M18" s="477">
        <f>L18/$L$17</f>
        <v>0.36479772888573458</v>
      </c>
      <c r="N18" s="477">
        <f>(L18-J18)/J18</f>
        <v>0</v>
      </c>
    </row>
    <row r="19" spans="2:14">
      <c r="B19" s="582" t="s">
        <v>344</v>
      </c>
      <c r="C19" s="583">
        <f>GETPIVOTDATA("Suma de EXTRA-H Z2",'[1]tabla dinámica oferta alojativa'!$A$4,"PAIS/INDICADOR","plazas I semestre","AÑO",2009)</f>
        <v>1432</v>
      </c>
      <c r="D19" s="483">
        <f>C19/$C$17</f>
        <v>0.73586844809866392</v>
      </c>
      <c r="E19" s="583">
        <f>GETPIVOTDATA("Suma de EXTRA-H Z2",'[1]tabla dinámica oferta alojativa'!$A$4,"PAIS/INDICADOR","plazas I semestre","AÑO",2010)</f>
        <v>1199</v>
      </c>
      <c r="F19" s="483">
        <f>E19/$E$17</f>
        <v>0.69994162288382955</v>
      </c>
      <c r="G19" s="477">
        <f>(E19-C19)/C19</f>
        <v>-0.16270949720670391</v>
      </c>
      <c r="I19" s="582" t="s">
        <v>344</v>
      </c>
      <c r="J19" s="583">
        <f>GETPIVOTDATA("Suma de EXTRA-H Z2",'[1]tabla dinámica oferta alojativa'!$A$4,"PAIS/INDICADOR","plazas II semestre","AÑO",2009)</f>
        <v>1199</v>
      </c>
      <c r="K19" s="483">
        <f>J19/$J$17</f>
        <v>0.69994162288382955</v>
      </c>
      <c r="L19" s="583">
        <f>GETPIVOTDATA("Suma de EXTRA-H Z2",'[1]tabla dinámica oferta alojativa'!$A$4,"PAIS/INDICADOR","plazas II semestre","AÑO",2010)</f>
        <v>895</v>
      </c>
      <c r="M19" s="483">
        <f>L19/$L$17</f>
        <v>0.63520227111426542</v>
      </c>
      <c r="N19" s="477">
        <f>(L19-J19)/J19</f>
        <v>-0.25354462051709759</v>
      </c>
    </row>
    <row r="20" spans="2:14">
      <c r="B20" s="434" t="s">
        <v>347</v>
      </c>
      <c r="C20" s="584"/>
      <c r="D20" s="577"/>
      <c r="E20" s="584"/>
      <c r="F20" s="575"/>
      <c r="G20" s="586"/>
      <c r="I20" s="434" t="s">
        <v>347</v>
      </c>
      <c r="J20" s="584"/>
      <c r="K20" s="577"/>
      <c r="L20" s="584"/>
      <c r="M20" s="575"/>
      <c r="N20" s="586"/>
    </row>
    <row r="21" spans="2:14">
      <c r="B21" s="578" t="s">
        <v>342</v>
      </c>
      <c r="C21" s="579">
        <f>GETPIVOTDATA("Suma de TOTAL Z3",'[1]tabla dinámica oferta alojativa'!$A$4,"PAIS/INDICADOR","plazas I semestre","AÑO",2009)</f>
        <v>32671</v>
      </c>
      <c r="D21" s="470">
        <f>C21/$C$21</f>
        <v>1</v>
      </c>
      <c r="E21" s="579">
        <f>GETPIVOTDATA("Suma de TOTAL Z3",'[1]tabla dinámica oferta alojativa'!$A$4,"PAIS/INDICADOR","plazas I semestre","AÑO",2010)</f>
        <v>30806</v>
      </c>
      <c r="F21" s="470">
        <f>E21/$E$21</f>
        <v>1</v>
      </c>
      <c r="G21" s="470">
        <f>(E21-C21)/C21</f>
        <v>-5.7084264332282454E-2</v>
      </c>
      <c r="I21" s="578" t="s">
        <v>342</v>
      </c>
      <c r="J21" s="579">
        <f>GETPIVOTDATA("Suma de TOTAL Z3",'[1]tabla dinámica oferta alojativa'!$A$4,"PAIS/INDICADOR","plazas II semestre","AÑO",2009)</f>
        <v>32113</v>
      </c>
      <c r="K21" s="470">
        <f>J21/$J$21</f>
        <v>1</v>
      </c>
      <c r="L21" s="579">
        <f>GETPIVOTDATA("Suma de TOTAL Z3",'[1]tabla dinámica oferta alojativa'!$A$4,"PAIS/INDICADOR","plazas II semestre","AÑO",2010)</f>
        <v>29535</v>
      </c>
      <c r="M21" s="470">
        <f>L21/$L$21</f>
        <v>1</v>
      </c>
      <c r="N21" s="470">
        <f>(L21-J21)/J21</f>
        <v>-8.0279014729237375E-2</v>
      </c>
    </row>
    <row r="22" spans="2:14">
      <c r="B22" s="580" t="s">
        <v>343</v>
      </c>
      <c r="C22" s="581">
        <f>GETPIVOTDATA("Suma de HOTEL Z3",'[1]tabla dinámica oferta alojativa'!$A$4,"PAIS/INDICADOR","plazas I semestre","AÑO",2009)</f>
        <v>19044</v>
      </c>
      <c r="D22" s="477">
        <f>C22/$C$21</f>
        <v>0.58290226806648093</v>
      </c>
      <c r="E22" s="581">
        <f>GETPIVOTDATA("Suma de HOTEL Z3",'[1]tabla dinámica oferta alojativa'!$A$4,"PAIS/INDICADOR","plazas I semestre","AÑO",2010)</f>
        <v>18641</v>
      </c>
      <c r="F22" s="477">
        <f>E22/$E$21</f>
        <v>0.6051093942738428</v>
      </c>
      <c r="G22" s="477">
        <f>(E22-C22)/C22</f>
        <v>-2.1161520688930898E-2</v>
      </c>
      <c r="I22" s="580" t="s">
        <v>343</v>
      </c>
      <c r="J22" s="581">
        <f>GETPIVOTDATA("Suma de HOTEL Z3",'[1]tabla dinámica oferta alojativa'!$A$4,"PAIS/INDICADOR","plazas II semestre","AÑO",2009)</f>
        <v>19237</v>
      </c>
      <c r="K22" s="477">
        <f>J22/$J$21</f>
        <v>0.59904088686824652</v>
      </c>
      <c r="L22" s="581">
        <f>GETPIVOTDATA("Suma de HOTEL Z3",'[1]tabla dinámica oferta alojativa'!$A$4,"PAIS/INDICADOR","plazas II semestre","AÑO",2010)</f>
        <v>18673</v>
      </c>
      <c r="M22" s="477">
        <f>L22/$L$21</f>
        <v>0.63223294396478757</v>
      </c>
      <c r="N22" s="477">
        <f>(L22-J22)/J22</f>
        <v>-2.9318500805738942E-2</v>
      </c>
    </row>
    <row r="23" spans="2:14">
      <c r="B23" s="582" t="s">
        <v>344</v>
      </c>
      <c r="C23" s="583">
        <f>GETPIVOTDATA("Suma de EXTRA-H Z3",'[1]tabla dinámica oferta alojativa'!$A$4,"PAIS/INDICADOR","plazas I semestre","AÑO",2009)</f>
        <v>13627</v>
      </c>
      <c r="D23" s="483">
        <f>C23/$C$21</f>
        <v>0.41709773193351901</v>
      </c>
      <c r="E23" s="583">
        <f>GETPIVOTDATA("Suma de EXTRA-H Z3",'[1]tabla dinámica oferta alojativa'!$A$4,"PAIS/INDICADOR","plazas I semestre","AÑO",2010)</f>
        <v>12165</v>
      </c>
      <c r="F23" s="483">
        <f>E23/$E$21</f>
        <v>0.39489060572615725</v>
      </c>
      <c r="G23" s="477">
        <f>(E23-C23)/C23</f>
        <v>-0.1072870037425699</v>
      </c>
      <c r="I23" s="582" t="s">
        <v>344</v>
      </c>
      <c r="J23" s="583">
        <f>GETPIVOTDATA("Suma de EXTRA-H Z3",'[1]tabla dinámica oferta alojativa'!$A$4,"PAIS/INDICADOR","plazas II semestre","AÑO",2009)</f>
        <v>12876</v>
      </c>
      <c r="K23" s="483">
        <f>J23/$J$21</f>
        <v>0.40095911313175348</v>
      </c>
      <c r="L23" s="583">
        <f>GETPIVOTDATA("Suma de EXTRA-H Z3",'[1]tabla dinámica oferta alojativa'!$A$4,"PAIS/INDICADOR","plazas II semestre","AÑO",2010)</f>
        <v>10862</v>
      </c>
      <c r="M23" s="483">
        <f>L23/$L$21</f>
        <v>0.36776705603521248</v>
      </c>
      <c r="N23" s="477">
        <f>(L23-J23)/J23</f>
        <v>-0.15641503572538054</v>
      </c>
    </row>
    <row r="24" spans="2:14">
      <c r="B24" s="591" t="s">
        <v>303</v>
      </c>
      <c r="C24" s="592"/>
      <c r="D24" s="593"/>
      <c r="E24" s="592"/>
      <c r="F24" s="594"/>
      <c r="G24" s="595"/>
      <c r="I24" s="591" t="s">
        <v>303</v>
      </c>
      <c r="J24" s="592"/>
      <c r="K24" s="593"/>
      <c r="L24" s="592"/>
      <c r="M24" s="594"/>
      <c r="N24" s="595"/>
    </row>
    <row r="25" spans="2:14">
      <c r="B25" s="578" t="s">
        <v>342</v>
      </c>
      <c r="C25" s="579">
        <f>GETPIVOTDATA("dato",'[1]tabla dinámica oferta alojativa'!$A$52,"categoría","TOTAL","municipio","Puerto de la Cruz","mes",1,"año",2009)</f>
        <v>28846</v>
      </c>
      <c r="D25" s="470">
        <f>C25/$C$25</f>
        <v>1</v>
      </c>
      <c r="E25" s="579">
        <f>GETPIVOTDATA("dato",'[1]tabla dinámica oferta alojativa'!$A$52,"categoría","TOTAL","municipio","Puerto de la Cruz","mes",1,"año",2010)</f>
        <v>27225</v>
      </c>
      <c r="F25" s="470">
        <f>E25/$E$25</f>
        <v>1</v>
      </c>
      <c r="G25" s="470">
        <f>(E25-C25)/C25</f>
        <v>-5.6194966373153993E-2</v>
      </c>
      <c r="I25" s="578" t="s">
        <v>342</v>
      </c>
      <c r="J25" s="579">
        <f>GETPIVOTDATA("dato",'[1]tabla dinámica oferta alojativa'!$A$52,"categoría","TOTAL","municipio","Puerto de la Cruz","mes",7,"año",2009)</f>
        <v>28475</v>
      </c>
      <c r="K25" s="470">
        <f>J25/$J$25</f>
        <v>1</v>
      </c>
      <c r="L25" s="579">
        <f>GETPIVOTDATA("dato",'[1]tabla dinámica oferta alojativa'!$A$52,"categoría","TOTAL","municipio","Puerto de la Cruz","mes",7,"año",2010)</f>
        <v>25676</v>
      </c>
      <c r="M25" s="470">
        <f>L25/$L$25</f>
        <v>1</v>
      </c>
      <c r="N25" s="470">
        <f>(L25-J25)/J25</f>
        <v>-9.8296751536435467E-2</v>
      </c>
    </row>
    <row r="26" spans="2:14">
      <c r="B26" s="580" t="s">
        <v>343</v>
      </c>
      <c r="C26" s="581">
        <f>GETPIVOTDATA("dato",'[1]tabla dinámica oferta alojativa'!$A$52,"categoría","Hoteleros","municipio","Puerto de la Cruz","mes",1,"año",2009)</f>
        <v>16831</v>
      </c>
      <c r="D26" s="477">
        <f>C26/$C$25</f>
        <v>0.5834777785481523</v>
      </c>
      <c r="E26" s="581">
        <f>GETPIVOTDATA("dato",'[1]tabla dinámica oferta alojativa'!$A$52,"categoría","Hoteleros","municipio","Puerto de la Cruz","mes",1,"año",2010)</f>
        <v>16442</v>
      </c>
      <c r="F26" s="477">
        <f>E26/$E$25</f>
        <v>0.60393021120293844</v>
      </c>
      <c r="G26" s="477">
        <f>(E26-C26)/C26</f>
        <v>-2.3112114550531755E-2</v>
      </c>
      <c r="I26" s="580" t="s">
        <v>343</v>
      </c>
      <c r="J26" s="581">
        <f>GETPIVOTDATA("dato",'[1]tabla dinámica oferta alojativa'!$A$52,"categoría","Hoteleros","municipio","Puerto de la Cruz","mes",7,"año",2009)</f>
        <v>17038</v>
      </c>
      <c r="K26" s="477">
        <f>J26/$J$25</f>
        <v>0.5983494293239684</v>
      </c>
      <c r="L26" s="581">
        <f>GETPIVOTDATA("dato",'[1]tabla dinámica oferta alojativa'!$A$52,"categoría","Hoteleros","municipio","Puerto de la Cruz","mes",7,"año",2010)</f>
        <v>16158</v>
      </c>
      <c r="M26" s="477">
        <f>L26/$L$25</f>
        <v>0.6293036298488861</v>
      </c>
      <c r="N26" s="477">
        <f>(L26-J26)/J26</f>
        <v>-5.1649254607348281E-2</v>
      </c>
    </row>
    <row r="27" spans="2:14">
      <c r="B27" s="582" t="s">
        <v>344</v>
      </c>
      <c r="C27" s="583">
        <f>GETPIVOTDATA("dato",'[1]tabla dinámica oferta alojativa'!$A$52,"categoría","Extrahoteleros","municipio","Puerto de la Cruz","mes",1,"año",2009)</f>
        <v>12015</v>
      </c>
      <c r="D27" s="483">
        <f>C27/$C$25</f>
        <v>0.41652222145184775</v>
      </c>
      <c r="E27" s="583">
        <f>GETPIVOTDATA("dato",'[1]tabla dinámica oferta alojativa'!$A$52,"categoría","Extrahoteleros","municipio","Puerto de la Cruz","mes",1,"año",2010)</f>
        <v>10783</v>
      </c>
      <c r="F27" s="483">
        <f>E27/$E$25</f>
        <v>0.39606978879706151</v>
      </c>
      <c r="G27" s="477">
        <f>(E27-C27)/C27</f>
        <v>-0.10253849354972951</v>
      </c>
      <c r="I27" s="582" t="s">
        <v>344</v>
      </c>
      <c r="J27" s="583">
        <f>GETPIVOTDATA("dato",'[1]tabla dinámica oferta alojativa'!$A$52,"categoría","Extrahoteleros","municipio","Puerto de la Cruz","mes",7,"año",2009)</f>
        <v>11437</v>
      </c>
      <c r="K27" s="477">
        <f>J27/$J$25</f>
        <v>0.4016505706760316</v>
      </c>
      <c r="L27" s="583">
        <f>GETPIVOTDATA("dato",'[1]tabla dinámica oferta alojativa'!$A$52,"categoría","Extrahoteleros","municipio","Puerto de la Cruz","mes",7,"año",2010)</f>
        <v>9518</v>
      </c>
      <c r="M27" s="477">
        <f>L27/$L$25</f>
        <v>0.3706963701511139</v>
      </c>
      <c r="N27" s="477">
        <f>(L27-J27)/J27</f>
        <v>-0.16778875579260297</v>
      </c>
    </row>
    <row r="28" spans="2:14">
      <c r="B28" s="434" t="s">
        <v>348</v>
      </c>
      <c r="C28" s="584"/>
      <c r="D28" s="577"/>
      <c r="E28" s="584"/>
      <c r="F28" s="575"/>
      <c r="G28" s="586"/>
      <c r="I28" s="434" t="s">
        <v>348</v>
      </c>
      <c r="J28" s="584"/>
      <c r="K28" s="577"/>
      <c r="L28" s="584"/>
      <c r="M28" s="575"/>
      <c r="N28" s="586"/>
    </row>
    <row r="29" spans="2:14">
      <c r="B29" s="578" t="s">
        <v>342</v>
      </c>
      <c r="C29" s="579">
        <f>GETPIVOTDATA("Suma de TOTAL Z4",'[1]tabla dinámica oferta alojativa'!$A$4,"PAIS/INDICADOR","plazas I semestre","AÑO",2009)</f>
        <v>147994</v>
      </c>
      <c r="D29" s="470">
        <f>C29/$C$29</f>
        <v>1</v>
      </c>
      <c r="E29" s="579">
        <f>GETPIVOTDATA("Suma de TOTAL Z4",'[1]tabla dinámica oferta alojativa'!$A$4,"PAIS/INDICADOR","plazas I semestre","AÑO",2010)</f>
        <v>143674</v>
      </c>
      <c r="F29" s="470">
        <f>E29/$E$29</f>
        <v>1</v>
      </c>
      <c r="G29" s="470">
        <f>(E29-C29)/C29</f>
        <v>-2.9190372582672271E-2</v>
      </c>
      <c r="I29" s="578" t="s">
        <v>342</v>
      </c>
      <c r="J29" s="579">
        <f>GETPIVOTDATA("Suma de TOTAL Z4",'[1]tabla dinámica oferta alojativa'!$A$4,"PAIS/INDICADOR","plazas II semestre","AÑO",2009)</f>
        <v>145634</v>
      </c>
      <c r="K29" s="470">
        <f>J29/$J$29</f>
        <v>1</v>
      </c>
      <c r="L29" s="579">
        <f>GETPIVOTDATA("Suma de TOTAL Z4",'[1]tabla dinámica oferta alojativa'!$A$4,"PAIS/INDICADOR","plazas II semestre","AÑO",2010)</f>
        <v>142277</v>
      </c>
      <c r="M29" s="470">
        <f>L29/$L$29</f>
        <v>1</v>
      </c>
      <c r="N29" s="470">
        <f>(L29-J29)/J29</f>
        <v>-2.3050935907823724E-2</v>
      </c>
    </row>
    <row r="30" spans="2:14">
      <c r="B30" s="580" t="s">
        <v>343</v>
      </c>
      <c r="C30" s="581">
        <f>GETPIVOTDATA("Suma de HOTEL Z4",'[1]tabla dinámica oferta alojativa'!$A$4,"PAIS/INDICADOR","plazas I semestre","AÑO",2009)</f>
        <v>65968</v>
      </c>
      <c r="D30" s="477">
        <f>C30/$C$29</f>
        <v>0.44574780058651026</v>
      </c>
      <c r="E30" s="581">
        <f>GETPIVOTDATA("Suma de HOTEL Z4",'[1]tabla dinámica oferta alojativa'!$A$4,"PAIS/INDICADOR","plazas I semestre","AÑO",2010)</f>
        <v>64882</v>
      </c>
      <c r="F30" s="477">
        <f>E30/$E$29</f>
        <v>0.45159179809847294</v>
      </c>
      <c r="G30" s="477">
        <f>(E30-C30)/C30</f>
        <v>-1.6462527285956829E-2</v>
      </c>
      <c r="I30" s="580" t="s">
        <v>343</v>
      </c>
      <c r="J30" s="581">
        <f>GETPIVOTDATA("Suma de HOTEL Z4",'[1]tabla dinámica oferta alojativa'!$A$4,"PAIS/INDICADOR","plazas II semestre","AÑO",2009)</f>
        <v>65407</v>
      </c>
      <c r="K30" s="477">
        <f>J30/$J$29</f>
        <v>0.44911902440364199</v>
      </c>
      <c r="L30" s="581">
        <f>GETPIVOTDATA("Suma de HOTEL Z4",'[1]tabla dinámica oferta alojativa'!$A$4,"PAIS/INDICADOR","plazas II semestre","AÑO",2010)</f>
        <v>64849</v>
      </c>
      <c r="M30" s="477">
        <f>L30/$L$29</f>
        <v>0.45579397935014093</v>
      </c>
      <c r="N30" s="477">
        <f>(L30-J30)/J30</f>
        <v>-8.5311969666855229E-3</v>
      </c>
    </row>
    <row r="31" spans="2:14">
      <c r="B31" s="582" t="s">
        <v>344</v>
      </c>
      <c r="C31" s="583">
        <f>GETPIVOTDATA("Suma de EXTRA-H Z4",'[1]tabla dinámica oferta alojativa'!$A$4,"PAIS/INDICADOR","plazas I semestre","AÑO",2009)</f>
        <v>82026</v>
      </c>
      <c r="D31" s="477">
        <f>C31/$C$29</f>
        <v>0.55425219941348969</v>
      </c>
      <c r="E31" s="583">
        <f>GETPIVOTDATA("Suma de EXTRA-H Z4",'[1]tabla dinámica oferta alojativa'!$A$4,"PAIS/INDICADOR","plazas I semestre","AÑO",2010)</f>
        <v>78792</v>
      </c>
      <c r="F31" s="477">
        <f>E31/$E$29</f>
        <v>0.54840820190152706</v>
      </c>
      <c r="G31" s="477">
        <f>(E31-C31)/C31</f>
        <v>-3.9426523297491037E-2</v>
      </c>
      <c r="I31" s="582" t="s">
        <v>344</v>
      </c>
      <c r="J31" s="583">
        <f>GETPIVOTDATA("Suma de EXTRA-H Z4",'[1]tabla dinámica oferta alojativa'!$A$4,"PAIS/INDICADOR","plazas II semestre","AÑO",2009)</f>
        <v>80227</v>
      </c>
      <c r="K31" s="477">
        <f>J31/$J$29</f>
        <v>0.55088097559635796</v>
      </c>
      <c r="L31" s="583">
        <f>GETPIVOTDATA("Suma de EXTRA-H Z4",'[1]tabla dinámica oferta alojativa'!$A$4,"PAIS/INDICADOR","plazas II semestre","AÑO",2010)</f>
        <v>77428</v>
      </c>
      <c r="M31" s="477">
        <f>L31/$L$29</f>
        <v>0.54420602064985912</v>
      </c>
      <c r="N31" s="477">
        <f>(L31-J31)/J31</f>
        <v>-3.4888503870268116E-2</v>
      </c>
    </row>
    <row r="32" spans="2:14">
      <c r="B32" s="591" t="s">
        <v>301</v>
      </c>
      <c r="C32" s="592"/>
      <c r="D32" s="593"/>
      <c r="E32" s="592"/>
      <c r="F32" s="594"/>
      <c r="G32" s="595"/>
      <c r="I32" s="591" t="s">
        <v>301</v>
      </c>
      <c r="J32" s="592"/>
      <c r="K32" s="593"/>
      <c r="L32" s="592"/>
      <c r="M32" s="594"/>
      <c r="N32" s="595"/>
    </row>
    <row r="33" spans="2:14">
      <c r="B33" s="578" t="s">
        <v>342</v>
      </c>
      <c r="C33" s="579">
        <f>GETPIVOTDATA("dato",'[1]tabla dinámica oferta alojativa'!$A$52,"categoría","TOTAL","municipio","ADEJE","mes",1,"año",2009)</f>
        <v>65517</v>
      </c>
      <c r="D33" s="470">
        <f>C33/$C$33</f>
        <v>1</v>
      </c>
      <c r="E33" s="579">
        <f>GETPIVOTDATA("dato",'[1]tabla dinámica oferta alojativa'!$A$52,"categoría","TOTAL","municipio","ADEJE","mes",1,"año",2010)</f>
        <v>63430</v>
      </c>
      <c r="F33" s="470">
        <f>E33/$E$33</f>
        <v>1</v>
      </c>
      <c r="G33" s="470">
        <f>(E33-C33)/C33</f>
        <v>-3.1854327884365888E-2</v>
      </c>
      <c r="I33" s="578" t="s">
        <v>342</v>
      </c>
      <c r="J33" s="579">
        <f>GETPIVOTDATA("dato",'[1]tabla dinámica oferta alojativa'!$A$52,"categoría","TOTAL","municipio","ADEJE","mes",7,"año",2009)</f>
        <v>64757</v>
      </c>
      <c r="K33" s="470">
        <f>J33/$J$33</f>
        <v>1</v>
      </c>
      <c r="L33" s="579">
        <f>GETPIVOTDATA("dato",'[1]tabla dinámica oferta alojativa'!$A$52,"categoría","TOTAL","municipio","ADEJE","mes",7,"año",2010)</f>
        <v>62780</v>
      </c>
      <c r="M33" s="470">
        <f>L33/$L$33</f>
        <v>1</v>
      </c>
      <c r="N33" s="470">
        <f>(L33-J33)/J33</f>
        <v>-3.0529518044381303E-2</v>
      </c>
    </row>
    <row r="34" spans="2:14">
      <c r="B34" s="580" t="s">
        <v>343</v>
      </c>
      <c r="C34" s="581">
        <f>GETPIVOTDATA("dato",'[1]tabla dinámica oferta alojativa'!$A$52,"categoría","Hoteleros","municipio","ADEJE","mes",1,"año",2009)</f>
        <v>33977</v>
      </c>
      <c r="D34" s="477">
        <f>C34/$C$33</f>
        <v>0.51859822641451836</v>
      </c>
      <c r="E34" s="581">
        <f>GETPIVOTDATA("dato",'[1]tabla dinámica oferta alojativa'!$A$52,"categoría","Hoteleros","municipio","ADEJE","mes",1,"año",2010)</f>
        <v>32855</v>
      </c>
      <c r="F34" s="477">
        <f>E34/$E$33</f>
        <v>0.51797256818540127</v>
      </c>
      <c r="G34" s="477">
        <f>(E34-C34)/C34</f>
        <v>-3.3022338640845278E-2</v>
      </c>
      <c r="I34" s="580" t="s">
        <v>343</v>
      </c>
      <c r="J34" s="581">
        <f>GETPIVOTDATA("dato",'[1]tabla dinámica oferta alojativa'!$A$52,"categoría","Hoteleros","municipio","ADEJE","mes",7,"año",2009)</f>
        <v>33507</v>
      </c>
      <c r="K34" s="477">
        <f>J34/$J$33</f>
        <v>0.51742668746235931</v>
      </c>
      <c r="L34" s="581">
        <f>GETPIVOTDATA("dato",'[1]tabla dinámica oferta alojativa'!$A$52,"categoría","Hoteleros","municipio","ADEJE","mes",7,"año",2010)</f>
        <v>32855</v>
      </c>
      <c r="M34" s="477">
        <f>L34/$L$33</f>
        <v>0.52333545715195917</v>
      </c>
      <c r="N34" s="477">
        <f>(L34-J34)/J34</f>
        <v>-1.945862058674307E-2</v>
      </c>
    </row>
    <row r="35" spans="2:14">
      <c r="B35" s="582" t="s">
        <v>344</v>
      </c>
      <c r="C35" s="596">
        <f>GETPIVOTDATA("dato",'[1]tabla dinámica oferta alojativa'!$A$52,"categoría","Extrahoteleros","municipio","ADEJE","mes",1,"año",2009)</f>
        <v>31540</v>
      </c>
      <c r="D35" s="597">
        <f>C35/$C$33</f>
        <v>0.48140177358548164</v>
      </c>
      <c r="E35" s="596">
        <f>GETPIVOTDATA("dato",'[1]tabla dinámica oferta alojativa'!$A$52,"categoría","Extrahoteleros","municipio","ADEJE","mes",1,"año",2010)</f>
        <v>30575</v>
      </c>
      <c r="F35" s="597">
        <f>E35/$E$33</f>
        <v>0.48202743181459878</v>
      </c>
      <c r="G35" s="597">
        <f>(E35-C35)/C35</f>
        <v>-3.0596068484464174E-2</v>
      </c>
      <c r="I35" s="582" t="s">
        <v>344</v>
      </c>
      <c r="J35" s="596">
        <f>GETPIVOTDATA("dato",'[1]tabla dinámica oferta alojativa'!$A$52,"categoría","Extrahoteleros","municipio","ADEJE","mes",7,"año",2009)</f>
        <v>31250</v>
      </c>
      <c r="K35" s="597">
        <f>J35/$J$33</f>
        <v>0.48257331253764074</v>
      </c>
      <c r="L35" s="596">
        <f>GETPIVOTDATA("dato",'[1]tabla dinámica oferta alojativa'!$A$52,"categoría","Extrahoteleros","municipio","ADEJE","mes",7,"año",2010)</f>
        <v>29925</v>
      </c>
      <c r="M35" s="597">
        <f>L35/$L$33</f>
        <v>0.47666454284804077</v>
      </c>
      <c r="N35" s="597">
        <f>(L35-J35)/J35</f>
        <v>-4.24E-2</v>
      </c>
    </row>
    <row r="36" spans="2:14">
      <c r="B36" s="591" t="s">
        <v>302</v>
      </c>
      <c r="C36" s="592"/>
      <c r="D36" s="593"/>
      <c r="E36" s="592"/>
      <c r="F36" s="594"/>
      <c r="G36" s="595"/>
      <c r="I36" s="591" t="s">
        <v>302</v>
      </c>
      <c r="J36" s="592"/>
      <c r="K36" s="593"/>
      <c r="L36" s="592"/>
      <c r="M36" s="594"/>
      <c r="N36" s="595"/>
    </row>
    <row r="37" spans="2:14">
      <c r="B37" s="578" t="s">
        <v>342</v>
      </c>
      <c r="C37" s="579">
        <f>GETPIVOTDATA("dato",'[1]tabla dinámica oferta alojativa'!$A$52,"categoría","TOTAL","municipio","ARONA","mes",1,"año",2009)</f>
        <v>55465</v>
      </c>
      <c r="D37" s="470">
        <f>C37/$C$37</f>
        <v>1</v>
      </c>
      <c r="E37" s="579">
        <f>GETPIVOTDATA("dato",'[1]tabla dinámica oferta alojativa'!$A$52,"categoría","TOTAL","municipio","ARONA","mes",1,"año",2010)</f>
        <v>53697</v>
      </c>
      <c r="F37" s="470">
        <f>E37/$E$37</f>
        <v>1</v>
      </c>
      <c r="G37" s="470">
        <f>(E37-C37)/C37</f>
        <v>-3.1875957811232307E-2</v>
      </c>
      <c r="I37" s="578" t="s">
        <v>342</v>
      </c>
      <c r="J37" s="579">
        <f>GETPIVOTDATA("dato",'[1]tabla dinámica oferta alojativa'!$A$52,"categoría","TOTAL","municipio","ARONA","mes",7,"año",2009)</f>
        <v>54367</v>
      </c>
      <c r="K37" s="470">
        <f>J37/$J$37</f>
        <v>1</v>
      </c>
      <c r="L37" s="579">
        <f>GETPIVOTDATA("dato",'[1]tabla dinámica oferta alojativa'!$A$52,"categoría","TOTAL","municipio","ARONA","mes",7,"año",2010)</f>
        <v>53044</v>
      </c>
      <c r="M37" s="470">
        <f>L37/$L$37</f>
        <v>1</v>
      </c>
      <c r="N37" s="470">
        <f>(L37-J37)/J37</f>
        <v>-2.4334614747916934E-2</v>
      </c>
    </row>
    <row r="38" spans="2:14">
      <c r="B38" s="580" t="s">
        <v>343</v>
      </c>
      <c r="C38" s="581">
        <f>GETPIVOTDATA("dato",'[1]tabla dinámica oferta alojativa'!$A$52,"categoría","Hoteleros","municipio","ARONA","mes",1,"año",2009)</f>
        <v>20292</v>
      </c>
      <c r="D38" s="477">
        <f>C38/$C$37</f>
        <v>0.36585233931308031</v>
      </c>
      <c r="E38" s="581">
        <f>GETPIVOTDATA("dato",'[1]tabla dinámica oferta alojativa'!$A$52,"categoría","Hoteleros","municipio","ARONA","mes",1,"año",2010)</f>
        <v>20363</v>
      </c>
      <c r="F38" s="477">
        <f>E38/$E$37</f>
        <v>0.37922044062051885</v>
      </c>
      <c r="G38" s="477">
        <f>(E38-C38)/C38</f>
        <v>3.4989158288980878E-3</v>
      </c>
      <c r="I38" s="580" t="s">
        <v>343</v>
      </c>
      <c r="J38" s="581">
        <f>GETPIVOTDATA("dato",'[1]tabla dinámica oferta alojativa'!$A$52,"categoría","Hoteleros","municipio","ARONA","mes",7,"año",2009)</f>
        <v>20236</v>
      </c>
      <c r="K38" s="477">
        <f>J38/$J$37</f>
        <v>0.37221108392958963</v>
      </c>
      <c r="L38" s="581">
        <f>GETPIVOTDATA("dato",'[1]tabla dinámica oferta alojativa'!$A$52,"categoría","Hoteleros","municipio","ARONA","mes",7,"año",2010)</f>
        <v>20332</v>
      </c>
      <c r="M38" s="477">
        <f>L38/$L$37</f>
        <v>0.38330442651383756</v>
      </c>
      <c r="N38" s="477">
        <f>(L38-J38)/J38</f>
        <v>4.7440205574224154E-3</v>
      </c>
    </row>
    <row r="39" spans="2:14">
      <c r="B39" s="582" t="s">
        <v>344</v>
      </c>
      <c r="C39" s="596">
        <f>GETPIVOTDATA("dato",'[1]tabla dinámica oferta alojativa'!$A$52,"categoría","Extrahoteleros","municipio","ARONA","mes",1,"año",2009)</f>
        <v>35173</v>
      </c>
      <c r="D39" s="597">
        <f>C39/$C$37</f>
        <v>0.63414766068691963</v>
      </c>
      <c r="E39" s="596">
        <f>GETPIVOTDATA("dato",'[1]tabla dinámica oferta alojativa'!$A$52,"categoría","Extrahoteleros","municipio","ARONA","mes",1,"año",2010)</f>
        <v>33334</v>
      </c>
      <c r="F39" s="597">
        <f>E39/$E$37</f>
        <v>0.62077955937948115</v>
      </c>
      <c r="G39" s="597">
        <f>(E39-C39)/C39</f>
        <v>-5.228442271060188E-2</v>
      </c>
      <c r="I39" s="582" t="s">
        <v>344</v>
      </c>
      <c r="J39" s="596">
        <f>GETPIVOTDATA("dato",'[1]tabla dinámica oferta alojativa'!$A$52,"categoría","Extrahoteleros","municipio","ARONA","mes",7,"año",2009)</f>
        <v>34131</v>
      </c>
      <c r="K39" s="597">
        <f>J39/$J$37</f>
        <v>0.62778891607041032</v>
      </c>
      <c r="L39" s="596">
        <f>GETPIVOTDATA("dato",'[1]tabla dinámica oferta alojativa'!$A$52,"categoría","Extrahoteleros","municipio","ARONA","mes",7,"año",2010)</f>
        <v>32712</v>
      </c>
      <c r="M39" s="597">
        <f>L39/$L$37</f>
        <v>0.61669557348616244</v>
      </c>
      <c r="N39" s="597">
        <f>(L39-J39)/J39</f>
        <v>-4.1575107673376112E-2</v>
      </c>
    </row>
    <row r="40" spans="2:14" ht="44.25" customHeight="1">
      <c r="B40" s="598" t="s">
        <v>349</v>
      </c>
      <c r="C40" s="599"/>
      <c r="D40" s="599"/>
      <c r="E40" s="599"/>
      <c r="F40" s="599"/>
      <c r="G40" s="600"/>
      <c r="I40" s="598" t="s">
        <v>349</v>
      </c>
      <c r="J40" s="599"/>
      <c r="K40" s="599"/>
      <c r="L40" s="599"/>
      <c r="M40" s="599"/>
      <c r="N40" s="600"/>
    </row>
    <row r="41" spans="2:14">
      <c r="B41" s="425"/>
    </row>
    <row r="42" spans="2:14">
      <c r="B42" s="425"/>
    </row>
    <row r="43" spans="2:14">
      <c r="B43" s="425"/>
    </row>
    <row r="44" spans="2:14">
      <c r="B44" s="425"/>
    </row>
    <row r="45" spans="2:14" ht="27.75" customHeight="1"/>
    <row r="46" spans="2:14" ht="36" customHeight="1"/>
    <row r="47" spans="2:14" ht="15" customHeight="1"/>
    <row r="51" ht="15" customHeight="1"/>
    <row r="55" ht="15" customHeight="1"/>
    <row r="59" ht="15" customHeight="1"/>
    <row r="63" ht="15" customHeight="1"/>
    <row r="67" spans="2:11" ht="44.25" customHeight="1"/>
    <row r="68" spans="2:11" ht="15" customHeight="1" thickBot="1"/>
    <row r="69" spans="2:11" ht="30" customHeight="1" thickBot="1">
      <c r="B69" s="427"/>
      <c r="C69" s="427"/>
      <c r="D69" s="427"/>
      <c r="F69" s="427"/>
      <c r="G69" s="60" t="s">
        <v>50</v>
      </c>
      <c r="H69" s="427"/>
      <c r="I69" s="427"/>
      <c r="J69" s="427"/>
      <c r="K69" s="427"/>
    </row>
  </sheetData>
  <mergeCells count="4">
    <mergeCell ref="B6:G6"/>
    <mergeCell ref="I6:N6"/>
    <mergeCell ref="B40:G40"/>
    <mergeCell ref="I40:N40"/>
  </mergeCells>
  <hyperlinks>
    <hyperlink ref="G69" location="'Graf plazas estim zona tipolog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rowBreaks count="2" manualBreakCount="2">
    <brk id="68" min="1" max="7" man="1"/>
    <brk id="118" min="1" max="7" man="1"/>
  </rowBreaks>
  <colBreaks count="1" manualBreakCount="1">
    <brk id="15" max="1048575" man="1"/>
  </colBreaks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64">
    <tabColor rgb="FF000099"/>
    <pageSetUpPr autoPageBreaks="0" fitToPage="1"/>
  </sheetPr>
  <dimension ref="B54:L56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5.7109375" style="194" customWidth="1"/>
    <col min="2" max="8" width="11.42578125" style="194"/>
    <col min="9" max="9" width="12.42578125" style="194" customWidth="1"/>
    <col min="10" max="256" width="11.42578125" style="194"/>
    <col min="257" max="257" width="15.7109375" style="194" customWidth="1"/>
    <col min="258" max="264" width="11.42578125" style="194"/>
    <col min="265" max="265" width="12.42578125" style="194" customWidth="1"/>
    <col min="266" max="512" width="11.42578125" style="194"/>
    <col min="513" max="513" width="15.7109375" style="194" customWidth="1"/>
    <col min="514" max="520" width="11.42578125" style="194"/>
    <col min="521" max="521" width="12.42578125" style="194" customWidth="1"/>
    <col min="522" max="768" width="11.42578125" style="194"/>
    <col min="769" max="769" width="15.7109375" style="194" customWidth="1"/>
    <col min="770" max="776" width="11.42578125" style="194"/>
    <col min="777" max="777" width="12.42578125" style="194" customWidth="1"/>
    <col min="778" max="1024" width="11.42578125" style="194"/>
    <col min="1025" max="1025" width="15.7109375" style="194" customWidth="1"/>
    <col min="1026" max="1032" width="11.42578125" style="194"/>
    <col min="1033" max="1033" width="12.42578125" style="194" customWidth="1"/>
    <col min="1034" max="1280" width="11.42578125" style="194"/>
    <col min="1281" max="1281" width="15.7109375" style="194" customWidth="1"/>
    <col min="1282" max="1288" width="11.42578125" style="194"/>
    <col min="1289" max="1289" width="12.42578125" style="194" customWidth="1"/>
    <col min="1290" max="1536" width="11.42578125" style="194"/>
    <col min="1537" max="1537" width="15.7109375" style="194" customWidth="1"/>
    <col min="1538" max="1544" width="11.42578125" style="194"/>
    <col min="1545" max="1545" width="12.42578125" style="194" customWidth="1"/>
    <col min="1546" max="1792" width="11.42578125" style="194"/>
    <col min="1793" max="1793" width="15.7109375" style="194" customWidth="1"/>
    <col min="1794" max="1800" width="11.42578125" style="194"/>
    <col min="1801" max="1801" width="12.42578125" style="194" customWidth="1"/>
    <col min="1802" max="2048" width="11.42578125" style="194"/>
    <col min="2049" max="2049" width="15.7109375" style="194" customWidth="1"/>
    <col min="2050" max="2056" width="11.42578125" style="194"/>
    <col min="2057" max="2057" width="12.42578125" style="194" customWidth="1"/>
    <col min="2058" max="2304" width="11.42578125" style="194"/>
    <col min="2305" max="2305" width="15.7109375" style="194" customWidth="1"/>
    <col min="2306" max="2312" width="11.42578125" style="194"/>
    <col min="2313" max="2313" width="12.42578125" style="194" customWidth="1"/>
    <col min="2314" max="2560" width="11.42578125" style="194"/>
    <col min="2561" max="2561" width="15.7109375" style="194" customWidth="1"/>
    <col min="2562" max="2568" width="11.42578125" style="194"/>
    <col min="2569" max="2569" width="12.42578125" style="194" customWidth="1"/>
    <col min="2570" max="2816" width="11.42578125" style="194"/>
    <col min="2817" max="2817" width="15.7109375" style="194" customWidth="1"/>
    <col min="2818" max="2824" width="11.42578125" style="194"/>
    <col min="2825" max="2825" width="12.42578125" style="194" customWidth="1"/>
    <col min="2826" max="3072" width="11.42578125" style="194"/>
    <col min="3073" max="3073" width="15.7109375" style="194" customWidth="1"/>
    <col min="3074" max="3080" width="11.42578125" style="194"/>
    <col min="3081" max="3081" width="12.42578125" style="194" customWidth="1"/>
    <col min="3082" max="3328" width="11.42578125" style="194"/>
    <col min="3329" max="3329" width="15.7109375" style="194" customWidth="1"/>
    <col min="3330" max="3336" width="11.42578125" style="194"/>
    <col min="3337" max="3337" width="12.42578125" style="194" customWidth="1"/>
    <col min="3338" max="3584" width="11.42578125" style="194"/>
    <col min="3585" max="3585" width="15.7109375" style="194" customWidth="1"/>
    <col min="3586" max="3592" width="11.42578125" style="194"/>
    <col min="3593" max="3593" width="12.42578125" style="194" customWidth="1"/>
    <col min="3594" max="3840" width="11.42578125" style="194"/>
    <col min="3841" max="3841" width="15.7109375" style="194" customWidth="1"/>
    <col min="3842" max="3848" width="11.42578125" style="194"/>
    <col min="3849" max="3849" width="12.42578125" style="194" customWidth="1"/>
    <col min="3850" max="4096" width="11.42578125" style="194"/>
    <col min="4097" max="4097" width="15.7109375" style="194" customWidth="1"/>
    <col min="4098" max="4104" width="11.42578125" style="194"/>
    <col min="4105" max="4105" width="12.42578125" style="194" customWidth="1"/>
    <col min="4106" max="4352" width="11.42578125" style="194"/>
    <col min="4353" max="4353" width="15.7109375" style="194" customWidth="1"/>
    <col min="4354" max="4360" width="11.42578125" style="194"/>
    <col min="4361" max="4361" width="12.42578125" style="194" customWidth="1"/>
    <col min="4362" max="4608" width="11.42578125" style="194"/>
    <col min="4609" max="4609" width="15.7109375" style="194" customWidth="1"/>
    <col min="4610" max="4616" width="11.42578125" style="194"/>
    <col min="4617" max="4617" width="12.42578125" style="194" customWidth="1"/>
    <col min="4618" max="4864" width="11.42578125" style="194"/>
    <col min="4865" max="4865" width="15.7109375" style="194" customWidth="1"/>
    <col min="4866" max="4872" width="11.42578125" style="194"/>
    <col min="4873" max="4873" width="12.42578125" style="194" customWidth="1"/>
    <col min="4874" max="5120" width="11.42578125" style="194"/>
    <col min="5121" max="5121" width="15.7109375" style="194" customWidth="1"/>
    <col min="5122" max="5128" width="11.42578125" style="194"/>
    <col min="5129" max="5129" width="12.42578125" style="194" customWidth="1"/>
    <col min="5130" max="5376" width="11.42578125" style="194"/>
    <col min="5377" max="5377" width="15.7109375" style="194" customWidth="1"/>
    <col min="5378" max="5384" width="11.42578125" style="194"/>
    <col min="5385" max="5385" width="12.42578125" style="194" customWidth="1"/>
    <col min="5386" max="5632" width="11.42578125" style="194"/>
    <col min="5633" max="5633" width="15.7109375" style="194" customWidth="1"/>
    <col min="5634" max="5640" width="11.42578125" style="194"/>
    <col min="5641" max="5641" width="12.42578125" style="194" customWidth="1"/>
    <col min="5642" max="5888" width="11.42578125" style="194"/>
    <col min="5889" max="5889" width="15.7109375" style="194" customWidth="1"/>
    <col min="5890" max="5896" width="11.42578125" style="194"/>
    <col min="5897" max="5897" width="12.42578125" style="194" customWidth="1"/>
    <col min="5898" max="6144" width="11.42578125" style="194"/>
    <col min="6145" max="6145" width="15.7109375" style="194" customWidth="1"/>
    <col min="6146" max="6152" width="11.42578125" style="194"/>
    <col min="6153" max="6153" width="12.42578125" style="194" customWidth="1"/>
    <col min="6154" max="6400" width="11.42578125" style="194"/>
    <col min="6401" max="6401" width="15.7109375" style="194" customWidth="1"/>
    <col min="6402" max="6408" width="11.42578125" style="194"/>
    <col min="6409" max="6409" width="12.42578125" style="194" customWidth="1"/>
    <col min="6410" max="6656" width="11.42578125" style="194"/>
    <col min="6657" max="6657" width="15.7109375" style="194" customWidth="1"/>
    <col min="6658" max="6664" width="11.42578125" style="194"/>
    <col min="6665" max="6665" width="12.42578125" style="194" customWidth="1"/>
    <col min="6666" max="6912" width="11.42578125" style="194"/>
    <col min="6913" max="6913" width="15.7109375" style="194" customWidth="1"/>
    <col min="6914" max="6920" width="11.42578125" style="194"/>
    <col min="6921" max="6921" width="12.42578125" style="194" customWidth="1"/>
    <col min="6922" max="7168" width="11.42578125" style="194"/>
    <col min="7169" max="7169" width="15.7109375" style="194" customWidth="1"/>
    <col min="7170" max="7176" width="11.42578125" style="194"/>
    <col min="7177" max="7177" width="12.42578125" style="194" customWidth="1"/>
    <col min="7178" max="7424" width="11.42578125" style="194"/>
    <col min="7425" max="7425" width="15.7109375" style="194" customWidth="1"/>
    <col min="7426" max="7432" width="11.42578125" style="194"/>
    <col min="7433" max="7433" width="12.42578125" style="194" customWidth="1"/>
    <col min="7434" max="7680" width="11.42578125" style="194"/>
    <col min="7681" max="7681" width="15.7109375" style="194" customWidth="1"/>
    <col min="7682" max="7688" width="11.42578125" style="194"/>
    <col min="7689" max="7689" width="12.42578125" style="194" customWidth="1"/>
    <col min="7690" max="7936" width="11.42578125" style="194"/>
    <col min="7937" max="7937" width="15.7109375" style="194" customWidth="1"/>
    <col min="7938" max="7944" width="11.42578125" style="194"/>
    <col min="7945" max="7945" width="12.42578125" style="194" customWidth="1"/>
    <col min="7946" max="8192" width="11.42578125" style="194"/>
    <col min="8193" max="8193" width="15.7109375" style="194" customWidth="1"/>
    <col min="8194" max="8200" width="11.42578125" style="194"/>
    <col min="8201" max="8201" width="12.42578125" style="194" customWidth="1"/>
    <col min="8202" max="8448" width="11.42578125" style="194"/>
    <col min="8449" max="8449" width="15.7109375" style="194" customWidth="1"/>
    <col min="8450" max="8456" width="11.42578125" style="194"/>
    <col min="8457" max="8457" width="12.42578125" style="194" customWidth="1"/>
    <col min="8458" max="8704" width="11.42578125" style="194"/>
    <col min="8705" max="8705" width="15.7109375" style="194" customWidth="1"/>
    <col min="8706" max="8712" width="11.42578125" style="194"/>
    <col min="8713" max="8713" width="12.42578125" style="194" customWidth="1"/>
    <col min="8714" max="8960" width="11.42578125" style="194"/>
    <col min="8961" max="8961" width="15.7109375" style="194" customWidth="1"/>
    <col min="8962" max="8968" width="11.42578125" style="194"/>
    <col min="8969" max="8969" width="12.42578125" style="194" customWidth="1"/>
    <col min="8970" max="9216" width="11.42578125" style="194"/>
    <col min="9217" max="9217" width="15.7109375" style="194" customWidth="1"/>
    <col min="9218" max="9224" width="11.42578125" style="194"/>
    <col min="9225" max="9225" width="12.42578125" style="194" customWidth="1"/>
    <col min="9226" max="9472" width="11.42578125" style="194"/>
    <col min="9473" max="9473" width="15.7109375" style="194" customWidth="1"/>
    <col min="9474" max="9480" width="11.42578125" style="194"/>
    <col min="9481" max="9481" width="12.42578125" style="194" customWidth="1"/>
    <col min="9482" max="9728" width="11.42578125" style="194"/>
    <col min="9729" max="9729" width="15.7109375" style="194" customWidth="1"/>
    <col min="9730" max="9736" width="11.42578125" style="194"/>
    <col min="9737" max="9737" width="12.42578125" style="194" customWidth="1"/>
    <col min="9738" max="9984" width="11.42578125" style="194"/>
    <col min="9985" max="9985" width="15.7109375" style="194" customWidth="1"/>
    <col min="9986" max="9992" width="11.42578125" style="194"/>
    <col min="9993" max="9993" width="12.42578125" style="194" customWidth="1"/>
    <col min="9994" max="10240" width="11.42578125" style="194"/>
    <col min="10241" max="10241" width="15.7109375" style="194" customWidth="1"/>
    <col min="10242" max="10248" width="11.42578125" style="194"/>
    <col min="10249" max="10249" width="12.42578125" style="194" customWidth="1"/>
    <col min="10250" max="10496" width="11.42578125" style="194"/>
    <col min="10497" max="10497" width="15.7109375" style="194" customWidth="1"/>
    <col min="10498" max="10504" width="11.42578125" style="194"/>
    <col min="10505" max="10505" width="12.42578125" style="194" customWidth="1"/>
    <col min="10506" max="10752" width="11.42578125" style="194"/>
    <col min="10753" max="10753" width="15.7109375" style="194" customWidth="1"/>
    <col min="10754" max="10760" width="11.42578125" style="194"/>
    <col min="10761" max="10761" width="12.42578125" style="194" customWidth="1"/>
    <col min="10762" max="11008" width="11.42578125" style="194"/>
    <col min="11009" max="11009" width="15.7109375" style="194" customWidth="1"/>
    <col min="11010" max="11016" width="11.42578125" style="194"/>
    <col min="11017" max="11017" width="12.42578125" style="194" customWidth="1"/>
    <col min="11018" max="11264" width="11.42578125" style="194"/>
    <col min="11265" max="11265" width="15.7109375" style="194" customWidth="1"/>
    <col min="11266" max="11272" width="11.42578125" style="194"/>
    <col min="11273" max="11273" width="12.42578125" style="194" customWidth="1"/>
    <col min="11274" max="11520" width="11.42578125" style="194"/>
    <col min="11521" max="11521" width="15.7109375" style="194" customWidth="1"/>
    <col min="11522" max="11528" width="11.42578125" style="194"/>
    <col min="11529" max="11529" width="12.42578125" style="194" customWidth="1"/>
    <col min="11530" max="11776" width="11.42578125" style="194"/>
    <col min="11777" max="11777" width="15.7109375" style="194" customWidth="1"/>
    <col min="11778" max="11784" width="11.42578125" style="194"/>
    <col min="11785" max="11785" width="12.42578125" style="194" customWidth="1"/>
    <col min="11786" max="12032" width="11.42578125" style="194"/>
    <col min="12033" max="12033" width="15.7109375" style="194" customWidth="1"/>
    <col min="12034" max="12040" width="11.42578125" style="194"/>
    <col min="12041" max="12041" width="12.42578125" style="194" customWidth="1"/>
    <col min="12042" max="12288" width="11.42578125" style="194"/>
    <col min="12289" max="12289" width="15.7109375" style="194" customWidth="1"/>
    <col min="12290" max="12296" width="11.42578125" style="194"/>
    <col min="12297" max="12297" width="12.42578125" style="194" customWidth="1"/>
    <col min="12298" max="12544" width="11.42578125" style="194"/>
    <col min="12545" max="12545" width="15.7109375" style="194" customWidth="1"/>
    <col min="12546" max="12552" width="11.42578125" style="194"/>
    <col min="12553" max="12553" width="12.42578125" style="194" customWidth="1"/>
    <col min="12554" max="12800" width="11.42578125" style="194"/>
    <col min="12801" max="12801" width="15.7109375" style="194" customWidth="1"/>
    <col min="12802" max="12808" width="11.42578125" style="194"/>
    <col min="12809" max="12809" width="12.42578125" style="194" customWidth="1"/>
    <col min="12810" max="13056" width="11.42578125" style="194"/>
    <col min="13057" max="13057" width="15.7109375" style="194" customWidth="1"/>
    <col min="13058" max="13064" width="11.42578125" style="194"/>
    <col min="13065" max="13065" width="12.42578125" style="194" customWidth="1"/>
    <col min="13066" max="13312" width="11.42578125" style="194"/>
    <col min="13313" max="13313" width="15.7109375" style="194" customWidth="1"/>
    <col min="13314" max="13320" width="11.42578125" style="194"/>
    <col min="13321" max="13321" width="12.42578125" style="194" customWidth="1"/>
    <col min="13322" max="13568" width="11.42578125" style="194"/>
    <col min="13569" max="13569" width="15.7109375" style="194" customWidth="1"/>
    <col min="13570" max="13576" width="11.42578125" style="194"/>
    <col min="13577" max="13577" width="12.42578125" style="194" customWidth="1"/>
    <col min="13578" max="13824" width="11.42578125" style="194"/>
    <col min="13825" max="13825" width="15.7109375" style="194" customWidth="1"/>
    <col min="13826" max="13832" width="11.42578125" style="194"/>
    <col min="13833" max="13833" width="12.42578125" style="194" customWidth="1"/>
    <col min="13834" max="14080" width="11.42578125" style="194"/>
    <col min="14081" max="14081" width="15.7109375" style="194" customWidth="1"/>
    <col min="14082" max="14088" width="11.42578125" style="194"/>
    <col min="14089" max="14089" width="12.42578125" style="194" customWidth="1"/>
    <col min="14090" max="14336" width="11.42578125" style="194"/>
    <col min="14337" max="14337" width="15.7109375" style="194" customWidth="1"/>
    <col min="14338" max="14344" width="11.42578125" style="194"/>
    <col min="14345" max="14345" width="12.42578125" style="194" customWidth="1"/>
    <col min="14346" max="14592" width="11.42578125" style="194"/>
    <col min="14593" max="14593" width="15.7109375" style="194" customWidth="1"/>
    <col min="14594" max="14600" width="11.42578125" style="194"/>
    <col min="14601" max="14601" width="12.42578125" style="194" customWidth="1"/>
    <col min="14602" max="14848" width="11.42578125" style="194"/>
    <col min="14849" max="14849" width="15.7109375" style="194" customWidth="1"/>
    <col min="14850" max="14856" width="11.42578125" style="194"/>
    <col min="14857" max="14857" width="12.42578125" style="194" customWidth="1"/>
    <col min="14858" max="15104" width="11.42578125" style="194"/>
    <col min="15105" max="15105" width="15.7109375" style="194" customWidth="1"/>
    <col min="15106" max="15112" width="11.42578125" style="194"/>
    <col min="15113" max="15113" width="12.42578125" style="194" customWidth="1"/>
    <col min="15114" max="15360" width="11.42578125" style="194"/>
    <col min="15361" max="15361" width="15.7109375" style="194" customWidth="1"/>
    <col min="15362" max="15368" width="11.42578125" style="194"/>
    <col min="15369" max="15369" width="12.42578125" style="194" customWidth="1"/>
    <col min="15370" max="15616" width="11.42578125" style="194"/>
    <col min="15617" max="15617" width="15.7109375" style="194" customWidth="1"/>
    <col min="15618" max="15624" width="11.42578125" style="194"/>
    <col min="15625" max="15625" width="12.42578125" style="194" customWidth="1"/>
    <col min="15626" max="15872" width="11.42578125" style="194"/>
    <col min="15873" max="15873" width="15.7109375" style="194" customWidth="1"/>
    <col min="15874" max="15880" width="11.42578125" style="194"/>
    <col min="15881" max="15881" width="12.42578125" style="194" customWidth="1"/>
    <col min="15882" max="16128" width="11.42578125" style="194"/>
    <col min="16129" max="16129" width="15.7109375" style="194" customWidth="1"/>
    <col min="16130" max="16136" width="11.42578125" style="194"/>
    <col min="16137" max="16137" width="12.42578125" style="194" customWidth="1"/>
    <col min="16138" max="16384" width="11.42578125" style="194"/>
  </cols>
  <sheetData>
    <row r="54" spans="2:12" ht="19.5" customHeight="1">
      <c r="B54" s="427"/>
      <c r="C54" s="427"/>
      <c r="D54" s="427"/>
      <c r="E54" s="427"/>
      <c r="F54" s="427"/>
      <c r="G54" s="427"/>
      <c r="H54" s="427"/>
      <c r="I54" s="427"/>
      <c r="J54" s="427"/>
      <c r="K54" s="427"/>
      <c r="L54" s="427"/>
    </row>
    <row r="55" spans="2:12" ht="15" customHeight="1" thickBot="1"/>
    <row r="56" spans="2:12" ht="30" customHeight="1" thickBot="1">
      <c r="I56" s="60" t="s">
        <v>52</v>
      </c>
    </row>
  </sheetData>
  <hyperlinks>
    <hyperlink ref="I56" location="'Ofe Aloj Estim zona cat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39">
    <tabColor rgb="FF000099"/>
    <pageSetUpPr autoPageBreaks="0" fitToPage="1"/>
  </sheetPr>
  <dimension ref="C1:Q51"/>
  <sheetViews>
    <sheetView showGridLines="0" showRowColHeaders="0" showOutlineSymbols="0" topLeftCell="F1" zoomScaleNormal="100" workbookViewId="0">
      <selection activeCell="I13" sqref="I13"/>
    </sheetView>
  </sheetViews>
  <sheetFormatPr baseColWidth="10" defaultRowHeight="12.75"/>
  <cols>
    <col min="1" max="2" width="11.42578125" style="194"/>
    <col min="3" max="3" width="26.85546875" style="194" customWidth="1"/>
    <col min="4" max="4" width="12.7109375" style="194" customWidth="1"/>
    <col min="5" max="5" width="10.5703125" style="194" customWidth="1"/>
    <col min="6" max="6" width="12.7109375" style="194" customWidth="1"/>
    <col min="7" max="7" width="10.7109375" style="194" customWidth="1"/>
    <col min="8" max="8" width="10.5703125" style="194" customWidth="1"/>
    <col min="9" max="9" width="8.42578125" style="194" customWidth="1"/>
    <col min="10" max="10" width="23.28515625" style="194" customWidth="1"/>
    <col min="11" max="256" width="11.42578125" style="194"/>
    <col min="257" max="257" width="26.85546875" style="194" customWidth="1"/>
    <col min="258" max="258" width="12.7109375" style="194" customWidth="1"/>
    <col min="259" max="259" width="10.5703125" style="194" customWidth="1"/>
    <col min="260" max="260" width="12.7109375" style="194" customWidth="1"/>
    <col min="261" max="261" width="10.7109375" style="194" customWidth="1"/>
    <col min="262" max="262" width="10.5703125" style="194" customWidth="1"/>
    <col min="263" max="263" width="9.28515625" style="194" customWidth="1"/>
    <col min="264" max="512" width="11.42578125" style="194"/>
    <col min="513" max="513" width="26.85546875" style="194" customWidth="1"/>
    <col min="514" max="514" width="12.7109375" style="194" customWidth="1"/>
    <col min="515" max="515" width="10.5703125" style="194" customWidth="1"/>
    <col min="516" max="516" width="12.7109375" style="194" customWidth="1"/>
    <col min="517" max="517" width="10.7109375" style="194" customWidth="1"/>
    <col min="518" max="518" width="10.5703125" style="194" customWidth="1"/>
    <col min="519" max="519" width="9.28515625" style="194" customWidth="1"/>
    <col min="520" max="768" width="11.42578125" style="194"/>
    <col min="769" max="769" width="26.85546875" style="194" customWidth="1"/>
    <col min="770" max="770" width="12.7109375" style="194" customWidth="1"/>
    <col min="771" max="771" width="10.5703125" style="194" customWidth="1"/>
    <col min="772" max="772" width="12.7109375" style="194" customWidth="1"/>
    <col min="773" max="773" width="10.7109375" style="194" customWidth="1"/>
    <col min="774" max="774" width="10.5703125" style="194" customWidth="1"/>
    <col min="775" max="775" width="9.28515625" style="194" customWidth="1"/>
    <col min="776" max="1024" width="11.42578125" style="194"/>
    <col min="1025" max="1025" width="26.85546875" style="194" customWidth="1"/>
    <col min="1026" max="1026" width="12.7109375" style="194" customWidth="1"/>
    <col min="1027" max="1027" width="10.5703125" style="194" customWidth="1"/>
    <col min="1028" max="1028" width="12.7109375" style="194" customWidth="1"/>
    <col min="1029" max="1029" width="10.7109375" style="194" customWidth="1"/>
    <col min="1030" max="1030" width="10.5703125" style="194" customWidth="1"/>
    <col min="1031" max="1031" width="9.28515625" style="194" customWidth="1"/>
    <col min="1032" max="1280" width="11.42578125" style="194"/>
    <col min="1281" max="1281" width="26.85546875" style="194" customWidth="1"/>
    <col min="1282" max="1282" width="12.7109375" style="194" customWidth="1"/>
    <col min="1283" max="1283" width="10.5703125" style="194" customWidth="1"/>
    <col min="1284" max="1284" width="12.7109375" style="194" customWidth="1"/>
    <col min="1285" max="1285" width="10.7109375" style="194" customWidth="1"/>
    <col min="1286" max="1286" width="10.5703125" style="194" customWidth="1"/>
    <col min="1287" max="1287" width="9.28515625" style="194" customWidth="1"/>
    <col min="1288" max="1536" width="11.42578125" style="194"/>
    <col min="1537" max="1537" width="26.85546875" style="194" customWidth="1"/>
    <col min="1538" max="1538" width="12.7109375" style="194" customWidth="1"/>
    <col min="1539" max="1539" width="10.5703125" style="194" customWidth="1"/>
    <col min="1540" max="1540" width="12.7109375" style="194" customWidth="1"/>
    <col min="1541" max="1541" width="10.7109375" style="194" customWidth="1"/>
    <col min="1542" max="1542" width="10.5703125" style="194" customWidth="1"/>
    <col min="1543" max="1543" width="9.28515625" style="194" customWidth="1"/>
    <col min="1544" max="1792" width="11.42578125" style="194"/>
    <col min="1793" max="1793" width="26.85546875" style="194" customWidth="1"/>
    <col min="1794" max="1794" width="12.7109375" style="194" customWidth="1"/>
    <col min="1795" max="1795" width="10.5703125" style="194" customWidth="1"/>
    <col min="1796" max="1796" width="12.7109375" style="194" customWidth="1"/>
    <col min="1797" max="1797" width="10.7109375" style="194" customWidth="1"/>
    <col min="1798" max="1798" width="10.5703125" style="194" customWidth="1"/>
    <col min="1799" max="1799" width="9.28515625" style="194" customWidth="1"/>
    <col min="1800" max="2048" width="11.42578125" style="194"/>
    <col min="2049" max="2049" width="26.85546875" style="194" customWidth="1"/>
    <col min="2050" max="2050" width="12.7109375" style="194" customWidth="1"/>
    <col min="2051" max="2051" width="10.5703125" style="194" customWidth="1"/>
    <col min="2052" max="2052" width="12.7109375" style="194" customWidth="1"/>
    <col min="2053" max="2053" width="10.7109375" style="194" customWidth="1"/>
    <col min="2054" max="2054" width="10.5703125" style="194" customWidth="1"/>
    <col min="2055" max="2055" width="9.28515625" style="194" customWidth="1"/>
    <col min="2056" max="2304" width="11.42578125" style="194"/>
    <col min="2305" max="2305" width="26.85546875" style="194" customWidth="1"/>
    <col min="2306" max="2306" width="12.7109375" style="194" customWidth="1"/>
    <col min="2307" max="2307" width="10.5703125" style="194" customWidth="1"/>
    <col min="2308" max="2308" width="12.7109375" style="194" customWidth="1"/>
    <col min="2309" max="2309" width="10.7109375" style="194" customWidth="1"/>
    <col min="2310" max="2310" width="10.5703125" style="194" customWidth="1"/>
    <col min="2311" max="2311" width="9.28515625" style="194" customWidth="1"/>
    <col min="2312" max="2560" width="11.42578125" style="194"/>
    <col min="2561" max="2561" width="26.85546875" style="194" customWidth="1"/>
    <col min="2562" max="2562" width="12.7109375" style="194" customWidth="1"/>
    <col min="2563" max="2563" width="10.5703125" style="194" customWidth="1"/>
    <col min="2564" max="2564" width="12.7109375" style="194" customWidth="1"/>
    <col min="2565" max="2565" width="10.7109375" style="194" customWidth="1"/>
    <col min="2566" max="2566" width="10.5703125" style="194" customWidth="1"/>
    <col min="2567" max="2567" width="9.28515625" style="194" customWidth="1"/>
    <col min="2568" max="2816" width="11.42578125" style="194"/>
    <col min="2817" max="2817" width="26.85546875" style="194" customWidth="1"/>
    <col min="2818" max="2818" width="12.7109375" style="194" customWidth="1"/>
    <col min="2819" max="2819" width="10.5703125" style="194" customWidth="1"/>
    <col min="2820" max="2820" width="12.7109375" style="194" customWidth="1"/>
    <col min="2821" max="2821" width="10.7109375" style="194" customWidth="1"/>
    <col min="2822" max="2822" width="10.5703125" style="194" customWidth="1"/>
    <col min="2823" max="2823" width="9.28515625" style="194" customWidth="1"/>
    <col min="2824" max="3072" width="11.42578125" style="194"/>
    <col min="3073" max="3073" width="26.85546875" style="194" customWidth="1"/>
    <col min="3074" max="3074" width="12.7109375" style="194" customWidth="1"/>
    <col min="3075" max="3075" width="10.5703125" style="194" customWidth="1"/>
    <col min="3076" max="3076" width="12.7109375" style="194" customWidth="1"/>
    <col min="3077" max="3077" width="10.7109375" style="194" customWidth="1"/>
    <col min="3078" max="3078" width="10.5703125" style="194" customWidth="1"/>
    <col min="3079" max="3079" width="9.28515625" style="194" customWidth="1"/>
    <col min="3080" max="3328" width="11.42578125" style="194"/>
    <col min="3329" max="3329" width="26.85546875" style="194" customWidth="1"/>
    <col min="3330" max="3330" width="12.7109375" style="194" customWidth="1"/>
    <col min="3331" max="3331" width="10.5703125" style="194" customWidth="1"/>
    <col min="3332" max="3332" width="12.7109375" style="194" customWidth="1"/>
    <col min="3333" max="3333" width="10.7109375" style="194" customWidth="1"/>
    <col min="3334" max="3334" width="10.5703125" style="194" customWidth="1"/>
    <col min="3335" max="3335" width="9.28515625" style="194" customWidth="1"/>
    <col min="3336" max="3584" width="11.42578125" style="194"/>
    <col min="3585" max="3585" width="26.85546875" style="194" customWidth="1"/>
    <col min="3586" max="3586" width="12.7109375" style="194" customWidth="1"/>
    <col min="3587" max="3587" width="10.5703125" style="194" customWidth="1"/>
    <col min="3588" max="3588" width="12.7109375" style="194" customWidth="1"/>
    <col min="3589" max="3589" width="10.7109375" style="194" customWidth="1"/>
    <col min="3590" max="3590" width="10.5703125" style="194" customWidth="1"/>
    <col min="3591" max="3591" width="9.28515625" style="194" customWidth="1"/>
    <col min="3592" max="3840" width="11.42578125" style="194"/>
    <col min="3841" max="3841" width="26.85546875" style="194" customWidth="1"/>
    <col min="3842" max="3842" width="12.7109375" style="194" customWidth="1"/>
    <col min="3843" max="3843" width="10.5703125" style="194" customWidth="1"/>
    <col min="3844" max="3844" width="12.7109375" style="194" customWidth="1"/>
    <col min="3845" max="3845" width="10.7109375" style="194" customWidth="1"/>
    <col min="3846" max="3846" width="10.5703125" style="194" customWidth="1"/>
    <col min="3847" max="3847" width="9.28515625" style="194" customWidth="1"/>
    <col min="3848" max="4096" width="11.42578125" style="194"/>
    <col min="4097" max="4097" width="26.85546875" style="194" customWidth="1"/>
    <col min="4098" max="4098" width="12.7109375" style="194" customWidth="1"/>
    <col min="4099" max="4099" width="10.5703125" style="194" customWidth="1"/>
    <col min="4100" max="4100" width="12.7109375" style="194" customWidth="1"/>
    <col min="4101" max="4101" width="10.7109375" style="194" customWidth="1"/>
    <col min="4102" max="4102" width="10.5703125" style="194" customWidth="1"/>
    <col min="4103" max="4103" width="9.28515625" style="194" customWidth="1"/>
    <col min="4104" max="4352" width="11.42578125" style="194"/>
    <col min="4353" max="4353" width="26.85546875" style="194" customWidth="1"/>
    <col min="4354" max="4354" width="12.7109375" style="194" customWidth="1"/>
    <col min="4355" max="4355" width="10.5703125" style="194" customWidth="1"/>
    <col min="4356" max="4356" width="12.7109375" style="194" customWidth="1"/>
    <col min="4357" max="4357" width="10.7109375" style="194" customWidth="1"/>
    <col min="4358" max="4358" width="10.5703125" style="194" customWidth="1"/>
    <col min="4359" max="4359" width="9.28515625" style="194" customWidth="1"/>
    <col min="4360" max="4608" width="11.42578125" style="194"/>
    <col min="4609" max="4609" width="26.85546875" style="194" customWidth="1"/>
    <col min="4610" max="4610" width="12.7109375" style="194" customWidth="1"/>
    <col min="4611" max="4611" width="10.5703125" style="194" customWidth="1"/>
    <col min="4612" max="4612" width="12.7109375" style="194" customWidth="1"/>
    <col min="4613" max="4613" width="10.7109375" style="194" customWidth="1"/>
    <col min="4614" max="4614" width="10.5703125" style="194" customWidth="1"/>
    <col min="4615" max="4615" width="9.28515625" style="194" customWidth="1"/>
    <col min="4616" max="4864" width="11.42578125" style="194"/>
    <col min="4865" max="4865" width="26.85546875" style="194" customWidth="1"/>
    <col min="4866" max="4866" width="12.7109375" style="194" customWidth="1"/>
    <col min="4867" max="4867" width="10.5703125" style="194" customWidth="1"/>
    <col min="4868" max="4868" width="12.7109375" style="194" customWidth="1"/>
    <col min="4869" max="4869" width="10.7109375" style="194" customWidth="1"/>
    <col min="4870" max="4870" width="10.5703125" style="194" customWidth="1"/>
    <col min="4871" max="4871" width="9.28515625" style="194" customWidth="1"/>
    <col min="4872" max="5120" width="11.42578125" style="194"/>
    <col min="5121" max="5121" width="26.85546875" style="194" customWidth="1"/>
    <col min="5122" max="5122" width="12.7109375" style="194" customWidth="1"/>
    <col min="5123" max="5123" width="10.5703125" style="194" customWidth="1"/>
    <col min="5124" max="5124" width="12.7109375" style="194" customWidth="1"/>
    <col min="5125" max="5125" width="10.7109375" style="194" customWidth="1"/>
    <col min="5126" max="5126" width="10.5703125" style="194" customWidth="1"/>
    <col min="5127" max="5127" width="9.28515625" style="194" customWidth="1"/>
    <col min="5128" max="5376" width="11.42578125" style="194"/>
    <col min="5377" max="5377" width="26.85546875" style="194" customWidth="1"/>
    <col min="5378" max="5378" width="12.7109375" style="194" customWidth="1"/>
    <col min="5379" max="5379" width="10.5703125" style="194" customWidth="1"/>
    <col min="5380" max="5380" width="12.7109375" style="194" customWidth="1"/>
    <col min="5381" max="5381" width="10.7109375" style="194" customWidth="1"/>
    <col min="5382" max="5382" width="10.5703125" style="194" customWidth="1"/>
    <col min="5383" max="5383" width="9.28515625" style="194" customWidth="1"/>
    <col min="5384" max="5632" width="11.42578125" style="194"/>
    <col min="5633" max="5633" width="26.85546875" style="194" customWidth="1"/>
    <col min="5634" max="5634" width="12.7109375" style="194" customWidth="1"/>
    <col min="5635" max="5635" width="10.5703125" style="194" customWidth="1"/>
    <col min="5636" max="5636" width="12.7109375" style="194" customWidth="1"/>
    <col min="5637" max="5637" width="10.7109375" style="194" customWidth="1"/>
    <col min="5638" max="5638" width="10.5703125" style="194" customWidth="1"/>
    <col min="5639" max="5639" width="9.28515625" style="194" customWidth="1"/>
    <col min="5640" max="5888" width="11.42578125" style="194"/>
    <col min="5889" max="5889" width="26.85546875" style="194" customWidth="1"/>
    <col min="5890" max="5890" width="12.7109375" style="194" customWidth="1"/>
    <col min="5891" max="5891" width="10.5703125" style="194" customWidth="1"/>
    <col min="5892" max="5892" width="12.7109375" style="194" customWidth="1"/>
    <col min="5893" max="5893" width="10.7109375" style="194" customWidth="1"/>
    <col min="5894" max="5894" width="10.5703125" style="194" customWidth="1"/>
    <col min="5895" max="5895" width="9.28515625" style="194" customWidth="1"/>
    <col min="5896" max="6144" width="11.42578125" style="194"/>
    <col min="6145" max="6145" width="26.85546875" style="194" customWidth="1"/>
    <col min="6146" max="6146" width="12.7109375" style="194" customWidth="1"/>
    <col min="6147" max="6147" width="10.5703125" style="194" customWidth="1"/>
    <col min="6148" max="6148" width="12.7109375" style="194" customWidth="1"/>
    <col min="6149" max="6149" width="10.7109375" style="194" customWidth="1"/>
    <col min="6150" max="6150" width="10.5703125" style="194" customWidth="1"/>
    <col min="6151" max="6151" width="9.28515625" style="194" customWidth="1"/>
    <col min="6152" max="6400" width="11.42578125" style="194"/>
    <col min="6401" max="6401" width="26.85546875" style="194" customWidth="1"/>
    <col min="6402" max="6402" width="12.7109375" style="194" customWidth="1"/>
    <col min="6403" max="6403" width="10.5703125" style="194" customWidth="1"/>
    <col min="6404" max="6404" width="12.7109375" style="194" customWidth="1"/>
    <col min="6405" max="6405" width="10.7109375" style="194" customWidth="1"/>
    <col min="6406" max="6406" width="10.5703125" style="194" customWidth="1"/>
    <col min="6407" max="6407" width="9.28515625" style="194" customWidth="1"/>
    <col min="6408" max="6656" width="11.42578125" style="194"/>
    <col min="6657" max="6657" width="26.85546875" style="194" customWidth="1"/>
    <col min="6658" max="6658" width="12.7109375" style="194" customWidth="1"/>
    <col min="6659" max="6659" width="10.5703125" style="194" customWidth="1"/>
    <col min="6660" max="6660" width="12.7109375" style="194" customWidth="1"/>
    <col min="6661" max="6661" width="10.7109375" style="194" customWidth="1"/>
    <col min="6662" max="6662" width="10.5703125" style="194" customWidth="1"/>
    <col min="6663" max="6663" width="9.28515625" style="194" customWidth="1"/>
    <col min="6664" max="6912" width="11.42578125" style="194"/>
    <col min="6913" max="6913" width="26.85546875" style="194" customWidth="1"/>
    <col min="6914" max="6914" width="12.7109375" style="194" customWidth="1"/>
    <col min="6915" max="6915" width="10.5703125" style="194" customWidth="1"/>
    <col min="6916" max="6916" width="12.7109375" style="194" customWidth="1"/>
    <col min="6917" max="6917" width="10.7109375" style="194" customWidth="1"/>
    <col min="6918" max="6918" width="10.5703125" style="194" customWidth="1"/>
    <col min="6919" max="6919" width="9.28515625" style="194" customWidth="1"/>
    <col min="6920" max="7168" width="11.42578125" style="194"/>
    <col min="7169" max="7169" width="26.85546875" style="194" customWidth="1"/>
    <col min="7170" max="7170" width="12.7109375" style="194" customWidth="1"/>
    <col min="7171" max="7171" width="10.5703125" style="194" customWidth="1"/>
    <col min="7172" max="7172" width="12.7109375" style="194" customWidth="1"/>
    <col min="7173" max="7173" width="10.7109375" style="194" customWidth="1"/>
    <col min="7174" max="7174" width="10.5703125" style="194" customWidth="1"/>
    <col min="7175" max="7175" width="9.28515625" style="194" customWidth="1"/>
    <col min="7176" max="7424" width="11.42578125" style="194"/>
    <col min="7425" max="7425" width="26.85546875" style="194" customWidth="1"/>
    <col min="7426" max="7426" width="12.7109375" style="194" customWidth="1"/>
    <col min="7427" max="7427" width="10.5703125" style="194" customWidth="1"/>
    <col min="7428" max="7428" width="12.7109375" style="194" customWidth="1"/>
    <col min="7429" max="7429" width="10.7109375" style="194" customWidth="1"/>
    <col min="7430" max="7430" width="10.5703125" style="194" customWidth="1"/>
    <col min="7431" max="7431" width="9.28515625" style="194" customWidth="1"/>
    <col min="7432" max="7680" width="11.42578125" style="194"/>
    <col min="7681" max="7681" width="26.85546875" style="194" customWidth="1"/>
    <col min="7682" max="7682" width="12.7109375" style="194" customWidth="1"/>
    <col min="7683" max="7683" width="10.5703125" style="194" customWidth="1"/>
    <col min="7684" max="7684" width="12.7109375" style="194" customWidth="1"/>
    <col min="7685" max="7685" width="10.7109375" style="194" customWidth="1"/>
    <col min="7686" max="7686" width="10.5703125" style="194" customWidth="1"/>
    <col min="7687" max="7687" width="9.28515625" style="194" customWidth="1"/>
    <col min="7688" max="7936" width="11.42578125" style="194"/>
    <col min="7937" max="7937" width="26.85546875" style="194" customWidth="1"/>
    <col min="7938" max="7938" width="12.7109375" style="194" customWidth="1"/>
    <col min="7939" max="7939" width="10.5703125" style="194" customWidth="1"/>
    <col min="7940" max="7940" width="12.7109375" style="194" customWidth="1"/>
    <col min="7941" max="7941" width="10.7109375" style="194" customWidth="1"/>
    <col min="7942" max="7942" width="10.5703125" style="194" customWidth="1"/>
    <col min="7943" max="7943" width="9.28515625" style="194" customWidth="1"/>
    <col min="7944" max="8192" width="11.42578125" style="194"/>
    <col min="8193" max="8193" width="26.85546875" style="194" customWidth="1"/>
    <col min="8194" max="8194" width="12.7109375" style="194" customWidth="1"/>
    <col min="8195" max="8195" width="10.5703125" style="194" customWidth="1"/>
    <col min="8196" max="8196" width="12.7109375" style="194" customWidth="1"/>
    <col min="8197" max="8197" width="10.7109375" style="194" customWidth="1"/>
    <col min="8198" max="8198" width="10.5703125" style="194" customWidth="1"/>
    <col min="8199" max="8199" width="9.28515625" style="194" customWidth="1"/>
    <col min="8200" max="8448" width="11.42578125" style="194"/>
    <col min="8449" max="8449" width="26.85546875" style="194" customWidth="1"/>
    <col min="8450" max="8450" width="12.7109375" style="194" customWidth="1"/>
    <col min="8451" max="8451" width="10.5703125" style="194" customWidth="1"/>
    <col min="8452" max="8452" width="12.7109375" style="194" customWidth="1"/>
    <col min="8453" max="8453" width="10.7109375" style="194" customWidth="1"/>
    <col min="8454" max="8454" width="10.5703125" style="194" customWidth="1"/>
    <col min="8455" max="8455" width="9.28515625" style="194" customWidth="1"/>
    <col min="8456" max="8704" width="11.42578125" style="194"/>
    <col min="8705" max="8705" width="26.85546875" style="194" customWidth="1"/>
    <col min="8706" max="8706" width="12.7109375" style="194" customWidth="1"/>
    <col min="8707" max="8707" width="10.5703125" style="194" customWidth="1"/>
    <col min="8708" max="8708" width="12.7109375" style="194" customWidth="1"/>
    <col min="8709" max="8709" width="10.7109375" style="194" customWidth="1"/>
    <col min="8710" max="8710" width="10.5703125" style="194" customWidth="1"/>
    <col min="8711" max="8711" width="9.28515625" style="194" customWidth="1"/>
    <col min="8712" max="8960" width="11.42578125" style="194"/>
    <col min="8961" max="8961" width="26.85546875" style="194" customWidth="1"/>
    <col min="8962" max="8962" width="12.7109375" style="194" customWidth="1"/>
    <col min="8963" max="8963" width="10.5703125" style="194" customWidth="1"/>
    <col min="8964" max="8964" width="12.7109375" style="194" customWidth="1"/>
    <col min="8965" max="8965" width="10.7109375" style="194" customWidth="1"/>
    <col min="8966" max="8966" width="10.5703125" style="194" customWidth="1"/>
    <col min="8967" max="8967" width="9.28515625" style="194" customWidth="1"/>
    <col min="8968" max="9216" width="11.42578125" style="194"/>
    <col min="9217" max="9217" width="26.85546875" style="194" customWidth="1"/>
    <col min="9218" max="9218" width="12.7109375" style="194" customWidth="1"/>
    <col min="9219" max="9219" width="10.5703125" style="194" customWidth="1"/>
    <col min="9220" max="9220" width="12.7109375" style="194" customWidth="1"/>
    <col min="9221" max="9221" width="10.7109375" style="194" customWidth="1"/>
    <col min="9222" max="9222" width="10.5703125" style="194" customWidth="1"/>
    <col min="9223" max="9223" width="9.28515625" style="194" customWidth="1"/>
    <col min="9224" max="9472" width="11.42578125" style="194"/>
    <col min="9473" max="9473" width="26.85546875" style="194" customWidth="1"/>
    <col min="9474" max="9474" width="12.7109375" style="194" customWidth="1"/>
    <col min="9475" max="9475" width="10.5703125" style="194" customWidth="1"/>
    <col min="9476" max="9476" width="12.7109375" style="194" customWidth="1"/>
    <col min="9477" max="9477" width="10.7109375" style="194" customWidth="1"/>
    <col min="9478" max="9478" width="10.5703125" style="194" customWidth="1"/>
    <col min="9479" max="9479" width="9.28515625" style="194" customWidth="1"/>
    <col min="9480" max="9728" width="11.42578125" style="194"/>
    <col min="9729" max="9729" width="26.85546875" style="194" customWidth="1"/>
    <col min="9730" max="9730" width="12.7109375" style="194" customWidth="1"/>
    <col min="9731" max="9731" width="10.5703125" style="194" customWidth="1"/>
    <col min="9732" max="9732" width="12.7109375" style="194" customWidth="1"/>
    <col min="9733" max="9733" width="10.7109375" style="194" customWidth="1"/>
    <col min="9734" max="9734" width="10.5703125" style="194" customWidth="1"/>
    <col min="9735" max="9735" width="9.28515625" style="194" customWidth="1"/>
    <col min="9736" max="9984" width="11.42578125" style="194"/>
    <col min="9985" max="9985" width="26.85546875" style="194" customWidth="1"/>
    <col min="9986" max="9986" width="12.7109375" style="194" customWidth="1"/>
    <col min="9987" max="9987" width="10.5703125" style="194" customWidth="1"/>
    <col min="9988" max="9988" width="12.7109375" style="194" customWidth="1"/>
    <col min="9989" max="9989" width="10.7109375" style="194" customWidth="1"/>
    <col min="9990" max="9990" width="10.5703125" style="194" customWidth="1"/>
    <col min="9991" max="9991" width="9.28515625" style="194" customWidth="1"/>
    <col min="9992" max="10240" width="11.42578125" style="194"/>
    <col min="10241" max="10241" width="26.85546875" style="194" customWidth="1"/>
    <col min="10242" max="10242" width="12.7109375" style="194" customWidth="1"/>
    <col min="10243" max="10243" width="10.5703125" style="194" customWidth="1"/>
    <col min="10244" max="10244" width="12.7109375" style="194" customWidth="1"/>
    <col min="10245" max="10245" width="10.7109375" style="194" customWidth="1"/>
    <col min="10246" max="10246" width="10.5703125" style="194" customWidth="1"/>
    <col min="10247" max="10247" width="9.28515625" style="194" customWidth="1"/>
    <col min="10248" max="10496" width="11.42578125" style="194"/>
    <col min="10497" max="10497" width="26.85546875" style="194" customWidth="1"/>
    <col min="10498" max="10498" width="12.7109375" style="194" customWidth="1"/>
    <col min="10499" max="10499" width="10.5703125" style="194" customWidth="1"/>
    <col min="10500" max="10500" width="12.7109375" style="194" customWidth="1"/>
    <col min="10501" max="10501" width="10.7109375" style="194" customWidth="1"/>
    <col min="10502" max="10502" width="10.5703125" style="194" customWidth="1"/>
    <col min="10503" max="10503" width="9.28515625" style="194" customWidth="1"/>
    <col min="10504" max="10752" width="11.42578125" style="194"/>
    <col min="10753" max="10753" width="26.85546875" style="194" customWidth="1"/>
    <col min="10754" max="10754" width="12.7109375" style="194" customWidth="1"/>
    <col min="10755" max="10755" width="10.5703125" style="194" customWidth="1"/>
    <col min="10756" max="10756" width="12.7109375" style="194" customWidth="1"/>
    <col min="10757" max="10757" width="10.7109375" style="194" customWidth="1"/>
    <col min="10758" max="10758" width="10.5703125" style="194" customWidth="1"/>
    <col min="10759" max="10759" width="9.28515625" style="194" customWidth="1"/>
    <col min="10760" max="11008" width="11.42578125" style="194"/>
    <col min="11009" max="11009" width="26.85546875" style="194" customWidth="1"/>
    <col min="11010" max="11010" width="12.7109375" style="194" customWidth="1"/>
    <col min="11011" max="11011" width="10.5703125" style="194" customWidth="1"/>
    <col min="11012" max="11012" width="12.7109375" style="194" customWidth="1"/>
    <col min="11013" max="11013" width="10.7109375" style="194" customWidth="1"/>
    <col min="11014" max="11014" width="10.5703125" style="194" customWidth="1"/>
    <col min="11015" max="11015" width="9.28515625" style="194" customWidth="1"/>
    <col min="11016" max="11264" width="11.42578125" style="194"/>
    <col min="11265" max="11265" width="26.85546875" style="194" customWidth="1"/>
    <col min="11266" max="11266" width="12.7109375" style="194" customWidth="1"/>
    <col min="11267" max="11267" width="10.5703125" style="194" customWidth="1"/>
    <col min="11268" max="11268" width="12.7109375" style="194" customWidth="1"/>
    <col min="11269" max="11269" width="10.7109375" style="194" customWidth="1"/>
    <col min="11270" max="11270" width="10.5703125" style="194" customWidth="1"/>
    <col min="11271" max="11271" width="9.28515625" style="194" customWidth="1"/>
    <col min="11272" max="11520" width="11.42578125" style="194"/>
    <col min="11521" max="11521" width="26.85546875" style="194" customWidth="1"/>
    <col min="11522" max="11522" width="12.7109375" style="194" customWidth="1"/>
    <col min="11523" max="11523" width="10.5703125" style="194" customWidth="1"/>
    <col min="11524" max="11524" width="12.7109375" style="194" customWidth="1"/>
    <col min="11525" max="11525" width="10.7109375" style="194" customWidth="1"/>
    <col min="11526" max="11526" width="10.5703125" style="194" customWidth="1"/>
    <col min="11527" max="11527" width="9.28515625" style="194" customWidth="1"/>
    <col min="11528" max="11776" width="11.42578125" style="194"/>
    <col min="11777" max="11777" width="26.85546875" style="194" customWidth="1"/>
    <col min="11778" max="11778" width="12.7109375" style="194" customWidth="1"/>
    <col min="11779" max="11779" width="10.5703125" style="194" customWidth="1"/>
    <col min="11780" max="11780" width="12.7109375" style="194" customWidth="1"/>
    <col min="11781" max="11781" width="10.7109375" style="194" customWidth="1"/>
    <col min="11782" max="11782" width="10.5703125" style="194" customWidth="1"/>
    <col min="11783" max="11783" width="9.28515625" style="194" customWidth="1"/>
    <col min="11784" max="12032" width="11.42578125" style="194"/>
    <col min="12033" max="12033" width="26.85546875" style="194" customWidth="1"/>
    <col min="12034" max="12034" width="12.7109375" style="194" customWidth="1"/>
    <col min="12035" max="12035" width="10.5703125" style="194" customWidth="1"/>
    <col min="12036" max="12036" width="12.7109375" style="194" customWidth="1"/>
    <col min="12037" max="12037" width="10.7109375" style="194" customWidth="1"/>
    <col min="12038" max="12038" width="10.5703125" style="194" customWidth="1"/>
    <col min="12039" max="12039" width="9.28515625" style="194" customWidth="1"/>
    <col min="12040" max="12288" width="11.42578125" style="194"/>
    <col min="12289" max="12289" width="26.85546875" style="194" customWidth="1"/>
    <col min="12290" max="12290" width="12.7109375" style="194" customWidth="1"/>
    <col min="12291" max="12291" width="10.5703125" style="194" customWidth="1"/>
    <col min="12292" max="12292" width="12.7109375" style="194" customWidth="1"/>
    <col min="12293" max="12293" width="10.7109375" style="194" customWidth="1"/>
    <col min="12294" max="12294" width="10.5703125" style="194" customWidth="1"/>
    <col min="12295" max="12295" width="9.28515625" style="194" customWidth="1"/>
    <col min="12296" max="12544" width="11.42578125" style="194"/>
    <col min="12545" max="12545" width="26.85546875" style="194" customWidth="1"/>
    <col min="12546" max="12546" width="12.7109375" style="194" customWidth="1"/>
    <col min="12547" max="12547" width="10.5703125" style="194" customWidth="1"/>
    <col min="12548" max="12548" width="12.7109375" style="194" customWidth="1"/>
    <col min="12549" max="12549" width="10.7109375" style="194" customWidth="1"/>
    <col min="12550" max="12550" width="10.5703125" style="194" customWidth="1"/>
    <col min="12551" max="12551" width="9.28515625" style="194" customWidth="1"/>
    <col min="12552" max="12800" width="11.42578125" style="194"/>
    <col min="12801" max="12801" width="26.85546875" style="194" customWidth="1"/>
    <col min="12802" max="12802" width="12.7109375" style="194" customWidth="1"/>
    <col min="12803" max="12803" width="10.5703125" style="194" customWidth="1"/>
    <col min="12804" max="12804" width="12.7109375" style="194" customWidth="1"/>
    <col min="12805" max="12805" width="10.7109375" style="194" customWidth="1"/>
    <col min="12806" max="12806" width="10.5703125" style="194" customWidth="1"/>
    <col min="12807" max="12807" width="9.28515625" style="194" customWidth="1"/>
    <col min="12808" max="13056" width="11.42578125" style="194"/>
    <col min="13057" max="13057" width="26.85546875" style="194" customWidth="1"/>
    <col min="13058" max="13058" width="12.7109375" style="194" customWidth="1"/>
    <col min="13059" max="13059" width="10.5703125" style="194" customWidth="1"/>
    <col min="13060" max="13060" width="12.7109375" style="194" customWidth="1"/>
    <col min="13061" max="13061" width="10.7109375" style="194" customWidth="1"/>
    <col min="13062" max="13062" width="10.5703125" style="194" customWidth="1"/>
    <col min="13063" max="13063" width="9.28515625" style="194" customWidth="1"/>
    <col min="13064" max="13312" width="11.42578125" style="194"/>
    <col min="13313" max="13313" width="26.85546875" style="194" customWidth="1"/>
    <col min="13314" max="13314" width="12.7109375" style="194" customWidth="1"/>
    <col min="13315" max="13315" width="10.5703125" style="194" customWidth="1"/>
    <col min="13316" max="13316" width="12.7109375" style="194" customWidth="1"/>
    <col min="13317" max="13317" width="10.7109375" style="194" customWidth="1"/>
    <col min="13318" max="13318" width="10.5703125" style="194" customWidth="1"/>
    <col min="13319" max="13319" width="9.28515625" style="194" customWidth="1"/>
    <col min="13320" max="13568" width="11.42578125" style="194"/>
    <col min="13569" max="13569" width="26.85546875" style="194" customWidth="1"/>
    <col min="13570" max="13570" width="12.7109375" style="194" customWidth="1"/>
    <col min="13571" max="13571" width="10.5703125" style="194" customWidth="1"/>
    <col min="13572" max="13572" width="12.7109375" style="194" customWidth="1"/>
    <col min="13573" max="13573" width="10.7109375" style="194" customWidth="1"/>
    <col min="13574" max="13574" width="10.5703125" style="194" customWidth="1"/>
    <col min="13575" max="13575" width="9.28515625" style="194" customWidth="1"/>
    <col min="13576" max="13824" width="11.42578125" style="194"/>
    <col min="13825" max="13825" width="26.85546875" style="194" customWidth="1"/>
    <col min="13826" max="13826" width="12.7109375" style="194" customWidth="1"/>
    <col min="13827" max="13827" width="10.5703125" style="194" customWidth="1"/>
    <col min="13828" max="13828" width="12.7109375" style="194" customWidth="1"/>
    <col min="13829" max="13829" width="10.7109375" style="194" customWidth="1"/>
    <col min="13830" max="13830" width="10.5703125" style="194" customWidth="1"/>
    <col min="13831" max="13831" width="9.28515625" style="194" customWidth="1"/>
    <col min="13832" max="14080" width="11.42578125" style="194"/>
    <col min="14081" max="14081" width="26.85546875" style="194" customWidth="1"/>
    <col min="14082" max="14082" width="12.7109375" style="194" customWidth="1"/>
    <col min="14083" max="14083" width="10.5703125" style="194" customWidth="1"/>
    <col min="14084" max="14084" width="12.7109375" style="194" customWidth="1"/>
    <col min="14085" max="14085" width="10.7109375" style="194" customWidth="1"/>
    <col min="14086" max="14086" width="10.5703125" style="194" customWidth="1"/>
    <col min="14087" max="14087" width="9.28515625" style="194" customWidth="1"/>
    <col min="14088" max="14336" width="11.42578125" style="194"/>
    <col min="14337" max="14337" width="26.85546875" style="194" customWidth="1"/>
    <col min="14338" max="14338" width="12.7109375" style="194" customWidth="1"/>
    <col min="14339" max="14339" width="10.5703125" style="194" customWidth="1"/>
    <col min="14340" max="14340" width="12.7109375" style="194" customWidth="1"/>
    <col min="14341" max="14341" width="10.7109375" style="194" customWidth="1"/>
    <col min="14342" max="14342" width="10.5703125" style="194" customWidth="1"/>
    <col min="14343" max="14343" width="9.28515625" style="194" customWidth="1"/>
    <col min="14344" max="14592" width="11.42578125" style="194"/>
    <col min="14593" max="14593" width="26.85546875" style="194" customWidth="1"/>
    <col min="14594" max="14594" width="12.7109375" style="194" customWidth="1"/>
    <col min="14595" max="14595" width="10.5703125" style="194" customWidth="1"/>
    <col min="14596" max="14596" width="12.7109375" style="194" customWidth="1"/>
    <col min="14597" max="14597" width="10.7109375" style="194" customWidth="1"/>
    <col min="14598" max="14598" width="10.5703125" style="194" customWidth="1"/>
    <col min="14599" max="14599" width="9.28515625" style="194" customWidth="1"/>
    <col min="14600" max="14848" width="11.42578125" style="194"/>
    <col min="14849" max="14849" width="26.85546875" style="194" customWidth="1"/>
    <col min="14850" max="14850" width="12.7109375" style="194" customWidth="1"/>
    <col min="14851" max="14851" width="10.5703125" style="194" customWidth="1"/>
    <col min="14852" max="14852" width="12.7109375" style="194" customWidth="1"/>
    <col min="14853" max="14853" width="10.7109375" style="194" customWidth="1"/>
    <col min="14854" max="14854" width="10.5703125" style="194" customWidth="1"/>
    <col min="14855" max="14855" width="9.28515625" style="194" customWidth="1"/>
    <col min="14856" max="15104" width="11.42578125" style="194"/>
    <col min="15105" max="15105" width="26.85546875" style="194" customWidth="1"/>
    <col min="15106" max="15106" width="12.7109375" style="194" customWidth="1"/>
    <col min="15107" max="15107" width="10.5703125" style="194" customWidth="1"/>
    <col min="15108" max="15108" width="12.7109375" style="194" customWidth="1"/>
    <col min="15109" max="15109" width="10.7109375" style="194" customWidth="1"/>
    <col min="15110" max="15110" width="10.5703125" style="194" customWidth="1"/>
    <col min="15111" max="15111" width="9.28515625" style="194" customWidth="1"/>
    <col min="15112" max="15360" width="11.42578125" style="194"/>
    <col min="15361" max="15361" width="26.85546875" style="194" customWidth="1"/>
    <col min="15362" max="15362" width="12.7109375" style="194" customWidth="1"/>
    <col min="15363" max="15363" width="10.5703125" style="194" customWidth="1"/>
    <col min="15364" max="15364" width="12.7109375" style="194" customWidth="1"/>
    <col min="15365" max="15365" width="10.7109375" style="194" customWidth="1"/>
    <col min="15366" max="15366" width="10.5703125" style="194" customWidth="1"/>
    <col min="15367" max="15367" width="9.28515625" style="194" customWidth="1"/>
    <col min="15368" max="15616" width="11.42578125" style="194"/>
    <col min="15617" max="15617" width="26.85546875" style="194" customWidth="1"/>
    <col min="15618" max="15618" width="12.7109375" style="194" customWidth="1"/>
    <col min="15619" max="15619" width="10.5703125" style="194" customWidth="1"/>
    <col min="15620" max="15620" width="12.7109375" style="194" customWidth="1"/>
    <col min="15621" max="15621" width="10.7109375" style="194" customWidth="1"/>
    <col min="15622" max="15622" width="10.5703125" style="194" customWidth="1"/>
    <col min="15623" max="15623" width="9.28515625" style="194" customWidth="1"/>
    <col min="15624" max="15872" width="11.42578125" style="194"/>
    <col min="15873" max="15873" width="26.85546875" style="194" customWidth="1"/>
    <col min="15874" max="15874" width="12.7109375" style="194" customWidth="1"/>
    <col min="15875" max="15875" width="10.5703125" style="194" customWidth="1"/>
    <col min="15876" max="15876" width="12.7109375" style="194" customWidth="1"/>
    <col min="15877" max="15877" width="10.7109375" style="194" customWidth="1"/>
    <col min="15878" max="15878" width="10.5703125" style="194" customWidth="1"/>
    <col min="15879" max="15879" width="9.28515625" style="194" customWidth="1"/>
    <col min="15880" max="16128" width="11.42578125" style="194"/>
    <col min="16129" max="16129" width="26.85546875" style="194" customWidth="1"/>
    <col min="16130" max="16130" width="12.7109375" style="194" customWidth="1"/>
    <col min="16131" max="16131" width="10.5703125" style="194" customWidth="1"/>
    <col min="16132" max="16132" width="12.7109375" style="194" customWidth="1"/>
    <col min="16133" max="16133" width="10.7109375" style="194" customWidth="1"/>
    <col min="16134" max="16134" width="10.5703125" style="194" customWidth="1"/>
    <col min="16135" max="16135" width="9.28515625" style="194" customWidth="1"/>
    <col min="16136" max="16384" width="11.42578125" style="194"/>
  </cols>
  <sheetData>
    <row r="1" spans="3:17">
      <c r="C1" s="425"/>
    </row>
    <row r="2" spans="3:17">
      <c r="C2" s="425"/>
    </row>
    <row r="3" spans="3:17">
      <c r="C3" s="425"/>
    </row>
    <row r="4" spans="3:17">
      <c r="C4" s="425"/>
    </row>
    <row r="5" spans="3:17">
      <c r="C5" s="425"/>
    </row>
    <row r="6" spans="3:17" ht="27.75" customHeight="1">
      <c r="C6" s="489" t="s">
        <v>350</v>
      </c>
      <c r="D6" s="490"/>
      <c r="E6" s="490"/>
      <c r="F6" s="490"/>
      <c r="G6" s="490"/>
      <c r="H6" s="491"/>
      <c r="J6" s="489" t="s">
        <v>351</v>
      </c>
      <c r="K6" s="490"/>
      <c r="L6" s="490"/>
      <c r="M6" s="490"/>
      <c r="N6" s="490"/>
      <c r="O6" s="491"/>
    </row>
    <row r="7" spans="3:17" ht="24">
      <c r="C7" s="572"/>
      <c r="D7" s="492" t="s">
        <v>296</v>
      </c>
      <c r="E7" s="573" t="s">
        <v>27</v>
      </c>
      <c r="F7" s="492" t="s">
        <v>338</v>
      </c>
      <c r="G7" s="573" t="s">
        <v>27</v>
      </c>
      <c r="H7" s="574" t="s">
        <v>28</v>
      </c>
      <c r="J7" s="572"/>
      <c r="K7" s="492" t="s">
        <v>339</v>
      </c>
      <c r="L7" s="573" t="s">
        <v>27</v>
      </c>
      <c r="M7" s="492" t="s">
        <v>340</v>
      </c>
      <c r="N7" s="573" t="s">
        <v>27</v>
      </c>
      <c r="O7" s="574" t="s">
        <v>28</v>
      </c>
    </row>
    <row r="8" spans="3:17">
      <c r="C8" s="601" t="s">
        <v>352</v>
      </c>
      <c r="D8" s="579">
        <f>GETPIVOTDATA("dato",'[1]tabla dinámica oferta alojativa'!$A$52,"categoría","TOTAL","municipio","ADEJE","mes",1,"año",2009)</f>
        <v>65517</v>
      </c>
      <c r="E8" s="470">
        <f t="shared" ref="E8:E14" si="0">D8/$D$8</f>
        <v>1</v>
      </c>
      <c r="F8" s="579">
        <f>GETPIVOTDATA("dato",'[1]tabla dinámica oferta alojativa'!$A$52,"categoría","TOTAL","municipio","ADEJE","mes",1,"año",2010)</f>
        <v>63430</v>
      </c>
      <c r="G8" s="470">
        <f t="shared" ref="G8:G14" si="1">F8/$F$8</f>
        <v>1</v>
      </c>
      <c r="H8" s="602">
        <f t="shared" ref="H8:H14" si="2">(F8-D8)/D8</f>
        <v>-3.1854327884365888E-2</v>
      </c>
      <c r="J8" s="601" t="s">
        <v>352</v>
      </c>
      <c r="K8" s="579">
        <f>GETPIVOTDATA("dato",'[1]tabla dinámica oferta alojativa'!$A$52,"categoría","TOTAL","municipio","ADEJE","mes",7,"año",2009)</f>
        <v>64757</v>
      </c>
      <c r="L8" s="470">
        <f t="shared" ref="L8:L14" si="3">K8/$K$8</f>
        <v>1</v>
      </c>
      <c r="M8" s="579">
        <f>GETPIVOTDATA("dato",'[1]tabla dinámica oferta alojativa'!$A$52,"categoría","TOTAL","municipio","ADEJE","mes",7,"año",2010)</f>
        <v>62780</v>
      </c>
      <c r="N8" s="470">
        <f t="shared" ref="N8:N14" si="4">M8/$M$8</f>
        <v>1</v>
      </c>
      <c r="O8" s="602">
        <f t="shared" ref="O8:O14" si="5">(M8-K8)/K8</f>
        <v>-3.0529518044381303E-2</v>
      </c>
    </row>
    <row r="9" spans="3:17">
      <c r="C9" s="603" t="s">
        <v>353</v>
      </c>
      <c r="D9" s="581">
        <f>GETPIVOTDATA("dato",'[1]tabla dinámica oferta alojativa'!$A$52,"categoría","Hoteleros","municipio","ADEJE","mes",1,"año",2009)</f>
        <v>33977</v>
      </c>
      <c r="E9" s="477">
        <f t="shared" si="0"/>
        <v>0.51859822641451836</v>
      </c>
      <c r="F9" s="581">
        <f>GETPIVOTDATA("dato",'[1]tabla dinámica oferta alojativa'!$A$52,"categoría","Hoteleros","municipio","ADEJE","mes",1,"año",2010)</f>
        <v>32855</v>
      </c>
      <c r="G9" s="477">
        <f t="shared" si="1"/>
        <v>0.51797256818540127</v>
      </c>
      <c r="H9" s="478">
        <f t="shared" si="2"/>
        <v>-3.3022338640845278E-2</v>
      </c>
      <c r="J9" s="603" t="s">
        <v>353</v>
      </c>
      <c r="K9" s="581">
        <f>GETPIVOTDATA("dato",'[1]tabla dinámica oferta alojativa'!$A$52,"categoría","Hoteleros","municipio","ADEJE","mes",7,"año",2009)</f>
        <v>33507</v>
      </c>
      <c r="L9" s="477">
        <f t="shared" si="3"/>
        <v>0.51742668746235931</v>
      </c>
      <c r="M9" s="581">
        <f>GETPIVOTDATA("dato",'[1]tabla dinámica oferta alojativa'!$A$52,"categoría","Hoteleros","municipio","ADEJE","mes",7,"año",2010)</f>
        <v>32855</v>
      </c>
      <c r="N9" s="477">
        <f t="shared" si="4"/>
        <v>0.52333545715195917</v>
      </c>
      <c r="O9" s="478">
        <f t="shared" si="5"/>
        <v>-1.945862058674307E-2</v>
      </c>
    </row>
    <row r="10" spans="3:17">
      <c r="C10" s="582" t="s">
        <v>354</v>
      </c>
      <c r="D10" s="581">
        <f>GETPIVOTDATA("dato",'[1]tabla dinámica oferta alojativa'!$A$52,"categoría","5 *","municipio","ADEJE","mes",1,"año",2009)</f>
        <v>4520</v>
      </c>
      <c r="E10" s="477">
        <f t="shared" si="0"/>
        <v>6.89897278568921E-2</v>
      </c>
      <c r="F10" s="581">
        <f>GETPIVOTDATA("dato",'[1]tabla dinámica oferta alojativa'!$A$52,"categoría","5 *","municipio","ADEJE","mes",1,"año",2010)</f>
        <v>4568</v>
      </c>
      <c r="G10" s="477">
        <f t="shared" si="1"/>
        <v>7.20163960271165E-2</v>
      </c>
      <c r="H10" s="478">
        <f t="shared" si="2"/>
        <v>1.0619469026548672E-2</v>
      </c>
      <c r="J10" s="582" t="s">
        <v>354</v>
      </c>
      <c r="K10" s="581">
        <f>GETPIVOTDATA("dato",'[1]tabla dinámica oferta alojativa'!$A$52,"categoría","5 *","municipio","ADEJE","mes",7,"año",2009)</f>
        <v>4520</v>
      </c>
      <c r="L10" s="477">
        <f t="shared" si="3"/>
        <v>6.9799403925444356E-2</v>
      </c>
      <c r="M10" s="581">
        <f>GETPIVOTDATA("dato",'[1]tabla dinámica oferta alojativa'!$A$52,"categoría","5 *","municipio","ADEJE","mes",7,"año",2010)</f>
        <v>4568</v>
      </c>
      <c r="N10" s="477">
        <f t="shared" si="4"/>
        <v>7.2762026122969101E-2</v>
      </c>
      <c r="O10" s="478">
        <f t="shared" si="5"/>
        <v>1.0619469026548672E-2</v>
      </c>
    </row>
    <row r="11" spans="3:17">
      <c r="C11" s="582" t="s">
        <v>355</v>
      </c>
      <c r="D11" s="581">
        <f>GETPIVOTDATA("dato",'[1]tabla dinámica oferta alojativa'!$A$52,"categoría","4 *","municipio","ADEJE","mes",1,"año",2009)</f>
        <v>21699</v>
      </c>
      <c r="E11" s="477">
        <f t="shared" si="0"/>
        <v>0.33119648335546498</v>
      </c>
      <c r="F11" s="581">
        <f>GETPIVOTDATA("dato",'[1]tabla dinámica oferta alojativa'!$A$52,"categoría","4 *","municipio","ADEJE","mes",1,"año",2010)</f>
        <v>21699</v>
      </c>
      <c r="G11" s="477">
        <f t="shared" si="1"/>
        <v>0.34209364653949237</v>
      </c>
      <c r="H11" s="478">
        <f t="shared" si="2"/>
        <v>0</v>
      </c>
      <c r="J11" s="582" t="s">
        <v>355</v>
      </c>
      <c r="K11" s="581">
        <f>GETPIVOTDATA("dato",'[1]tabla dinámica oferta alojativa'!$A$52,"categoría","4 *","municipio","ADEJE","mes",7,"año",2009)</f>
        <v>21699</v>
      </c>
      <c r="L11" s="477">
        <f t="shared" si="3"/>
        <v>0.33508346588013649</v>
      </c>
      <c r="M11" s="581">
        <f>GETPIVOTDATA("dato",'[1]tabla dinámica oferta alojativa'!$A$52,"categoría","4 *","municipio","ADEJE","mes",7,"año",2010)</f>
        <v>21699</v>
      </c>
      <c r="N11" s="477">
        <f t="shared" si="4"/>
        <v>0.34563555272379737</v>
      </c>
      <c r="O11" s="478">
        <f t="shared" si="5"/>
        <v>0</v>
      </c>
    </row>
    <row r="12" spans="3:17">
      <c r="C12" s="582" t="s">
        <v>356</v>
      </c>
      <c r="D12" s="581">
        <f>GETPIVOTDATA("dato",'[1]tabla dinámica oferta alojativa'!$A$52,"categoría","3 *","municipio","ADEJE","mes",1,"año",2009)</f>
        <v>7288</v>
      </c>
      <c r="E12" s="477">
        <f t="shared" si="0"/>
        <v>0.11123830456217471</v>
      </c>
      <c r="F12" s="581">
        <f>GETPIVOTDATA("dato",'[1]tabla dinámica oferta alojativa'!$A$52,"categoría","3 *","municipio","ADEJE","mes",1,"año",2010)</f>
        <v>6118</v>
      </c>
      <c r="G12" s="477">
        <f t="shared" si="1"/>
        <v>9.6452782594986602E-2</v>
      </c>
      <c r="H12" s="478">
        <f t="shared" si="2"/>
        <v>-0.16053787047200879</v>
      </c>
      <c r="J12" s="582" t="s">
        <v>356</v>
      </c>
      <c r="K12" s="581">
        <f>GETPIVOTDATA("dato",'[1]tabla dinámica oferta alojativa'!$A$52,"categoría","3 *","municipio","ADEJE","mes",7,"año",2009)</f>
        <v>6818</v>
      </c>
      <c r="L12" s="477">
        <f t="shared" si="3"/>
        <v>0.1052859150362123</v>
      </c>
      <c r="M12" s="581">
        <f>GETPIVOTDATA("dato",'[1]tabla dinámica oferta alojativa'!$A$52,"categoría","3 *","municipio","ADEJE","mes",7,"año",2010)</f>
        <v>6118</v>
      </c>
      <c r="N12" s="477">
        <f t="shared" si="4"/>
        <v>9.7451417648932781E-2</v>
      </c>
      <c r="O12" s="478">
        <f t="shared" si="5"/>
        <v>-0.10266940451745379</v>
      </c>
    </row>
    <row r="13" spans="3:17">
      <c r="C13" s="582" t="s">
        <v>357</v>
      </c>
      <c r="D13" s="581">
        <f>GETPIVOTDATA("dato",'[1]tabla dinámica oferta alojativa'!$A$52,"categoría","1* y 2 *","municipio","ADEJE","mes",1,"año",2009)</f>
        <v>470</v>
      </c>
      <c r="E13" s="477">
        <f t="shared" si="0"/>
        <v>7.1737106399865688E-3</v>
      </c>
      <c r="F13" s="581">
        <f>GETPIVOTDATA("dato",'[1]tabla dinámica oferta alojativa'!$A$52,"categoría","1* y 2 *","municipio","ADEJE","mes",1,"año",2010)</f>
        <v>470</v>
      </c>
      <c r="G13" s="477">
        <f t="shared" si="1"/>
        <v>7.4097430238057697E-3</v>
      </c>
      <c r="H13" s="478">
        <f t="shared" si="2"/>
        <v>0</v>
      </c>
      <c r="J13" s="582" t="s">
        <v>357</v>
      </c>
      <c r="K13" s="581">
        <f>GETPIVOTDATA("dato",'[1]tabla dinámica oferta alojativa'!$A$52,"categoría","1* y 2 *","municipio","ADEJE","mes",7,"año",2009)</f>
        <v>470</v>
      </c>
      <c r="L13" s="477">
        <f t="shared" si="3"/>
        <v>7.2579026205661168E-3</v>
      </c>
      <c r="M13" s="581">
        <f>GETPIVOTDATA("dato",'[1]tabla dinámica oferta alojativa'!$A$52,"categoría","1* y 2 *","municipio","ADEJE","mes",7,"año",2010)</f>
        <v>470</v>
      </c>
      <c r="N13" s="477">
        <f t="shared" si="4"/>
        <v>7.4864606562599556E-3</v>
      </c>
      <c r="O13" s="478">
        <f t="shared" si="5"/>
        <v>0</v>
      </c>
    </row>
    <row r="14" spans="3:17" ht="13.5" thickBot="1">
      <c r="C14" s="603" t="s">
        <v>358</v>
      </c>
      <c r="D14" s="581">
        <f>GETPIVOTDATA("dato",'[1]tabla dinámica oferta alojativa'!$A$52,"categoría","Extrahoteleros","municipio","ADEJE","mes",1,"año",2009)</f>
        <v>31540</v>
      </c>
      <c r="E14" s="477">
        <f t="shared" si="0"/>
        <v>0.48140177358548164</v>
      </c>
      <c r="F14" s="581">
        <f>GETPIVOTDATA("dato",'[1]tabla dinámica oferta alojativa'!$A$52,"categoría","Extrahoteleros","municipio","ADEJE","mes",1,"año",2010)</f>
        <v>30575</v>
      </c>
      <c r="G14" s="477">
        <f t="shared" si="1"/>
        <v>0.48202743181459878</v>
      </c>
      <c r="H14" s="478">
        <f t="shared" si="2"/>
        <v>-3.0596068484464174E-2</v>
      </c>
      <c r="J14" s="603" t="s">
        <v>358</v>
      </c>
      <c r="K14" s="581">
        <f>GETPIVOTDATA("dato",'[1]tabla dinámica oferta alojativa'!$A$52,"categoría","Extrahoteleros","municipio","ADEJE","mes",7,"año",2009)</f>
        <v>31250</v>
      </c>
      <c r="L14" s="477">
        <f t="shared" si="3"/>
        <v>0.48257331253764074</v>
      </c>
      <c r="M14" s="581">
        <f>GETPIVOTDATA("dato",'[1]tabla dinámica oferta alojativa'!$A$52,"categoría","Extrahoteleros","municipio","ADEJE","mes",7,"año",2010)</f>
        <v>29925</v>
      </c>
      <c r="N14" s="477">
        <f t="shared" si="4"/>
        <v>0.47666454284804077</v>
      </c>
      <c r="O14" s="478">
        <f t="shared" si="5"/>
        <v>-4.24E-2</v>
      </c>
    </row>
    <row r="15" spans="3:17" ht="23.25" customHeight="1" thickBot="1">
      <c r="C15" s="598" t="s">
        <v>359</v>
      </c>
      <c r="D15" s="599"/>
      <c r="E15" s="599"/>
      <c r="F15" s="599"/>
      <c r="G15" s="599"/>
      <c r="H15" s="600"/>
      <c r="J15" s="598" t="s">
        <v>359</v>
      </c>
      <c r="K15" s="599"/>
      <c r="L15" s="599"/>
      <c r="M15" s="599"/>
      <c r="N15" s="599"/>
      <c r="O15" s="600"/>
      <c r="Q15" s="60" t="s">
        <v>117</v>
      </c>
    </row>
    <row r="16" spans="3:17" ht="16.5" thickBot="1">
      <c r="C16" s="425"/>
      <c r="Q16" s="60" t="s">
        <v>118</v>
      </c>
    </row>
    <row r="17" spans="3:15">
      <c r="C17" s="425"/>
    </row>
    <row r="18" spans="3:15">
      <c r="C18" s="425"/>
    </row>
    <row r="19" spans="3:15" ht="27.75" customHeight="1">
      <c r="C19" s="489" t="s">
        <v>360</v>
      </c>
      <c r="D19" s="490"/>
      <c r="E19" s="490"/>
      <c r="F19" s="490"/>
      <c r="G19" s="490"/>
      <c r="H19" s="491"/>
      <c r="J19" s="489" t="s">
        <v>361</v>
      </c>
      <c r="K19" s="490"/>
      <c r="L19" s="490"/>
      <c r="M19" s="490"/>
      <c r="N19" s="490"/>
      <c r="O19" s="491"/>
    </row>
    <row r="20" spans="3:15" ht="24">
      <c r="C20" s="572"/>
      <c r="D20" s="492" t="s">
        <v>296</v>
      </c>
      <c r="E20" s="573" t="s">
        <v>27</v>
      </c>
      <c r="F20" s="492" t="s">
        <v>338</v>
      </c>
      <c r="G20" s="573" t="s">
        <v>27</v>
      </c>
      <c r="H20" s="574" t="s">
        <v>28</v>
      </c>
      <c r="J20" s="572"/>
      <c r="K20" s="492" t="s">
        <v>339</v>
      </c>
      <c r="L20" s="573" t="s">
        <v>27</v>
      </c>
      <c r="M20" s="492" t="s">
        <v>340</v>
      </c>
      <c r="N20" s="573" t="s">
        <v>27</v>
      </c>
      <c r="O20" s="574" t="s">
        <v>28</v>
      </c>
    </row>
    <row r="21" spans="3:15">
      <c r="C21" s="601" t="s">
        <v>352</v>
      </c>
      <c r="D21" s="579">
        <f>GETPIVOTDATA("dato",'[1]tabla dinámica oferta alojativa'!$A$52,"categoría","TOTAL","municipio","ARONA","mes",1,"año",2009)</f>
        <v>55465</v>
      </c>
      <c r="E21" s="470">
        <f t="shared" ref="E21:E27" si="6">D21/$D$21</f>
        <v>1</v>
      </c>
      <c r="F21" s="579">
        <f>GETPIVOTDATA("dato",'[1]tabla dinámica oferta alojativa'!$A$52,"categoría","TOTAL","municipio","ARONA","mes",1,"año",2010)</f>
        <v>53697</v>
      </c>
      <c r="G21" s="470">
        <f t="shared" ref="G21:G27" si="7">F21/$F$21</f>
        <v>1</v>
      </c>
      <c r="H21" s="602">
        <f t="shared" ref="H21:H27" si="8">(F21-D21)/D21</f>
        <v>-3.1875957811232307E-2</v>
      </c>
      <c r="J21" s="601" t="s">
        <v>352</v>
      </c>
      <c r="K21" s="579">
        <f>GETPIVOTDATA("dato",'[1]tabla dinámica oferta alojativa'!$A$52,"categoría","TOTAL","municipio","ARONA","mes",7,"año",2009)</f>
        <v>54367</v>
      </c>
      <c r="L21" s="470">
        <f t="shared" ref="L21:L27" si="9">K21/$K$21</f>
        <v>1</v>
      </c>
      <c r="M21" s="579">
        <f>GETPIVOTDATA("dato",'[1]tabla dinámica oferta alojativa'!$A$52,"categoría","TOTAL","municipio","ARONA","mes",7,"año",2010)</f>
        <v>53044</v>
      </c>
      <c r="N21" s="470">
        <f t="shared" ref="N21:N27" si="10">M21/$M$21</f>
        <v>1</v>
      </c>
      <c r="O21" s="602">
        <f t="shared" ref="O21:O27" si="11">(M21-K21)/K21</f>
        <v>-2.4334614747916934E-2</v>
      </c>
    </row>
    <row r="22" spans="3:15">
      <c r="C22" s="603" t="s">
        <v>353</v>
      </c>
      <c r="D22" s="581">
        <f>GETPIVOTDATA("dato",'[1]tabla dinámica oferta alojativa'!$A$52,"categoría","Hoteleros","municipio","ARONA","mes",1,"año",2009)</f>
        <v>20292</v>
      </c>
      <c r="E22" s="477">
        <f t="shared" si="6"/>
        <v>0.36585233931308031</v>
      </c>
      <c r="F22" s="581">
        <f>GETPIVOTDATA("dato",'[1]tabla dinámica oferta alojativa'!$A$52,"categoría","Hoteleros","municipio","ARONA","mes",1,"año",2010)</f>
        <v>20363</v>
      </c>
      <c r="G22" s="477">
        <f t="shared" si="7"/>
        <v>0.37922044062051885</v>
      </c>
      <c r="H22" s="478">
        <f t="shared" si="8"/>
        <v>3.4989158288980878E-3</v>
      </c>
      <c r="J22" s="603" t="s">
        <v>353</v>
      </c>
      <c r="K22" s="581">
        <f>GETPIVOTDATA("dato",'[1]tabla dinámica oferta alojativa'!$A$52,"categoría","Hoteleros","municipio","ARONA","mes",7,"año",2009)</f>
        <v>20236</v>
      </c>
      <c r="L22" s="477">
        <f t="shared" si="9"/>
        <v>0.37221108392958963</v>
      </c>
      <c r="M22" s="581">
        <f>GETPIVOTDATA("dato",'[1]tabla dinámica oferta alojativa'!$A$52,"categoría","Hoteleros","municipio","ARONA","mes",7,"año",2010)</f>
        <v>20332</v>
      </c>
      <c r="N22" s="477">
        <f t="shared" si="10"/>
        <v>0.38330442651383756</v>
      </c>
      <c r="O22" s="478">
        <f t="shared" si="11"/>
        <v>4.7440205574224154E-3</v>
      </c>
    </row>
    <row r="23" spans="3:15">
      <c r="C23" s="582" t="s">
        <v>354</v>
      </c>
      <c r="D23" s="581">
        <f>GETPIVOTDATA("dato",'[1]tabla dinámica oferta alojativa'!$A$52,"categoría","5 *","municipio","ARONA","mes",1,"año",2009)</f>
        <v>2483</v>
      </c>
      <c r="E23" s="477">
        <f t="shared" si="6"/>
        <v>4.4766970161363023E-2</v>
      </c>
      <c r="F23" s="581">
        <f>GETPIVOTDATA("dato",'[1]tabla dinámica oferta alojativa'!$A$52,"categoría","5 *","municipio","ARONA","mes",1,"año",2010)</f>
        <v>2483</v>
      </c>
      <c r="G23" s="477">
        <f t="shared" si="7"/>
        <v>4.6240944559286366E-2</v>
      </c>
      <c r="H23" s="478">
        <f t="shared" si="8"/>
        <v>0</v>
      </c>
      <c r="J23" s="582" t="s">
        <v>354</v>
      </c>
      <c r="K23" s="581">
        <f>GETPIVOTDATA("dato",'[1]tabla dinámica oferta alojativa'!$A$52,"categoría","5 *","municipio","ARONA","mes",7,"año",2009)</f>
        <v>2483</v>
      </c>
      <c r="L23" s="477">
        <f t="shared" si="9"/>
        <v>4.5671087240421578E-2</v>
      </c>
      <c r="M23" s="581">
        <f>GETPIVOTDATA("dato",'[1]tabla dinámica oferta alojativa'!$A$52,"categoría","5 *","municipio","ARONA","mes",7,"año",2010)</f>
        <v>2483</v>
      </c>
      <c r="N23" s="477">
        <f t="shared" si="10"/>
        <v>4.6810195309554332E-2</v>
      </c>
      <c r="O23" s="478">
        <f t="shared" si="11"/>
        <v>0</v>
      </c>
    </row>
    <row r="24" spans="3:15">
      <c r="C24" s="582" t="s">
        <v>355</v>
      </c>
      <c r="D24" s="581">
        <f>GETPIVOTDATA("dato",'[1]tabla dinámica oferta alojativa'!$A$52,"categoría","4 *","municipio","ARONA","mes",1,"año",2009)</f>
        <v>10523</v>
      </c>
      <c r="E24" s="477">
        <f t="shared" si="6"/>
        <v>0.1897232488957</v>
      </c>
      <c r="F24" s="581">
        <f>GETPIVOTDATA("dato",'[1]tabla dinámica oferta alojativa'!$A$52,"categoría","4 *","municipio","ARONA","mes",1,"año",2010)</f>
        <v>10650</v>
      </c>
      <c r="G24" s="477">
        <f t="shared" si="7"/>
        <v>0.19833510251969383</v>
      </c>
      <c r="H24" s="478">
        <f t="shared" si="8"/>
        <v>1.2068801672526846E-2</v>
      </c>
      <c r="J24" s="582" t="s">
        <v>355</v>
      </c>
      <c r="K24" s="581">
        <f>GETPIVOTDATA("dato",'[1]tabla dinámica oferta alojativa'!$A$52,"categoría","4 *","municipio","ARONA","mes",7,"año",2009)</f>
        <v>10523</v>
      </c>
      <c r="L24" s="477">
        <f t="shared" si="9"/>
        <v>0.19355491382640205</v>
      </c>
      <c r="M24" s="581">
        <f>GETPIVOTDATA("dato",'[1]tabla dinámica oferta alojativa'!$A$52,"categoría","4 *","municipio","ARONA","mes",7,"año",2010)</f>
        <v>10650</v>
      </c>
      <c r="N24" s="477">
        <f t="shared" si="10"/>
        <v>0.2007767136716688</v>
      </c>
      <c r="O24" s="478">
        <f t="shared" si="11"/>
        <v>1.2068801672526846E-2</v>
      </c>
    </row>
    <row r="25" spans="3:15">
      <c r="C25" s="582" t="s">
        <v>356</v>
      </c>
      <c r="D25" s="581">
        <f>GETPIVOTDATA("dato",'[1]tabla dinámica oferta alojativa'!$A$52,"categoría","3 *","municipio","ARONA","mes",1,"año",2009)</f>
        <v>6683</v>
      </c>
      <c r="E25" s="477">
        <f t="shared" si="6"/>
        <v>0.12049039935094204</v>
      </c>
      <c r="F25" s="581">
        <f>GETPIVOTDATA("dato",'[1]tabla dinámica oferta alojativa'!$A$52,"categoría","3 *","municipio","ARONA","mes",1,"año",2010)</f>
        <v>6683</v>
      </c>
      <c r="G25" s="477">
        <f t="shared" si="7"/>
        <v>0.12445760470789802</v>
      </c>
      <c r="H25" s="478">
        <f t="shared" si="8"/>
        <v>0</v>
      </c>
      <c r="J25" s="582" t="s">
        <v>356</v>
      </c>
      <c r="K25" s="581">
        <f>GETPIVOTDATA("dato",'[1]tabla dinámica oferta alojativa'!$A$52,"categoría","3 *","municipio","ARONA","mes",7,"año",2009)</f>
        <v>6683</v>
      </c>
      <c r="L25" s="477">
        <f t="shared" si="9"/>
        <v>0.12292383247190392</v>
      </c>
      <c r="M25" s="581">
        <f>GETPIVOTDATA("dato",'[1]tabla dinámica oferta alojativa'!$A$52,"categoría","3 *","municipio","ARONA","mes",7,"año",2010)</f>
        <v>6683</v>
      </c>
      <c r="N25" s="477">
        <f t="shared" si="10"/>
        <v>0.1259897443631702</v>
      </c>
      <c r="O25" s="478">
        <f t="shared" si="11"/>
        <v>0</v>
      </c>
    </row>
    <row r="26" spans="3:15">
      <c r="C26" s="582" t="s">
        <v>357</v>
      </c>
      <c r="D26" s="581">
        <f>GETPIVOTDATA("dato",'[1]tabla dinámica oferta alojativa'!$A$52,"categoría","1* y 2 *","municipio","ARONA","mes",1,"año",2009)</f>
        <v>603</v>
      </c>
      <c r="E26" s="477">
        <f t="shared" si="6"/>
        <v>1.0871720905075273E-2</v>
      </c>
      <c r="F26" s="581">
        <f>GETPIVOTDATA("dato",'[1]tabla dinámica oferta alojativa'!$A$52,"categoría","1* y 2 *","municipio","ARONA","mes",1,"año",2010)</f>
        <v>547</v>
      </c>
      <c r="G26" s="477">
        <f t="shared" si="7"/>
        <v>1.0186788833640614E-2</v>
      </c>
      <c r="H26" s="478">
        <f>(F26-D26)/D26</f>
        <v>-9.2868988391376445E-2</v>
      </c>
      <c r="J26" s="582" t="s">
        <v>357</v>
      </c>
      <c r="K26" s="581">
        <f>GETPIVOTDATA("dato",'[1]tabla dinámica oferta alojativa'!$A$52,"categoría","1* y 2 *","municipio","ARONA","mes",7,"año",2009)</f>
        <v>547</v>
      </c>
      <c r="L26" s="477">
        <f t="shared" si="9"/>
        <v>1.0061250390862104E-2</v>
      </c>
      <c r="M26" s="581">
        <f>GETPIVOTDATA("dato",'[1]tabla dinámica oferta alojativa'!$A$52,"categoría","1* y 2 *","municipio","ARONA","mes",7,"año",2010)</f>
        <v>516</v>
      </c>
      <c r="N26" s="477">
        <f t="shared" si="10"/>
        <v>9.727773169444235E-3</v>
      </c>
      <c r="O26" s="478">
        <f t="shared" si="11"/>
        <v>-5.6672760511882997E-2</v>
      </c>
    </row>
    <row r="27" spans="3:15">
      <c r="C27" s="603" t="s">
        <v>358</v>
      </c>
      <c r="D27" s="581">
        <f>GETPIVOTDATA("dato",'[1]tabla dinámica oferta alojativa'!$A$52,"categoría","Extrahoteleros","municipio","ARONA","mes",1,"año",2009)</f>
        <v>35173</v>
      </c>
      <c r="E27" s="477">
        <f t="shared" si="6"/>
        <v>0.63414766068691963</v>
      </c>
      <c r="F27" s="581">
        <f>GETPIVOTDATA("dato",'[1]tabla dinámica oferta alojativa'!$A$52,"categoría","Extrahoteleros","municipio","ARONA","mes",1,"año",2010)</f>
        <v>33334</v>
      </c>
      <c r="G27" s="477">
        <f t="shared" si="7"/>
        <v>0.62077955937948115</v>
      </c>
      <c r="H27" s="478">
        <f t="shared" si="8"/>
        <v>-5.228442271060188E-2</v>
      </c>
      <c r="J27" s="603" t="s">
        <v>358</v>
      </c>
      <c r="K27" s="583">
        <f>GETPIVOTDATA("dato",'[1]tabla dinámica oferta alojativa'!$A$52,"categoría","Extrahoteleros","municipio","ARONA","mes",7,"año",2009)</f>
        <v>34131</v>
      </c>
      <c r="L27" s="483">
        <f t="shared" si="9"/>
        <v>0.62778891607041032</v>
      </c>
      <c r="M27" s="583">
        <f>GETPIVOTDATA("dato",'[1]tabla dinámica oferta alojativa'!$A$52,"categoría","Extrahoteleros","municipio","ARONA","mes",7,"año",2010)</f>
        <v>32712</v>
      </c>
      <c r="N27" s="483">
        <f t="shared" si="10"/>
        <v>0.61669557348616244</v>
      </c>
      <c r="O27" s="604">
        <f t="shared" si="11"/>
        <v>-4.1575107673376112E-2</v>
      </c>
    </row>
    <row r="28" spans="3:15" ht="23.25" customHeight="1">
      <c r="C28" s="598" t="s">
        <v>359</v>
      </c>
      <c r="D28" s="599"/>
      <c r="E28" s="599"/>
      <c r="F28" s="599"/>
      <c r="G28" s="599"/>
      <c r="H28" s="600"/>
      <c r="J28" s="598" t="s">
        <v>359</v>
      </c>
      <c r="K28" s="599"/>
      <c r="L28" s="599"/>
      <c r="M28" s="599"/>
      <c r="N28" s="599"/>
      <c r="O28" s="600"/>
    </row>
    <row r="29" spans="3:15" ht="15" customHeight="1"/>
    <row r="31" spans="3:15" ht="27.75" customHeight="1">
      <c r="C31" s="489" t="s">
        <v>362</v>
      </c>
      <c r="D31" s="490"/>
      <c r="E31" s="490"/>
      <c r="F31" s="490"/>
      <c r="G31" s="490"/>
      <c r="H31" s="491"/>
      <c r="J31" s="489" t="s">
        <v>362</v>
      </c>
      <c r="K31" s="490"/>
      <c r="L31" s="490"/>
      <c r="M31" s="490"/>
      <c r="N31" s="490"/>
      <c r="O31" s="491"/>
    </row>
    <row r="32" spans="3:15" ht="24">
      <c r="C32" s="572"/>
      <c r="D32" s="492" t="s">
        <v>296</v>
      </c>
      <c r="E32" s="573" t="s">
        <v>27</v>
      </c>
      <c r="F32" s="492" t="s">
        <v>338</v>
      </c>
      <c r="G32" s="573" t="s">
        <v>27</v>
      </c>
      <c r="H32" s="574" t="s">
        <v>28</v>
      </c>
      <c r="J32" s="572"/>
      <c r="K32" s="492" t="s">
        <v>339</v>
      </c>
      <c r="L32" s="573" t="s">
        <v>27</v>
      </c>
      <c r="M32" s="492" t="s">
        <v>340</v>
      </c>
      <c r="N32" s="573" t="s">
        <v>27</v>
      </c>
      <c r="O32" s="574" t="s">
        <v>28</v>
      </c>
    </row>
    <row r="33" spans="3:15">
      <c r="C33" s="601" t="s">
        <v>352</v>
      </c>
      <c r="D33" s="579">
        <f>GETPIVOTDATA("dato",'[1]tabla dinámica oferta alojativa'!$A$52,"categoría","TOTAL","municipio","PUERTO DE LA CRUZ","mes",1,"año",2009)</f>
        <v>28846</v>
      </c>
      <c r="E33" s="470">
        <f t="shared" ref="E33:E38" si="12">D33/$D$33</f>
        <v>1</v>
      </c>
      <c r="F33" s="579">
        <f>GETPIVOTDATA("dato",'[1]tabla dinámica oferta alojativa'!$A$52,"categoría","TOTAL","municipio","PUERTO DE LA CRUZ","mes",1,"año",2010)</f>
        <v>27225</v>
      </c>
      <c r="G33" s="470">
        <f t="shared" ref="G33:G38" si="13">F33/$F$33</f>
        <v>1</v>
      </c>
      <c r="H33" s="602">
        <f t="shared" ref="H33:H38" si="14">(F33-D33)/D33</f>
        <v>-5.6194966373153993E-2</v>
      </c>
      <c r="J33" s="601" t="s">
        <v>352</v>
      </c>
      <c r="K33" s="579">
        <f>GETPIVOTDATA("dato",'[1]tabla dinámica oferta alojativa'!$A$52,"categoría","TOTAL","municipio","PUERTO DE LA CRUZ","mes",7,"año",2009)</f>
        <v>28475</v>
      </c>
      <c r="L33" s="470">
        <f t="shared" ref="L33:L38" si="15">K33/$K$33</f>
        <v>1</v>
      </c>
      <c r="M33" s="579">
        <f>GETPIVOTDATA("dato",'[1]tabla dinámica oferta alojativa'!$A$52,"categoría","TOTAL","municipio","PUERTO DE LA CRUZ","mes",7,"año",2010)</f>
        <v>25676</v>
      </c>
      <c r="N33" s="470">
        <f t="shared" ref="N33:N38" si="16">M33/$M$33</f>
        <v>1</v>
      </c>
      <c r="O33" s="602">
        <f t="shared" ref="O33:O38" si="17">(M33-K33)/K33</f>
        <v>-9.8296751536435467E-2</v>
      </c>
    </row>
    <row r="34" spans="3:15">
      <c r="C34" s="603" t="s">
        <v>353</v>
      </c>
      <c r="D34" s="581">
        <f>GETPIVOTDATA("dato",'[1]tabla dinámica oferta alojativa'!$A$52,"categoría","Hoteleros","municipio","PUERTO DE LA CRUZ","mes",1,"año",2009)</f>
        <v>16831</v>
      </c>
      <c r="E34" s="477">
        <f t="shared" si="12"/>
        <v>0.5834777785481523</v>
      </c>
      <c r="F34" s="581">
        <f>GETPIVOTDATA("dato",'[1]tabla dinámica oferta alojativa'!$A$52,"categoría","Hoteleros","municipio","PUERTO DE LA CRUZ","mes",1,"año",2010)</f>
        <v>16442</v>
      </c>
      <c r="G34" s="477">
        <f t="shared" si="13"/>
        <v>0.60393021120293844</v>
      </c>
      <c r="H34" s="478">
        <f t="shared" si="14"/>
        <v>-2.3112114550531755E-2</v>
      </c>
      <c r="J34" s="603" t="s">
        <v>353</v>
      </c>
      <c r="K34" s="581">
        <f>GETPIVOTDATA("dato",'[1]tabla dinámica oferta alojativa'!$A$52,"categoría","Hoteleros","municipio","PUERTO DE LA CRUZ","mes",7,"año",2009)</f>
        <v>17038</v>
      </c>
      <c r="L34" s="477">
        <f t="shared" si="15"/>
        <v>0.5983494293239684</v>
      </c>
      <c r="M34" s="581">
        <f>GETPIVOTDATA("dato",'[1]tabla dinámica oferta alojativa'!$A$52,"categoría","Hoteleros","municipio","PUERTO DE LA CRUZ","mes",7,"año",2010)</f>
        <v>16158</v>
      </c>
      <c r="N34" s="477">
        <f t="shared" si="16"/>
        <v>0.6293036298488861</v>
      </c>
      <c r="O34" s="478">
        <f t="shared" si="17"/>
        <v>-5.1649254607348281E-2</v>
      </c>
    </row>
    <row r="35" spans="3:15">
      <c r="C35" s="582" t="s">
        <v>363</v>
      </c>
      <c r="D35" s="581">
        <f>GETPIVOTDATA("dato",'[1]tabla dinámica oferta alojativa'!$A$52,"categoría","4* Y 5*","municipio","PUERTO DE LA CRUZ","mes",1,"año",2009)</f>
        <v>13239</v>
      </c>
      <c r="E35" s="477">
        <f t="shared" si="12"/>
        <v>0.45895444775705468</v>
      </c>
      <c r="F35" s="581">
        <f>GETPIVOTDATA("dato",'[1]tabla dinámica oferta alojativa'!$A$52,"categoría","4* Y 5*","municipio","PUERTO DE LA CRUZ","mes",1,"año",2010)</f>
        <v>12955</v>
      </c>
      <c r="G35" s="477">
        <f t="shared" si="13"/>
        <v>0.47584940312213042</v>
      </c>
      <c r="H35" s="478">
        <f t="shared" si="14"/>
        <v>-2.1451771281818868E-2</v>
      </c>
      <c r="J35" s="582" t="s">
        <v>363</v>
      </c>
      <c r="K35" s="581">
        <f>GETPIVOTDATA("dato",'[1]tabla dinámica oferta alojativa'!$A$52,"categoría","4* Y 5*","municipio","PUERTO DE LA CRUZ","mes",7,"año",2009)</f>
        <v>13551</v>
      </c>
      <c r="L35" s="477">
        <f t="shared" si="15"/>
        <v>0.47589113257243199</v>
      </c>
      <c r="M35" s="581">
        <f>GETPIVOTDATA("dato",'[1]tabla dinámica oferta alojativa'!$A$52,"categoría","4* Y 5*","municipio","PUERTO DE LA CRUZ","mes",7,"año",2010)</f>
        <v>12955</v>
      </c>
      <c r="N35" s="477">
        <f t="shared" si="16"/>
        <v>0.50455678454587938</v>
      </c>
      <c r="O35" s="478">
        <f t="shared" si="17"/>
        <v>-4.3981993948786068E-2</v>
      </c>
    </row>
    <row r="36" spans="3:15">
      <c r="C36" s="582" t="s">
        <v>356</v>
      </c>
      <c r="D36" s="581">
        <f>GETPIVOTDATA("dato",'[1]tabla dinámica oferta alojativa'!$A$52,"categoría","3 *","municipio","PUERTO DE LA CRUZ","mes",1,"año",2009)</f>
        <v>3219</v>
      </c>
      <c r="E36" s="477">
        <f t="shared" si="12"/>
        <v>0.11159259516050753</v>
      </c>
      <c r="F36" s="581">
        <f>GETPIVOTDATA("dato",'[1]tabla dinámica oferta alojativa'!$A$52,"categoría","3 *","municipio","PUERTO DE LA CRUZ","mes",1,"año",2010)</f>
        <v>3114</v>
      </c>
      <c r="G36" s="477">
        <f t="shared" si="13"/>
        <v>0.11438016528925619</v>
      </c>
      <c r="H36" s="478">
        <f t="shared" si="14"/>
        <v>-3.2618825722273995E-2</v>
      </c>
      <c r="J36" s="582" t="s">
        <v>356</v>
      </c>
      <c r="K36" s="581">
        <f>GETPIVOTDATA("dato",'[1]tabla dinámica oferta alojativa'!$A$52,"categoría","3 *","municipio","PUERTO DE LA CRUZ","mes",7,"año",2009)</f>
        <v>3114</v>
      </c>
      <c r="L36" s="477">
        <f t="shared" si="15"/>
        <v>0.10935908691834943</v>
      </c>
      <c r="M36" s="581">
        <f>GETPIVOTDATA("dato",'[1]tabla dinámica oferta alojativa'!$A$52,"categoría","3 *","municipio","PUERTO DE LA CRUZ","mes",7,"año",2010)</f>
        <v>2830</v>
      </c>
      <c r="N36" s="477">
        <f t="shared" si="16"/>
        <v>0.11021966038323726</v>
      </c>
      <c r="O36" s="478">
        <f t="shared" si="17"/>
        <v>-9.1201027617212591E-2</v>
      </c>
    </row>
    <row r="37" spans="3:15">
      <c r="C37" s="582" t="s">
        <v>357</v>
      </c>
      <c r="D37" s="581">
        <f>GETPIVOTDATA("dato",'[1]tabla dinámica oferta alojativa'!$A$52,"categoría","1* y 2 *","municipio","PUERTO DE LA CRUZ","mes",1,"año",2009)</f>
        <v>373</v>
      </c>
      <c r="E37" s="477">
        <f t="shared" si="12"/>
        <v>1.293073563059003E-2</v>
      </c>
      <c r="F37" s="581">
        <f>GETPIVOTDATA("dato",'[1]tabla dinámica oferta alojativa'!$A$52,"categoría","1* y 2 *","municipio","PUERTO DE LA CRUZ","mes",1,"año",2010)</f>
        <v>373</v>
      </c>
      <c r="G37" s="477">
        <f t="shared" si="13"/>
        <v>1.3700642791551882E-2</v>
      </c>
      <c r="H37" s="478">
        <f t="shared" si="14"/>
        <v>0</v>
      </c>
      <c r="J37" s="582" t="s">
        <v>357</v>
      </c>
      <c r="K37" s="581">
        <f>GETPIVOTDATA("dato",'[1]tabla dinámica oferta alojativa'!$A$52,"categoría","1* y 2 *","municipio","PUERTO DE LA CRUZ","mes",7,"año",2009)</f>
        <v>373</v>
      </c>
      <c r="L37" s="477">
        <f t="shared" si="15"/>
        <v>1.3099209833187006E-2</v>
      </c>
      <c r="M37" s="581">
        <f>GETPIVOTDATA("dato",'[1]tabla dinámica oferta alojativa'!$A$52,"categoría","1* y 2 *","municipio","PUERTO DE LA CRUZ","mes",7,"año",2010)</f>
        <v>373</v>
      </c>
      <c r="N37" s="477">
        <f t="shared" si="16"/>
        <v>1.4527184919769435E-2</v>
      </c>
      <c r="O37" s="478">
        <f t="shared" si="17"/>
        <v>0</v>
      </c>
    </row>
    <row r="38" spans="3:15">
      <c r="C38" s="603" t="s">
        <v>358</v>
      </c>
      <c r="D38" s="581">
        <f>GETPIVOTDATA("dato",'[1]tabla dinámica oferta alojativa'!$A$52,"categoría","Extrahoteleros","municipio","PUERTO DE LA CRUZ","mes",1,"año",2009)</f>
        <v>12015</v>
      </c>
      <c r="E38" s="477">
        <f t="shared" si="12"/>
        <v>0.41652222145184775</v>
      </c>
      <c r="F38" s="581">
        <f>GETPIVOTDATA("dato",'[1]tabla dinámica oferta alojativa'!$A$52,"categoría","Extrahoteleros","municipio","PUERTO DE LA CRUZ","mes",1,"año",2010)</f>
        <v>10783</v>
      </c>
      <c r="G38" s="477">
        <f t="shared" si="13"/>
        <v>0.39606978879706151</v>
      </c>
      <c r="H38" s="478">
        <f t="shared" si="14"/>
        <v>-0.10253849354972951</v>
      </c>
      <c r="J38" s="603" t="s">
        <v>358</v>
      </c>
      <c r="K38" s="581">
        <f>GETPIVOTDATA("dato",'[1]tabla dinámica oferta alojativa'!$A$52,"categoría","Extrahoteleros","municipio","PUERTO DE LA CRUZ","mes",7,"año",2009)</f>
        <v>11437</v>
      </c>
      <c r="L38" s="477">
        <f t="shared" si="15"/>
        <v>0.4016505706760316</v>
      </c>
      <c r="M38" s="581">
        <f>GETPIVOTDATA("dato",'[1]tabla dinámica oferta alojativa'!$A$52,"categoría","Extrahoteleros","municipio","PUERTO DE LA CRUZ","mes",7,"año",2010)</f>
        <v>9518</v>
      </c>
      <c r="N38" s="477">
        <f t="shared" si="16"/>
        <v>0.3706963701511139</v>
      </c>
      <c r="O38" s="478">
        <f t="shared" si="17"/>
        <v>-0.16778875579260297</v>
      </c>
    </row>
    <row r="39" spans="3:15" ht="23.25" customHeight="1">
      <c r="C39" s="598" t="s">
        <v>359</v>
      </c>
      <c r="D39" s="599"/>
      <c r="E39" s="599"/>
      <c r="F39" s="599"/>
      <c r="G39" s="599"/>
      <c r="H39" s="600"/>
      <c r="J39" s="598" t="s">
        <v>359</v>
      </c>
      <c r="K39" s="599"/>
      <c r="L39" s="599"/>
      <c r="M39" s="599"/>
      <c r="N39" s="599"/>
      <c r="O39" s="600"/>
    </row>
    <row r="42" spans="3:15" ht="27.75" customHeight="1">
      <c r="C42" s="489" t="s">
        <v>364</v>
      </c>
      <c r="D42" s="490"/>
      <c r="E42" s="490"/>
      <c r="F42" s="490"/>
      <c r="G42" s="490"/>
      <c r="H42" s="491"/>
      <c r="J42" s="489" t="s">
        <v>364</v>
      </c>
      <c r="K42" s="490"/>
      <c r="L42" s="490"/>
      <c r="M42" s="490"/>
      <c r="N42" s="490"/>
      <c r="O42" s="491"/>
    </row>
    <row r="43" spans="3:15" ht="24">
      <c r="C43" s="572"/>
      <c r="D43" s="492" t="s">
        <v>296</v>
      </c>
      <c r="E43" s="573" t="s">
        <v>27</v>
      </c>
      <c r="F43" s="492" t="s">
        <v>338</v>
      </c>
      <c r="G43" s="573" t="s">
        <v>27</v>
      </c>
      <c r="H43" s="574" t="s">
        <v>28</v>
      </c>
      <c r="J43" s="572"/>
      <c r="K43" s="492" t="s">
        <v>339</v>
      </c>
      <c r="L43" s="573" t="s">
        <v>27</v>
      </c>
      <c r="M43" s="492" t="s">
        <v>340</v>
      </c>
      <c r="N43" s="573" t="s">
        <v>27</v>
      </c>
      <c r="O43" s="574" t="s">
        <v>28</v>
      </c>
    </row>
    <row r="44" spans="3:15">
      <c r="C44" s="601" t="s">
        <v>352</v>
      </c>
      <c r="D44" s="579">
        <f>GETPIVOTDATA("dato",'[1]tabla dinámica oferta alojativa'!$A$52,"categoría","TOTAL","municipio","SANTA CRUZ","mes",1,"año",2009)</f>
        <v>2531</v>
      </c>
      <c r="E44" s="470">
        <f t="shared" ref="E44:E50" si="18">D44/$D$44</f>
        <v>1</v>
      </c>
      <c r="F44" s="579">
        <f>GETPIVOTDATA("dato",'[1]tabla dinámica oferta alojativa'!$A$52,"categoría","TOTAL","municipio","SANTA CRUZ","mes",1,"año",2010)</f>
        <v>2504</v>
      </c>
      <c r="G44" s="470">
        <f t="shared" ref="G44:G50" si="19">F44/$F$44</f>
        <v>1</v>
      </c>
      <c r="H44" s="602">
        <f t="shared" ref="H44:H49" si="20">(F44-D44)/D44</f>
        <v>-1.066772026866851E-2</v>
      </c>
      <c r="J44" s="601" t="s">
        <v>352</v>
      </c>
      <c r="K44" s="579">
        <f>GETPIVOTDATA("dato",'[1]tabla dinámica oferta alojativa'!$A$52,"categoría","TOTAL","municipio","SANTA CRUZ","mes",7,"año",2009)</f>
        <v>2504</v>
      </c>
      <c r="L44" s="470">
        <f t="shared" ref="L44:L50" si="21">K44/$K$44</f>
        <v>1</v>
      </c>
      <c r="M44" s="579">
        <f>GETPIVOTDATA("dato",'[1]tabla dinámica oferta alojativa'!$A$52,"categoría","TOTAL","municipio","SANTA CRUZ","mes",7,"año",2010)</f>
        <v>1947</v>
      </c>
      <c r="N44" s="470">
        <f t="shared" ref="N44:N50" si="22">M44/$M$44</f>
        <v>1</v>
      </c>
      <c r="O44" s="602">
        <f t="shared" ref="O44:O49" si="23">(M44-K44)/K44</f>
        <v>-0.222444089456869</v>
      </c>
    </row>
    <row r="45" spans="3:15">
      <c r="C45" s="603" t="s">
        <v>353</v>
      </c>
      <c r="D45" s="581">
        <f>GETPIVOTDATA("dato",'[1]tabla dinámica oferta alojativa'!$A$52,"categoría","Hoteleros","municipio","SANTA CRUZ","mes",1,"año",2009)</f>
        <v>2531</v>
      </c>
      <c r="E45" s="477">
        <f t="shared" si="18"/>
        <v>1</v>
      </c>
      <c r="F45" s="581">
        <f>GETPIVOTDATA("dato",'[1]tabla dinámica oferta alojativa'!$A$52,"categoría","Hoteleros","municipio","SANTA CRUZ","mes",1,"año",2010)</f>
        <v>2504</v>
      </c>
      <c r="G45" s="477">
        <f t="shared" si="19"/>
        <v>1</v>
      </c>
      <c r="H45" s="478">
        <f t="shared" si="20"/>
        <v>-1.066772026866851E-2</v>
      </c>
      <c r="J45" s="603" t="s">
        <v>353</v>
      </c>
      <c r="K45" s="581">
        <f>GETPIVOTDATA("dato",'[1]tabla dinámica oferta alojativa'!$A$52,"categoría","Hoteleros","municipio","SANTA CRUZ","mes",7,"año",2009)</f>
        <v>2504</v>
      </c>
      <c r="L45" s="477">
        <f t="shared" si="21"/>
        <v>1</v>
      </c>
      <c r="M45" s="581">
        <f>GETPIVOTDATA("dato",'[1]tabla dinámica oferta alojativa'!$A$52,"categoría","Hoteleros","municipio","SANTA CRUZ","mes",7,"año",2010)</f>
        <v>1947</v>
      </c>
      <c r="N45" s="477">
        <f t="shared" si="22"/>
        <v>1</v>
      </c>
      <c r="O45" s="478">
        <f t="shared" si="23"/>
        <v>-0.222444089456869</v>
      </c>
    </row>
    <row r="46" spans="3:15">
      <c r="C46" s="582" t="s">
        <v>363</v>
      </c>
      <c r="D46" s="581">
        <f>GETPIVOTDATA("dato",'[1]tabla dinámica oferta alojativa'!$A$52,"categoría","4* Y 5*","municipio","SANTA CRUZ","mes",1,"año",2009)</f>
        <v>1050</v>
      </c>
      <c r="E46" s="477">
        <f t="shared" si="18"/>
        <v>0.41485578822599761</v>
      </c>
      <c r="F46" s="581">
        <f>GETPIVOTDATA("dato",'[1]tabla dinámica oferta alojativa'!$A$52,"categoría","4* Y 5*","municipio","SANTA CRUZ","mes",1,"año",2010)</f>
        <v>1050</v>
      </c>
      <c r="G46" s="477">
        <f t="shared" si="19"/>
        <v>0.41932907348242809</v>
      </c>
      <c r="H46" s="478">
        <f t="shared" si="20"/>
        <v>0</v>
      </c>
      <c r="J46" s="582" t="s">
        <v>363</v>
      </c>
      <c r="K46" s="581">
        <f>GETPIVOTDATA("dato",'[1]tabla dinámica oferta alojativa'!$A$52,"categoría","4* Y 5*","municipio","SANTA CRUZ","mes",7,"año",2009)</f>
        <v>1050</v>
      </c>
      <c r="L46" s="477">
        <f t="shared" si="21"/>
        <v>0.41932907348242809</v>
      </c>
      <c r="M46" s="581">
        <f>GETPIVOTDATA("dato",'[1]tabla dinámica oferta alojativa'!$A$52,"categoría","4* Y 5*","municipio","SANTA CRUZ","mes",7,"año",2010)</f>
        <v>493</v>
      </c>
      <c r="N46" s="477">
        <f t="shared" si="22"/>
        <v>0.25321006676938879</v>
      </c>
      <c r="O46" s="478">
        <f t="shared" si="23"/>
        <v>-0.53047619047619043</v>
      </c>
    </row>
    <row r="47" spans="3:15">
      <c r="C47" s="582" t="s">
        <v>356</v>
      </c>
      <c r="D47" s="581">
        <f>GETPIVOTDATA("dato",'[1]tabla dinámica oferta alojativa'!$A$52,"categoría","3 *","municipio","SANTA CRUZ","mes",1,"año",2009)</f>
        <v>580</v>
      </c>
      <c r="E47" s="477">
        <f t="shared" si="18"/>
        <v>0.22915843540102726</v>
      </c>
      <c r="F47" s="581">
        <f>GETPIVOTDATA("dato",'[1]tabla dinámica oferta alojativa'!$A$52,"categoría","3 *","municipio","SANTA CRUZ","mes",1,"año",2010)</f>
        <v>580</v>
      </c>
      <c r="G47" s="477">
        <f t="shared" si="19"/>
        <v>0.23162939297124602</v>
      </c>
      <c r="H47" s="478">
        <f t="shared" si="20"/>
        <v>0</v>
      </c>
      <c r="J47" s="582" t="s">
        <v>356</v>
      </c>
      <c r="K47" s="581">
        <f>GETPIVOTDATA("dato",'[1]tabla dinámica oferta alojativa'!$A$52,"categoría","3 *","municipio","SANTA CRUZ","mes",7,"año",2009)</f>
        <v>580</v>
      </c>
      <c r="L47" s="477">
        <f t="shared" si="21"/>
        <v>0.23162939297124602</v>
      </c>
      <c r="M47" s="581">
        <f>GETPIVOTDATA("dato",'[1]tabla dinámica oferta alojativa'!$A$52,"categoría","3 *","municipio","SANTA CRUZ","mes",7,"año",2010)</f>
        <v>580</v>
      </c>
      <c r="N47" s="477">
        <f t="shared" si="22"/>
        <v>0.29789419619928093</v>
      </c>
      <c r="O47" s="478">
        <f t="shared" si="23"/>
        <v>0</v>
      </c>
    </row>
    <row r="48" spans="3:15">
      <c r="C48" s="582" t="s">
        <v>365</v>
      </c>
      <c r="D48" s="581">
        <f>GETPIVOTDATA("dato",'[1]tabla dinámica oferta alojativa'!$A$52,"categoría","2*","municipio","SANTA CRUZ","mes",1,"año",2009)</f>
        <v>674</v>
      </c>
      <c r="E48" s="477">
        <f t="shared" si="18"/>
        <v>0.26629790596602132</v>
      </c>
      <c r="F48" s="581">
        <f>GETPIVOTDATA("dato",'[1]tabla dinámica oferta alojativa'!$A$52,"categoría","2*","municipio","SANTA CRUZ","mes",1,"año",2010)</f>
        <v>674</v>
      </c>
      <c r="G48" s="477">
        <f t="shared" si="19"/>
        <v>0.26916932907348246</v>
      </c>
      <c r="H48" s="478">
        <f t="shared" si="20"/>
        <v>0</v>
      </c>
      <c r="J48" s="582" t="s">
        <v>365</v>
      </c>
      <c r="K48" s="581">
        <f>GETPIVOTDATA("dato",'[1]tabla dinámica oferta alojativa'!$A$52,"categoría","2*","municipio","SANTA CRUZ","mes",7,"año",2009)</f>
        <v>674</v>
      </c>
      <c r="L48" s="477">
        <f t="shared" si="21"/>
        <v>0.26916932907348246</v>
      </c>
      <c r="M48" s="581">
        <f>GETPIVOTDATA("dato",'[1]tabla dinámica oferta alojativa'!$A$52,"categoría","2*","municipio","SANTA CRUZ","mes",7,"año",2010)</f>
        <v>674</v>
      </c>
      <c r="N48" s="477">
        <f t="shared" si="22"/>
        <v>0.34617360041088857</v>
      </c>
      <c r="O48" s="478">
        <f t="shared" si="23"/>
        <v>0</v>
      </c>
    </row>
    <row r="49" spans="3:17" ht="13.5" thickBot="1">
      <c r="C49" s="582" t="s">
        <v>366</v>
      </c>
      <c r="D49" s="581">
        <f>GETPIVOTDATA("dato",'[1]tabla dinámica oferta alojativa'!$A$52,"categoría","1*","municipio","SANTA CRUZ","mes",1,"año",2009)</f>
        <v>227</v>
      </c>
      <c r="E49" s="477">
        <f t="shared" si="18"/>
        <v>8.9687870406953779E-2</v>
      </c>
      <c r="F49" s="581">
        <f>GETPIVOTDATA("dato",'[1]tabla dinámica oferta alojativa'!$A$52,"categoría","1*","municipio","SANTA CRUZ","mes",1,"año",2010)</f>
        <v>200</v>
      </c>
      <c r="G49" s="477">
        <f t="shared" si="19"/>
        <v>7.9872204472843447E-2</v>
      </c>
      <c r="H49" s="478">
        <f t="shared" si="20"/>
        <v>-0.11894273127753303</v>
      </c>
      <c r="J49" s="582" t="s">
        <v>366</v>
      </c>
      <c r="K49" s="581">
        <f>GETPIVOTDATA("dato",'[1]tabla dinámica oferta alojativa'!$A$52,"categoría","1*","municipio","SANTA CRUZ","mes",7,"año",2009)</f>
        <v>200</v>
      </c>
      <c r="L49" s="477">
        <f t="shared" si="21"/>
        <v>7.9872204472843447E-2</v>
      </c>
      <c r="M49" s="581">
        <f>GETPIVOTDATA("dato",'[1]tabla dinámica oferta alojativa'!$A$52,"categoría","1*","municipio","SANTA CRUZ","mes",7,"año",2010)</f>
        <v>200</v>
      </c>
      <c r="N49" s="477">
        <f t="shared" si="22"/>
        <v>0.1027221366204417</v>
      </c>
      <c r="O49" s="478">
        <f t="shared" si="23"/>
        <v>0</v>
      </c>
    </row>
    <row r="50" spans="3:17" ht="16.5" thickBot="1">
      <c r="C50" s="603" t="s">
        <v>358</v>
      </c>
      <c r="D50" s="581">
        <f>GETPIVOTDATA("dato",'[1]tabla dinámica oferta alojativa'!$A$52,"categoría","Extrahoteleros","municipio","SANTA CRUZ","mes",1,"año",2009)</f>
        <v>0</v>
      </c>
      <c r="E50" s="477">
        <f t="shared" si="18"/>
        <v>0</v>
      </c>
      <c r="F50" s="581">
        <f>GETPIVOTDATA("dato",'[1]tabla dinámica oferta alojativa'!$A$52,"categoría","Extrahoteleros","municipio","SANTA CRUZ","mes",1,"año",2010)</f>
        <v>0</v>
      </c>
      <c r="G50" s="477">
        <f t="shared" si="19"/>
        <v>0</v>
      </c>
      <c r="H50" s="478" t="s">
        <v>32</v>
      </c>
      <c r="J50" s="603" t="s">
        <v>358</v>
      </c>
      <c r="K50" s="581">
        <f>GETPIVOTDATA("dato",'[1]tabla dinámica oferta alojativa'!$A$52,"categoría","Extrahoteleros","municipio","SANTA CRUZ","mes",7,"año",2009)</f>
        <v>0</v>
      </c>
      <c r="L50" s="477">
        <f t="shared" si="21"/>
        <v>0</v>
      </c>
      <c r="M50" s="581">
        <f>GETPIVOTDATA("dato",'[1]tabla dinámica oferta alojativa'!$A$52,"categoría","Extrahoteleros","municipio","SANTA CRUZ","mes",7,"año",2010)</f>
        <v>0</v>
      </c>
      <c r="N50" s="477">
        <f t="shared" si="22"/>
        <v>0</v>
      </c>
      <c r="O50" s="478" t="s">
        <v>32</v>
      </c>
      <c r="Q50" s="60" t="s">
        <v>117</v>
      </c>
    </row>
    <row r="51" spans="3:17" ht="23.25" customHeight="1" thickBot="1">
      <c r="C51" s="598" t="s">
        <v>359</v>
      </c>
      <c r="D51" s="599"/>
      <c r="E51" s="599"/>
      <c r="F51" s="599"/>
      <c r="G51" s="599"/>
      <c r="H51" s="600"/>
      <c r="J51" s="598" t="s">
        <v>359</v>
      </c>
      <c r="K51" s="599"/>
      <c r="L51" s="599"/>
      <c r="M51" s="599"/>
      <c r="N51" s="599"/>
      <c r="O51" s="600"/>
      <c r="Q51" s="60" t="s">
        <v>118</v>
      </c>
    </row>
  </sheetData>
  <mergeCells count="16">
    <mergeCell ref="C42:H42"/>
    <mergeCell ref="J42:O42"/>
    <mergeCell ref="C51:H51"/>
    <mergeCell ref="J51:O51"/>
    <mergeCell ref="C28:H28"/>
    <mergeCell ref="J28:O28"/>
    <mergeCell ref="C31:H31"/>
    <mergeCell ref="J31:O31"/>
    <mergeCell ref="C39:H39"/>
    <mergeCell ref="J39:O39"/>
    <mergeCell ref="C6:H6"/>
    <mergeCell ref="J6:O6"/>
    <mergeCell ref="C15:H15"/>
    <mergeCell ref="J15:O15"/>
    <mergeCell ref="C19:H19"/>
    <mergeCell ref="J19:O19"/>
  </mergeCells>
  <hyperlinks>
    <hyperlink ref="Q15" location="'Gráfica plazas estim tipo categ'!A1" tooltip="Ir a gráfica" display="Gráfica"/>
    <hyperlink ref="Q16" location="'Gráfica distrib plazas est tipo'!A1" tooltip="Ir a gráfica" display="Gráfica"/>
    <hyperlink ref="Q50" location="'Gráfica plazas estim tipo categ'!A1" tooltip="Ir a gráfica" display="Gráfica"/>
    <hyperlink ref="Q51" location="'Gráfica distrib plazas est tip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rowBreaks count="2" manualBreakCount="2">
    <brk id="31" min="2" max="8" man="1"/>
    <brk id="78" min="2" max="8" man="1"/>
  </rowBreaks>
  <drawing r:id="rId2"/>
  <legacyDrawingHF r:id="rId3"/>
</worksheet>
</file>

<file path=xl/worksheets/sheet96.xml><?xml version="1.0" encoding="utf-8"?>
<worksheet xmlns="http://schemas.openxmlformats.org/spreadsheetml/2006/main" xmlns:r="http://schemas.openxmlformats.org/officeDocument/2006/relationships">
  <sheetPr codeName="Hoja65">
    <tabColor rgb="FF000099"/>
    <pageSetUpPr autoPageBreaks="0" fitToPage="1"/>
  </sheetPr>
  <dimension ref="B22:T59"/>
  <sheetViews>
    <sheetView showGridLines="0" showRowColHeaders="0" showOutlineSymbols="0" topLeftCell="H1" zoomScaleNormal="100" workbookViewId="0">
      <selection activeCell="I13" sqref="I13"/>
    </sheetView>
  </sheetViews>
  <sheetFormatPr baseColWidth="10" defaultRowHeight="12.75"/>
  <cols>
    <col min="1" max="1" width="15.7109375" style="194" customWidth="1"/>
    <col min="2" max="8" width="11.42578125" style="194"/>
    <col min="9" max="9" width="12.5703125" style="194" customWidth="1"/>
    <col min="10" max="256" width="11.42578125" style="194"/>
    <col min="257" max="257" width="15.7109375" style="194" customWidth="1"/>
    <col min="258" max="264" width="11.42578125" style="194"/>
    <col min="265" max="265" width="12.5703125" style="194" customWidth="1"/>
    <col min="266" max="512" width="11.42578125" style="194"/>
    <col min="513" max="513" width="15.7109375" style="194" customWidth="1"/>
    <col min="514" max="520" width="11.42578125" style="194"/>
    <col min="521" max="521" width="12.5703125" style="194" customWidth="1"/>
    <col min="522" max="768" width="11.42578125" style="194"/>
    <col min="769" max="769" width="15.7109375" style="194" customWidth="1"/>
    <col min="770" max="776" width="11.42578125" style="194"/>
    <col min="777" max="777" width="12.5703125" style="194" customWidth="1"/>
    <col min="778" max="1024" width="11.42578125" style="194"/>
    <col min="1025" max="1025" width="15.7109375" style="194" customWidth="1"/>
    <col min="1026" max="1032" width="11.42578125" style="194"/>
    <col min="1033" max="1033" width="12.5703125" style="194" customWidth="1"/>
    <col min="1034" max="1280" width="11.42578125" style="194"/>
    <col min="1281" max="1281" width="15.7109375" style="194" customWidth="1"/>
    <col min="1282" max="1288" width="11.42578125" style="194"/>
    <col min="1289" max="1289" width="12.5703125" style="194" customWidth="1"/>
    <col min="1290" max="1536" width="11.42578125" style="194"/>
    <col min="1537" max="1537" width="15.7109375" style="194" customWidth="1"/>
    <col min="1538" max="1544" width="11.42578125" style="194"/>
    <col min="1545" max="1545" width="12.5703125" style="194" customWidth="1"/>
    <col min="1546" max="1792" width="11.42578125" style="194"/>
    <col min="1793" max="1793" width="15.7109375" style="194" customWidth="1"/>
    <col min="1794" max="1800" width="11.42578125" style="194"/>
    <col min="1801" max="1801" width="12.5703125" style="194" customWidth="1"/>
    <col min="1802" max="2048" width="11.42578125" style="194"/>
    <col min="2049" max="2049" width="15.7109375" style="194" customWidth="1"/>
    <col min="2050" max="2056" width="11.42578125" style="194"/>
    <col min="2057" max="2057" width="12.5703125" style="194" customWidth="1"/>
    <col min="2058" max="2304" width="11.42578125" style="194"/>
    <col min="2305" max="2305" width="15.7109375" style="194" customWidth="1"/>
    <col min="2306" max="2312" width="11.42578125" style="194"/>
    <col min="2313" max="2313" width="12.5703125" style="194" customWidth="1"/>
    <col min="2314" max="2560" width="11.42578125" style="194"/>
    <col min="2561" max="2561" width="15.7109375" style="194" customWidth="1"/>
    <col min="2562" max="2568" width="11.42578125" style="194"/>
    <col min="2569" max="2569" width="12.5703125" style="194" customWidth="1"/>
    <col min="2570" max="2816" width="11.42578125" style="194"/>
    <col min="2817" max="2817" width="15.7109375" style="194" customWidth="1"/>
    <col min="2818" max="2824" width="11.42578125" style="194"/>
    <col min="2825" max="2825" width="12.5703125" style="194" customWidth="1"/>
    <col min="2826" max="3072" width="11.42578125" style="194"/>
    <col min="3073" max="3073" width="15.7109375" style="194" customWidth="1"/>
    <col min="3074" max="3080" width="11.42578125" style="194"/>
    <col min="3081" max="3081" width="12.5703125" style="194" customWidth="1"/>
    <col min="3082" max="3328" width="11.42578125" style="194"/>
    <col min="3329" max="3329" width="15.7109375" style="194" customWidth="1"/>
    <col min="3330" max="3336" width="11.42578125" style="194"/>
    <col min="3337" max="3337" width="12.5703125" style="194" customWidth="1"/>
    <col min="3338" max="3584" width="11.42578125" style="194"/>
    <col min="3585" max="3585" width="15.7109375" style="194" customWidth="1"/>
    <col min="3586" max="3592" width="11.42578125" style="194"/>
    <col min="3593" max="3593" width="12.5703125" style="194" customWidth="1"/>
    <col min="3594" max="3840" width="11.42578125" style="194"/>
    <col min="3841" max="3841" width="15.7109375" style="194" customWidth="1"/>
    <col min="3842" max="3848" width="11.42578125" style="194"/>
    <col min="3849" max="3849" width="12.5703125" style="194" customWidth="1"/>
    <col min="3850" max="4096" width="11.42578125" style="194"/>
    <col min="4097" max="4097" width="15.7109375" style="194" customWidth="1"/>
    <col min="4098" max="4104" width="11.42578125" style="194"/>
    <col min="4105" max="4105" width="12.5703125" style="194" customWidth="1"/>
    <col min="4106" max="4352" width="11.42578125" style="194"/>
    <col min="4353" max="4353" width="15.7109375" style="194" customWidth="1"/>
    <col min="4354" max="4360" width="11.42578125" style="194"/>
    <col min="4361" max="4361" width="12.5703125" style="194" customWidth="1"/>
    <col min="4362" max="4608" width="11.42578125" style="194"/>
    <col min="4609" max="4609" width="15.7109375" style="194" customWidth="1"/>
    <col min="4610" max="4616" width="11.42578125" style="194"/>
    <col min="4617" max="4617" width="12.5703125" style="194" customWidth="1"/>
    <col min="4618" max="4864" width="11.42578125" style="194"/>
    <col min="4865" max="4865" width="15.7109375" style="194" customWidth="1"/>
    <col min="4866" max="4872" width="11.42578125" style="194"/>
    <col min="4873" max="4873" width="12.5703125" style="194" customWidth="1"/>
    <col min="4874" max="5120" width="11.42578125" style="194"/>
    <col min="5121" max="5121" width="15.7109375" style="194" customWidth="1"/>
    <col min="5122" max="5128" width="11.42578125" style="194"/>
    <col min="5129" max="5129" width="12.5703125" style="194" customWidth="1"/>
    <col min="5130" max="5376" width="11.42578125" style="194"/>
    <col min="5377" max="5377" width="15.7109375" style="194" customWidth="1"/>
    <col min="5378" max="5384" width="11.42578125" style="194"/>
    <col min="5385" max="5385" width="12.5703125" style="194" customWidth="1"/>
    <col min="5386" max="5632" width="11.42578125" style="194"/>
    <col min="5633" max="5633" width="15.7109375" style="194" customWidth="1"/>
    <col min="5634" max="5640" width="11.42578125" style="194"/>
    <col min="5641" max="5641" width="12.5703125" style="194" customWidth="1"/>
    <col min="5642" max="5888" width="11.42578125" style="194"/>
    <col min="5889" max="5889" width="15.7109375" style="194" customWidth="1"/>
    <col min="5890" max="5896" width="11.42578125" style="194"/>
    <col min="5897" max="5897" width="12.5703125" style="194" customWidth="1"/>
    <col min="5898" max="6144" width="11.42578125" style="194"/>
    <col min="6145" max="6145" width="15.7109375" style="194" customWidth="1"/>
    <col min="6146" max="6152" width="11.42578125" style="194"/>
    <col min="6153" max="6153" width="12.5703125" style="194" customWidth="1"/>
    <col min="6154" max="6400" width="11.42578125" style="194"/>
    <col min="6401" max="6401" width="15.7109375" style="194" customWidth="1"/>
    <col min="6402" max="6408" width="11.42578125" style="194"/>
    <col min="6409" max="6409" width="12.5703125" style="194" customWidth="1"/>
    <col min="6410" max="6656" width="11.42578125" style="194"/>
    <col min="6657" max="6657" width="15.7109375" style="194" customWidth="1"/>
    <col min="6658" max="6664" width="11.42578125" style="194"/>
    <col min="6665" max="6665" width="12.5703125" style="194" customWidth="1"/>
    <col min="6666" max="6912" width="11.42578125" style="194"/>
    <col min="6913" max="6913" width="15.7109375" style="194" customWidth="1"/>
    <col min="6914" max="6920" width="11.42578125" style="194"/>
    <col min="6921" max="6921" width="12.5703125" style="194" customWidth="1"/>
    <col min="6922" max="7168" width="11.42578125" style="194"/>
    <col min="7169" max="7169" width="15.7109375" style="194" customWidth="1"/>
    <col min="7170" max="7176" width="11.42578125" style="194"/>
    <col min="7177" max="7177" width="12.5703125" style="194" customWidth="1"/>
    <col min="7178" max="7424" width="11.42578125" style="194"/>
    <col min="7425" max="7425" width="15.7109375" style="194" customWidth="1"/>
    <col min="7426" max="7432" width="11.42578125" style="194"/>
    <col min="7433" max="7433" width="12.5703125" style="194" customWidth="1"/>
    <col min="7434" max="7680" width="11.42578125" style="194"/>
    <col min="7681" max="7681" width="15.7109375" style="194" customWidth="1"/>
    <col min="7682" max="7688" width="11.42578125" style="194"/>
    <col min="7689" max="7689" width="12.5703125" style="194" customWidth="1"/>
    <col min="7690" max="7936" width="11.42578125" style="194"/>
    <col min="7937" max="7937" width="15.7109375" style="194" customWidth="1"/>
    <col min="7938" max="7944" width="11.42578125" style="194"/>
    <col min="7945" max="7945" width="12.5703125" style="194" customWidth="1"/>
    <col min="7946" max="8192" width="11.42578125" style="194"/>
    <col min="8193" max="8193" width="15.7109375" style="194" customWidth="1"/>
    <col min="8194" max="8200" width="11.42578125" style="194"/>
    <col min="8201" max="8201" width="12.5703125" style="194" customWidth="1"/>
    <col min="8202" max="8448" width="11.42578125" style="194"/>
    <col min="8449" max="8449" width="15.7109375" style="194" customWidth="1"/>
    <col min="8450" max="8456" width="11.42578125" style="194"/>
    <col min="8457" max="8457" width="12.5703125" style="194" customWidth="1"/>
    <col min="8458" max="8704" width="11.42578125" style="194"/>
    <col min="8705" max="8705" width="15.7109375" style="194" customWidth="1"/>
    <col min="8706" max="8712" width="11.42578125" style="194"/>
    <col min="8713" max="8713" width="12.5703125" style="194" customWidth="1"/>
    <col min="8714" max="8960" width="11.42578125" style="194"/>
    <col min="8961" max="8961" width="15.7109375" style="194" customWidth="1"/>
    <col min="8962" max="8968" width="11.42578125" style="194"/>
    <col min="8969" max="8969" width="12.5703125" style="194" customWidth="1"/>
    <col min="8970" max="9216" width="11.42578125" style="194"/>
    <col min="9217" max="9217" width="15.7109375" style="194" customWidth="1"/>
    <col min="9218" max="9224" width="11.42578125" style="194"/>
    <col min="9225" max="9225" width="12.5703125" style="194" customWidth="1"/>
    <col min="9226" max="9472" width="11.42578125" style="194"/>
    <col min="9473" max="9473" width="15.7109375" style="194" customWidth="1"/>
    <col min="9474" max="9480" width="11.42578125" style="194"/>
    <col min="9481" max="9481" width="12.5703125" style="194" customWidth="1"/>
    <col min="9482" max="9728" width="11.42578125" style="194"/>
    <col min="9729" max="9729" width="15.7109375" style="194" customWidth="1"/>
    <col min="9730" max="9736" width="11.42578125" style="194"/>
    <col min="9737" max="9737" width="12.5703125" style="194" customWidth="1"/>
    <col min="9738" max="9984" width="11.42578125" style="194"/>
    <col min="9985" max="9985" width="15.7109375" style="194" customWidth="1"/>
    <col min="9986" max="9992" width="11.42578125" style="194"/>
    <col min="9993" max="9993" width="12.5703125" style="194" customWidth="1"/>
    <col min="9994" max="10240" width="11.42578125" style="194"/>
    <col min="10241" max="10241" width="15.7109375" style="194" customWidth="1"/>
    <col min="10242" max="10248" width="11.42578125" style="194"/>
    <col min="10249" max="10249" width="12.5703125" style="194" customWidth="1"/>
    <col min="10250" max="10496" width="11.42578125" style="194"/>
    <col min="10497" max="10497" width="15.7109375" style="194" customWidth="1"/>
    <col min="10498" max="10504" width="11.42578125" style="194"/>
    <col min="10505" max="10505" width="12.5703125" style="194" customWidth="1"/>
    <col min="10506" max="10752" width="11.42578125" style="194"/>
    <col min="10753" max="10753" width="15.7109375" style="194" customWidth="1"/>
    <col min="10754" max="10760" width="11.42578125" style="194"/>
    <col min="10761" max="10761" width="12.5703125" style="194" customWidth="1"/>
    <col min="10762" max="11008" width="11.42578125" style="194"/>
    <col min="11009" max="11009" width="15.7109375" style="194" customWidth="1"/>
    <col min="11010" max="11016" width="11.42578125" style="194"/>
    <col min="11017" max="11017" width="12.5703125" style="194" customWidth="1"/>
    <col min="11018" max="11264" width="11.42578125" style="194"/>
    <col min="11265" max="11265" width="15.7109375" style="194" customWidth="1"/>
    <col min="11266" max="11272" width="11.42578125" style="194"/>
    <col min="11273" max="11273" width="12.5703125" style="194" customWidth="1"/>
    <col min="11274" max="11520" width="11.42578125" style="194"/>
    <col min="11521" max="11521" width="15.7109375" style="194" customWidth="1"/>
    <col min="11522" max="11528" width="11.42578125" style="194"/>
    <col min="11529" max="11529" width="12.5703125" style="194" customWidth="1"/>
    <col min="11530" max="11776" width="11.42578125" style="194"/>
    <col min="11777" max="11777" width="15.7109375" style="194" customWidth="1"/>
    <col min="11778" max="11784" width="11.42578125" style="194"/>
    <col min="11785" max="11785" width="12.5703125" style="194" customWidth="1"/>
    <col min="11786" max="12032" width="11.42578125" style="194"/>
    <col min="12033" max="12033" width="15.7109375" style="194" customWidth="1"/>
    <col min="12034" max="12040" width="11.42578125" style="194"/>
    <col min="12041" max="12041" width="12.5703125" style="194" customWidth="1"/>
    <col min="12042" max="12288" width="11.42578125" style="194"/>
    <col min="12289" max="12289" width="15.7109375" style="194" customWidth="1"/>
    <col min="12290" max="12296" width="11.42578125" style="194"/>
    <col min="12297" max="12297" width="12.5703125" style="194" customWidth="1"/>
    <col min="12298" max="12544" width="11.42578125" style="194"/>
    <col min="12545" max="12545" width="15.7109375" style="194" customWidth="1"/>
    <col min="12546" max="12552" width="11.42578125" style="194"/>
    <col min="12553" max="12553" width="12.5703125" style="194" customWidth="1"/>
    <col min="12554" max="12800" width="11.42578125" style="194"/>
    <col min="12801" max="12801" width="15.7109375" style="194" customWidth="1"/>
    <col min="12802" max="12808" width="11.42578125" style="194"/>
    <col min="12809" max="12809" width="12.5703125" style="194" customWidth="1"/>
    <col min="12810" max="13056" width="11.42578125" style="194"/>
    <col min="13057" max="13057" width="15.7109375" style="194" customWidth="1"/>
    <col min="13058" max="13064" width="11.42578125" style="194"/>
    <col min="13065" max="13065" width="12.5703125" style="194" customWidth="1"/>
    <col min="13066" max="13312" width="11.42578125" style="194"/>
    <col min="13313" max="13313" width="15.7109375" style="194" customWidth="1"/>
    <col min="13314" max="13320" width="11.42578125" style="194"/>
    <col min="13321" max="13321" width="12.5703125" style="194" customWidth="1"/>
    <col min="13322" max="13568" width="11.42578125" style="194"/>
    <col min="13569" max="13569" width="15.7109375" style="194" customWidth="1"/>
    <col min="13570" max="13576" width="11.42578125" style="194"/>
    <col min="13577" max="13577" width="12.5703125" style="194" customWidth="1"/>
    <col min="13578" max="13824" width="11.42578125" style="194"/>
    <col min="13825" max="13825" width="15.7109375" style="194" customWidth="1"/>
    <col min="13826" max="13832" width="11.42578125" style="194"/>
    <col min="13833" max="13833" width="12.5703125" style="194" customWidth="1"/>
    <col min="13834" max="14080" width="11.42578125" style="194"/>
    <col min="14081" max="14081" width="15.7109375" style="194" customWidth="1"/>
    <col min="14082" max="14088" width="11.42578125" style="194"/>
    <col min="14089" max="14089" width="12.5703125" style="194" customWidth="1"/>
    <col min="14090" max="14336" width="11.42578125" style="194"/>
    <col min="14337" max="14337" width="15.7109375" style="194" customWidth="1"/>
    <col min="14338" max="14344" width="11.42578125" style="194"/>
    <col min="14345" max="14345" width="12.5703125" style="194" customWidth="1"/>
    <col min="14346" max="14592" width="11.42578125" style="194"/>
    <col min="14593" max="14593" width="15.7109375" style="194" customWidth="1"/>
    <col min="14594" max="14600" width="11.42578125" style="194"/>
    <col min="14601" max="14601" width="12.5703125" style="194" customWidth="1"/>
    <col min="14602" max="14848" width="11.42578125" style="194"/>
    <col min="14849" max="14849" width="15.7109375" style="194" customWidth="1"/>
    <col min="14850" max="14856" width="11.42578125" style="194"/>
    <col min="14857" max="14857" width="12.5703125" style="194" customWidth="1"/>
    <col min="14858" max="15104" width="11.42578125" style="194"/>
    <col min="15105" max="15105" width="15.7109375" style="194" customWidth="1"/>
    <col min="15106" max="15112" width="11.42578125" style="194"/>
    <col min="15113" max="15113" width="12.5703125" style="194" customWidth="1"/>
    <col min="15114" max="15360" width="11.42578125" style="194"/>
    <col min="15361" max="15361" width="15.7109375" style="194" customWidth="1"/>
    <col min="15362" max="15368" width="11.42578125" style="194"/>
    <col min="15369" max="15369" width="12.5703125" style="194" customWidth="1"/>
    <col min="15370" max="15616" width="11.42578125" style="194"/>
    <col min="15617" max="15617" width="15.7109375" style="194" customWidth="1"/>
    <col min="15618" max="15624" width="11.42578125" style="194"/>
    <col min="15625" max="15625" width="12.5703125" style="194" customWidth="1"/>
    <col min="15626" max="15872" width="11.42578125" style="194"/>
    <col min="15873" max="15873" width="15.7109375" style="194" customWidth="1"/>
    <col min="15874" max="15880" width="11.42578125" style="194"/>
    <col min="15881" max="15881" width="12.5703125" style="194" customWidth="1"/>
    <col min="15882" max="16128" width="11.42578125" style="194"/>
    <col min="16129" max="16129" width="15.7109375" style="194" customWidth="1"/>
    <col min="16130" max="16136" width="11.42578125" style="194"/>
    <col min="16137" max="16137" width="12.5703125" style="194" customWidth="1"/>
    <col min="16138" max="16384" width="11.42578125" style="194"/>
  </cols>
  <sheetData>
    <row r="22" spans="20:20" ht="13.5" thickBot="1"/>
    <row r="23" spans="20:20" ht="16.5" thickBot="1">
      <c r="T23" s="60" t="s">
        <v>52</v>
      </c>
    </row>
    <row r="32" spans="20:20" ht="15.95" customHeight="1"/>
    <row r="53" spans="2:12" ht="15" customHeight="1"/>
    <row r="54" spans="2:12" ht="15" customHeight="1"/>
    <row r="55" spans="2:12" ht="15" customHeight="1"/>
    <row r="56" spans="2:12" ht="30" customHeight="1">
      <c r="B56" s="427"/>
      <c r="C56" s="427"/>
      <c r="D56" s="427"/>
      <c r="E56" s="427"/>
      <c r="F56" s="427"/>
      <c r="G56" s="427"/>
      <c r="K56" s="427"/>
      <c r="L56" s="427"/>
    </row>
    <row r="59" spans="2:12" ht="33" customHeight="1">
      <c r="J59" s="427"/>
    </row>
  </sheetData>
  <hyperlinks>
    <hyperlink ref="T23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rowBreaks count="1" manualBreakCount="1">
    <brk id="46" min="1" max="17" man="1"/>
  </rowBreaks>
  <drawing r:id="rId2"/>
  <legacyDrawingHF r:id="rId3"/>
</worksheet>
</file>

<file path=xl/worksheets/sheet97.xml><?xml version="1.0" encoding="utf-8"?>
<worksheet xmlns="http://schemas.openxmlformats.org/spreadsheetml/2006/main" xmlns:r="http://schemas.openxmlformats.org/officeDocument/2006/relationships">
  <sheetPr codeName="Hoja33">
    <tabColor rgb="FF000099"/>
    <pageSetUpPr autoPageBreaks="0" fitToPage="1"/>
  </sheetPr>
  <dimension ref="B1:S82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1" width="15.7109375" style="194" customWidth="1"/>
    <col min="2" max="17" width="12.140625" style="194" customWidth="1"/>
    <col min="18" max="256" width="11.42578125" style="194"/>
    <col min="257" max="257" width="15.7109375" style="194" customWidth="1"/>
    <col min="258" max="512" width="11.42578125" style="194"/>
    <col min="513" max="513" width="15.7109375" style="194" customWidth="1"/>
    <col min="514" max="768" width="11.42578125" style="194"/>
    <col min="769" max="769" width="15.7109375" style="194" customWidth="1"/>
    <col min="770" max="1024" width="11.42578125" style="194"/>
    <col min="1025" max="1025" width="15.7109375" style="194" customWidth="1"/>
    <col min="1026" max="1280" width="11.42578125" style="194"/>
    <col min="1281" max="1281" width="15.7109375" style="194" customWidth="1"/>
    <col min="1282" max="1536" width="11.42578125" style="194"/>
    <col min="1537" max="1537" width="15.7109375" style="194" customWidth="1"/>
    <col min="1538" max="1792" width="11.42578125" style="194"/>
    <col min="1793" max="1793" width="15.7109375" style="194" customWidth="1"/>
    <col min="1794" max="2048" width="11.42578125" style="194"/>
    <col min="2049" max="2049" width="15.7109375" style="194" customWidth="1"/>
    <col min="2050" max="2304" width="11.42578125" style="194"/>
    <col min="2305" max="2305" width="15.7109375" style="194" customWidth="1"/>
    <col min="2306" max="2560" width="11.42578125" style="194"/>
    <col min="2561" max="2561" width="15.7109375" style="194" customWidth="1"/>
    <col min="2562" max="2816" width="11.42578125" style="194"/>
    <col min="2817" max="2817" width="15.7109375" style="194" customWidth="1"/>
    <col min="2818" max="3072" width="11.42578125" style="194"/>
    <col min="3073" max="3073" width="15.7109375" style="194" customWidth="1"/>
    <col min="3074" max="3328" width="11.42578125" style="194"/>
    <col min="3329" max="3329" width="15.7109375" style="194" customWidth="1"/>
    <col min="3330" max="3584" width="11.42578125" style="194"/>
    <col min="3585" max="3585" width="15.7109375" style="194" customWidth="1"/>
    <col min="3586" max="3840" width="11.42578125" style="194"/>
    <col min="3841" max="3841" width="15.7109375" style="194" customWidth="1"/>
    <col min="3842" max="4096" width="11.42578125" style="194"/>
    <col min="4097" max="4097" width="15.7109375" style="194" customWidth="1"/>
    <col min="4098" max="4352" width="11.42578125" style="194"/>
    <col min="4353" max="4353" width="15.7109375" style="194" customWidth="1"/>
    <col min="4354" max="4608" width="11.42578125" style="194"/>
    <col min="4609" max="4609" width="15.7109375" style="194" customWidth="1"/>
    <col min="4610" max="4864" width="11.42578125" style="194"/>
    <col min="4865" max="4865" width="15.7109375" style="194" customWidth="1"/>
    <col min="4866" max="5120" width="11.42578125" style="194"/>
    <col min="5121" max="5121" width="15.7109375" style="194" customWidth="1"/>
    <col min="5122" max="5376" width="11.42578125" style="194"/>
    <col min="5377" max="5377" width="15.7109375" style="194" customWidth="1"/>
    <col min="5378" max="5632" width="11.42578125" style="194"/>
    <col min="5633" max="5633" width="15.7109375" style="194" customWidth="1"/>
    <col min="5634" max="5888" width="11.42578125" style="194"/>
    <col min="5889" max="5889" width="15.7109375" style="194" customWidth="1"/>
    <col min="5890" max="6144" width="11.42578125" style="194"/>
    <col min="6145" max="6145" width="15.7109375" style="194" customWidth="1"/>
    <col min="6146" max="6400" width="11.42578125" style="194"/>
    <col min="6401" max="6401" width="15.7109375" style="194" customWidth="1"/>
    <col min="6402" max="6656" width="11.42578125" style="194"/>
    <col min="6657" max="6657" width="15.7109375" style="194" customWidth="1"/>
    <col min="6658" max="6912" width="11.42578125" style="194"/>
    <col min="6913" max="6913" width="15.7109375" style="194" customWidth="1"/>
    <col min="6914" max="7168" width="11.42578125" style="194"/>
    <col min="7169" max="7169" width="15.7109375" style="194" customWidth="1"/>
    <col min="7170" max="7424" width="11.42578125" style="194"/>
    <col min="7425" max="7425" width="15.7109375" style="194" customWidth="1"/>
    <col min="7426" max="7680" width="11.42578125" style="194"/>
    <col min="7681" max="7681" width="15.7109375" style="194" customWidth="1"/>
    <col min="7682" max="7936" width="11.42578125" style="194"/>
    <col min="7937" max="7937" width="15.7109375" style="194" customWidth="1"/>
    <col min="7938" max="8192" width="11.42578125" style="194"/>
    <col min="8193" max="8193" width="15.7109375" style="194" customWidth="1"/>
    <col min="8194" max="8448" width="11.42578125" style="194"/>
    <col min="8449" max="8449" width="15.7109375" style="194" customWidth="1"/>
    <col min="8450" max="8704" width="11.42578125" style="194"/>
    <col min="8705" max="8705" width="15.7109375" style="194" customWidth="1"/>
    <col min="8706" max="8960" width="11.42578125" style="194"/>
    <col min="8961" max="8961" width="15.7109375" style="194" customWidth="1"/>
    <col min="8962" max="9216" width="11.42578125" style="194"/>
    <col min="9217" max="9217" width="15.7109375" style="194" customWidth="1"/>
    <col min="9218" max="9472" width="11.42578125" style="194"/>
    <col min="9473" max="9473" width="15.7109375" style="194" customWidth="1"/>
    <col min="9474" max="9728" width="11.42578125" style="194"/>
    <col min="9729" max="9729" width="15.7109375" style="194" customWidth="1"/>
    <col min="9730" max="9984" width="11.42578125" style="194"/>
    <col min="9985" max="9985" width="15.7109375" style="194" customWidth="1"/>
    <col min="9986" max="10240" width="11.42578125" style="194"/>
    <col min="10241" max="10241" width="15.7109375" style="194" customWidth="1"/>
    <col min="10242" max="10496" width="11.42578125" style="194"/>
    <col min="10497" max="10497" width="15.7109375" style="194" customWidth="1"/>
    <col min="10498" max="10752" width="11.42578125" style="194"/>
    <col min="10753" max="10753" width="15.7109375" style="194" customWidth="1"/>
    <col min="10754" max="11008" width="11.42578125" style="194"/>
    <col min="11009" max="11009" width="15.7109375" style="194" customWidth="1"/>
    <col min="11010" max="11264" width="11.42578125" style="194"/>
    <col min="11265" max="11265" width="15.7109375" style="194" customWidth="1"/>
    <col min="11266" max="11520" width="11.42578125" style="194"/>
    <col min="11521" max="11521" width="15.7109375" style="194" customWidth="1"/>
    <col min="11522" max="11776" width="11.42578125" style="194"/>
    <col min="11777" max="11777" width="15.7109375" style="194" customWidth="1"/>
    <col min="11778" max="12032" width="11.42578125" style="194"/>
    <col min="12033" max="12033" width="15.7109375" style="194" customWidth="1"/>
    <col min="12034" max="12288" width="11.42578125" style="194"/>
    <col min="12289" max="12289" width="15.7109375" style="194" customWidth="1"/>
    <col min="12290" max="12544" width="11.42578125" style="194"/>
    <col min="12545" max="12545" width="15.7109375" style="194" customWidth="1"/>
    <col min="12546" max="12800" width="11.42578125" style="194"/>
    <col min="12801" max="12801" width="15.7109375" style="194" customWidth="1"/>
    <col min="12802" max="13056" width="11.42578125" style="194"/>
    <col min="13057" max="13057" width="15.7109375" style="194" customWidth="1"/>
    <col min="13058" max="13312" width="11.42578125" style="194"/>
    <col min="13313" max="13313" width="15.7109375" style="194" customWidth="1"/>
    <col min="13314" max="13568" width="11.42578125" style="194"/>
    <col min="13569" max="13569" width="15.7109375" style="194" customWidth="1"/>
    <col min="13570" max="13824" width="11.42578125" style="194"/>
    <col min="13825" max="13825" width="15.7109375" style="194" customWidth="1"/>
    <col min="13826" max="14080" width="11.42578125" style="194"/>
    <col min="14081" max="14081" width="15.7109375" style="194" customWidth="1"/>
    <col min="14082" max="14336" width="11.42578125" style="194"/>
    <col min="14337" max="14337" width="15.7109375" style="194" customWidth="1"/>
    <col min="14338" max="14592" width="11.42578125" style="194"/>
    <col min="14593" max="14593" width="15.7109375" style="194" customWidth="1"/>
    <col min="14594" max="14848" width="11.42578125" style="194"/>
    <col min="14849" max="14849" width="15.7109375" style="194" customWidth="1"/>
    <col min="14850" max="15104" width="11.42578125" style="194"/>
    <col min="15105" max="15105" width="15.7109375" style="194" customWidth="1"/>
    <col min="15106" max="15360" width="11.42578125" style="194"/>
    <col min="15361" max="15361" width="15.7109375" style="194" customWidth="1"/>
    <col min="15362" max="15616" width="11.42578125" style="194"/>
    <col min="15617" max="15617" width="15.7109375" style="194" customWidth="1"/>
    <col min="15618" max="15872" width="11.42578125" style="194"/>
    <col min="15873" max="15873" width="15.7109375" style="194" customWidth="1"/>
    <col min="15874" max="16128" width="11.42578125" style="194"/>
    <col min="16129" max="16129" width="15.7109375" style="194" customWidth="1"/>
    <col min="16130" max="16384" width="11.42578125" style="194"/>
  </cols>
  <sheetData>
    <row r="1" ht="15.75" customHeight="1"/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spans="19:19" ht="15.75" customHeight="1"/>
    <row r="18" spans="19:19" ht="15.75" customHeight="1"/>
    <row r="19" spans="19:19" ht="15.75" customHeight="1"/>
    <row r="20" spans="19:19" ht="15.75" customHeight="1"/>
    <row r="21" spans="19:19" ht="15.75" customHeight="1"/>
    <row r="22" spans="19:19" ht="15.75" customHeight="1"/>
    <row r="23" spans="19:19" ht="15.75" customHeight="1"/>
    <row r="24" spans="19:19" ht="15.75" customHeight="1"/>
    <row r="25" spans="19:19" ht="15.75" customHeight="1"/>
    <row r="26" spans="19:19" ht="15.75" customHeight="1"/>
    <row r="27" spans="19:19" ht="15.75" customHeight="1"/>
    <row r="28" spans="19:19" ht="15.75" customHeight="1"/>
    <row r="29" spans="19:19" ht="15.75" customHeight="1"/>
    <row r="30" spans="19:19" ht="15.75" customHeight="1" thickBot="1"/>
    <row r="31" spans="19:19" ht="15.75" customHeight="1" thickBot="1">
      <c r="S31" s="60" t="s">
        <v>52</v>
      </c>
    </row>
    <row r="32" spans="19:1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2:12" ht="15.75" customHeight="1"/>
    <row r="50" spans="2:12" ht="15.75" customHeight="1"/>
    <row r="51" spans="2:12" ht="15.75" customHeight="1"/>
    <row r="52" spans="2:12" ht="15.75" customHeight="1">
      <c r="B52" s="427"/>
      <c r="C52" s="427"/>
      <c r="D52" s="427"/>
      <c r="E52" s="427"/>
      <c r="F52" s="427"/>
      <c r="G52" s="427"/>
      <c r="H52" s="427"/>
      <c r="K52" s="427"/>
      <c r="L52" s="427"/>
    </row>
    <row r="53" spans="2:12" ht="15.75" customHeight="1">
      <c r="J53" s="427"/>
    </row>
    <row r="54" spans="2:12" ht="15.75" customHeight="1"/>
    <row r="55" spans="2:12" ht="15.75" customHeight="1"/>
    <row r="56" spans="2:12" ht="15.75" customHeight="1"/>
    <row r="57" spans="2:12" ht="15.75" customHeight="1"/>
    <row r="58" spans="2:12" ht="15.75" customHeight="1"/>
    <row r="59" spans="2:12" ht="15.75" customHeight="1"/>
    <row r="60" spans="2:12" ht="15.75" customHeight="1"/>
    <row r="61" spans="2:12" ht="15.75" customHeight="1"/>
    <row r="62" spans="2:12" ht="15.75" customHeight="1"/>
    <row r="63" spans="2:12" ht="15.75" customHeight="1"/>
    <row r="64" spans="2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</sheetData>
  <hyperlinks>
    <hyperlink ref="S31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rowBreaks count="1" manualBreakCount="1">
    <brk id="37" min="1" max="15" man="1"/>
  </rowBreaks>
  <drawing r:id="rId2"/>
  <legacyDrawingHF r:id="rId3"/>
</worksheet>
</file>

<file path=xl/worksheets/sheet98.xml><?xml version="1.0" encoding="utf-8"?>
<worksheet xmlns="http://schemas.openxmlformats.org/spreadsheetml/2006/main" xmlns:r="http://schemas.openxmlformats.org/officeDocument/2006/relationships">
  <sheetPr codeName="Hoja40">
    <tabColor theme="4" tint="-0.499984740745262"/>
    <pageSetUpPr autoPageBreaks="0" fitToPage="1"/>
  </sheetPr>
  <dimension ref="C7:I77"/>
  <sheetViews>
    <sheetView showGridLines="0" showRowColHeaders="0" showOutlineSymbols="0" zoomScaleNormal="100" workbookViewId="0">
      <selection activeCell="I13" sqref="I13"/>
    </sheetView>
  </sheetViews>
  <sheetFormatPr baseColWidth="10" defaultRowHeight="12.75"/>
  <cols>
    <col min="1" max="3" width="11.42578125" style="194"/>
    <col min="4" max="4" width="9.140625" style="194" customWidth="1"/>
    <col min="5" max="5" width="7.85546875" style="194" customWidth="1"/>
    <col min="6" max="6" width="64.42578125" style="194" customWidth="1"/>
    <col min="7" max="259" width="11.42578125" style="194"/>
    <col min="260" max="260" width="9.140625" style="194" customWidth="1"/>
    <col min="261" max="261" width="7.85546875" style="194" customWidth="1"/>
    <col min="262" max="262" width="56.85546875" style="194" customWidth="1"/>
    <col min="263" max="515" width="11.42578125" style="194"/>
    <col min="516" max="516" width="9.140625" style="194" customWidth="1"/>
    <col min="517" max="517" width="7.85546875" style="194" customWidth="1"/>
    <col min="518" max="518" width="56.85546875" style="194" customWidth="1"/>
    <col min="519" max="771" width="11.42578125" style="194"/>
    <col min="772" max="772" width="9.140625" style="194" customWidth="1"/>
    <col min="773" max="773" width="7.85546875" style="194" customWidth="1"/>
    <col min="774" max="774" width="56.85546875" style="194" customWidth="1"/>
    <col min="775" max="1027" width="11.42578125" style="194"/>
    <col min="1028" max="1028" width="9.140625" style="194" customWidth="1"/>
    <col min="1029" max="1029" width="7.85546875" style="194" customWidth="1"/>
    <col min="1030" max="1030" width="56.85546875" style="194" customWidth="1"/>
    <col min="1031" max="1283" width="11.42578125" style="194"/>
    <col min="1284" max="1284" width="9.140625" style="194" customWidth="1"/>
    <col min="1285" max="1285" width="7.85546875" style="194" customWidth="1"/>
    <col min="1286" max="1286" width="56.85546875" style="194" customWidth="1"/>
    <col min="1287" max="1539" width="11.42578125" style="194"/>
    <col min="1540" max="1540" width="9.140625" style="194" customWidth="1"/>
    <col min="1541" max="1541" width="7.85546875" style="194" customWidth="1"/>
    <col min="1542" max="1542" width="56.85546875" style="194" customWidth="1"/>
    <col min="1543" max="1795" width="11.42578125" style="194"/>
    <col min="1796" max="1796" width="9.140625" style="194" customWidth="1"/>
    <col min="1797" max="1797" width="7.85546875" style="194" customWidth="1"/>
    <col min="1798" max="1798" width="56.85546875" style="194" customWidth="1"/>
    <col min="1799" max="2051" width="11.42578125" style="194"/>
    <col min="2052" max="2052" width="9.140625" style="194" customWidth="1"/>
    <col min="2053" max="2053" width="7.85546875" style="194" customWidth="1"/>
    <col min="2054" max="2054" width="56.85546875" style="194" customWidth="1"/>
    <col min="2055" max="2307" width="11.42578125" style="194"/>
    <col min="2308" max="2308" width="9.140625" style="194" customWidth="1"/>
    <col min="2309" max="2309" width="7.85546875" style="194" customWidth="1"/>
    <col min="2310" max="2310" width="56.85546875" style="194" customWidth="1"/>
    <col min="2311" max="2563" width="11.42578125" style="194"/>
    <col min="2564" max="2564" width="9.140625" style="194" customWidth="1"/>
    <col min="2565" max="2565" width="7.85546875" style="194" customWidth="1"/>
    <col min="2566" max="2566" width="56.85546875" style="194" customWidth="1"/>
    <col min="2567" max="2819" width="11.42578125" style="194"/>
    <col min="2820" max="2820" width="9.140625" style="194" customWidth="1"/>
    <col min="2821" max="2821" width="7.85546875" style="194" customWidth="1"/>
    <col min="2822" max="2822" width="56.85546875" style="194" customWidth="1"/>
    <col min="2823" max="3075" width="11.42578125" style="194"/>
    <col min="3076" max="3076" width="9.140625" style="194" customWidth="1"/>
    <col min="3077" max="3077" width="7.85546875" style="194" customWidth="1"/>
    <col min="3078" max="3078" width="56.85546875" style="194" customWidth="1"/>
    <col min="3079" max="3331" width="11.42578125" style="194"/>
    <col min="3332" max="3332" width="9.140625" style="194" customWidth="1"/>
    <col min="3333" max="3333" width="7.85546875" style="194" customWidth="1"/>
    <col min="3334" max="3334" width="56.85546875" style="194" customWidth="1"/>
    <col min="3335" max="3587" width="11.42578125" style="194"/>
    <col min="3588" max="3588" width="9.140625" style="194" customWidth="1"/>
    <col min="3589" max="3589" width="7.85546875" style="194" customWidth="1"/>
    <col min="3590" max="3590" width="56.85546875" style="194" customWidth="1"/>
    <col min="3591" max="3843" width="11.42578125" style="194"/>
    <col min="3844" max="3844" width="9.140625" style="194" customWidth="1"/>
    <col min="3845" max="3845" width="7.85546875" style="194" customWidth="1"/>
    <col min="3846" max="3846" width="56.85546875" style="194" customWidth="1"/>
    <col min="3847" max="4099" width="11.42578125" style="194"/>
    <col min="4100" max="4100" width="9.140625" style="194" customWidth="1"/>
    <col min="4101" max="4101" width="7.85546875" style="194" customWidth="1"/>
    <col min="4102" max="4102" width="56.85546875" style="194" customWidth="1"/>
    <col min="4103" max="4355" width="11.42578125" style="194"/>
    <col min="4356" max="4356" width="9.140625" style="194" customWidth="1"/>
    <col min="4357" max="4357" width="7.85546875" style="194" customWidth="1"/>
    <col min="4358" max="4358" width="56.85546875" style="194" customWidth="1"/>
    <col min="4359" max="4611" width="11.42578125" style="194"/>
    <col min="4612" max="4612" width="9.140625" style="194" customWidth="1"/>
    <col min="4613" max="4613" width="7.85546875" style="194" customWidth="1"/>
    <col min="4614" max="4614" width="56.85546875" style="194" customWidth="1"/>
    <col min="4615" max="4867" width="11.42578125" style="194"/>
    <col min="4868" max="4868" width="9.140625" style="194" customWidth="1"/>
    <col min="4869" max="4869" width="7.85546875" style="194" customWidth="1"/>
    <col min="4870" max="4870" width="56.85546875" style="194" customWidth="1"/>
    <col min="4871" max="5123" width="11.42578125" style="194"/>
    <col min="5124" max="5124" width="9.140625" style="194" customWidth="1"/>
    <col min="5125" max="5125" width="7.85546875" style="194" customWidth="1"/>
    <col min="5126" max="5126" width="56.85546875" style="194" customWidth="1"/>
    <col min="5127" max="5379" width="11.42578125" style="194"/>
    <col min="5380" max="5380" width="9.140625" style="194" customWidth="1"/>
    <col min="5381" max="5381" width="7.85546875" style="194" customWidth="1"/>
    <col min="5382" max="5382" width="56.85546875" style="194" customWidth="1"/>
    <col min="5383" max="5635" width="11.42578125" style="194"/>
    <col min="5636" max="5636" width="9.140625" style="194" customWidth="1"/>
    <col min="5637" max="5637" width="7.85546875" style="194" customWidth="1"/>
    <col min="5638" max="5638" width="56.85546875" style="194" customWidth="1"/>
    <col min="5639" max="5891" width="11.42578125" style="194"/>
    <col min="5892" max="5892" width="9.140625" style="194" customWidth="1"/>
    <col min="5893" max="5893" width="7.85546875" style="194" customWidth="1"/>
    <col min="5894" max="5894" width="56.85546875" style="194" customWidth="1"/>
    <col min="5895" max="6147" width="11.42578125" style="194"/>
    <col min="6148" max="6148" width="9.140625" style="194" customWidth="1"/>
    <col min="6149" max="6149" width="7.85546875" style="194" customWidth="1"/>
    <col min="6150" max="6150" width="56.85546875" style="194" customWidth="1"/>
    <col min="6151" max="6403" width="11.42578125" style="194"/>
    <col min="6404" max="6404" width="9.140625" style="194" customWidth="1"/>
    <col min="6405" max="6405" width="7.85546875" style="194" customWidth="1"/>
    <col min="6406" max="6406" width="56.85546875" style="194" customWidth="1"/>
    <col min="6407" max="6659" width="11.42578125" style="194"/>
    <col min="6660" max="6660" width="9.140625" style="194" customWidth="1"/>
    <col min="6661" max="6661" width="7.85546875" style="194" customWidth="1"/>
    <col min="6662" max="6662" width="56.85546875" style="194" customWidth="1"/>
    <col min="6663" max="6915" width="11.42578125" style="194"/>
    <col min="6916" max="6916" width="9.140625" style="194" customWidth="1"/>
    <col min="6917" max="6917" width="7.85546875" style="194" customWidth="1"/>
    <col min="6918" max="6918" width="56.85546875" style="194" customWidth="1"/>
    <col min="6919" max="7171" width="11.42578125" style="194"/>
    <col min="7172" max="7172" width="9.140625" style="194" customWidth="1"/>
    <col min="7173" max="7173" width="7.85546875" style="194" customWidth="1"/>
    <col min="7174" max="7174" width="56.85546875" style="194" customWidth="1"/>
    <col min="7175" max="7427" width="11.42578125" style="194"/>
    <col min="7428" max="7428" width="9.140625" style="194" customWidth="1"/>
    <col min="7429" max="7429" width="7.85546875" style="194" customWidth="1"/>
    <col min="7430" max="7430" width="56.85546875" style="194" customWidth="1"/>
    <col min="7431" max="7683" width="11.42578125" style="194"/>
    <col min="7684" max="7684" width="9.140625" style="194" customWidth="1"/>
    <col min="7685" max="7685" width="7.85546875" style="194" customWidth="1"/>
    <col min="7686" max="7686" width="56.85546875" style="194" customWidth="1"/>
    <col min="7687" max="7939" width="11.42578125" style="194"/>
    <col min="7940" max="7940" width="9.140625" style="194" customWidth="1"/>
    <col min="7941" max="7941" width="7.85546875" style="194" customWidth="1"/>
    <col min="7942" max="7942" width="56.85546875" style="194" customWidth="1"/>
    <col min="7943" max="8195" width="11.42578125" style="194"/>
    <col min="8196" max="8196" width="9.140625" style="194" customWidth="1"/>
    <col min="8197" max="8197" width="7.85546875" style="194" customWidth="1"/>
    <col min="8198" max="8198" width="56.85546875" style="194" customWidth="1"/>
    <col min="8199" max="8451" width="11.42578125" style="194"/>
    <col min="8452" max="8452" width="9.140625" style="194" customWidth="1"/>
    <col min="8453" max="8453" width="7.85546875" style="194" customWidth="1"/>
    <col min="8454" max="8454" width="56.85546875" style="194" customWidth="1"/>
    <col min="8455" max="8707" width="11.42578125" style="194"/>
    <col min="8708" max="8708" width="9.140625" style="194" customWidth="1"/>
    <col min="8709" max="8709" width="7.85546875" style="194" customWidth="1"/>
    <col min="8710" max="8710" width="56.85546875" style="194" customWidth="1"/>
    <col min="8711" max="8963" width="11.42578125" style="194"/>
    <col min="8964" max="8964" width="9.140625" style="194" customWidth="1"/>
    <col min="8965" max="8965" width="7.85546875" style="194" customWidth="1"/>
    <col min="8966" max="8966" width="56.85546875" style="194" customWidth="1"/>
    <col min="8967" max="9219" width="11.42578125" style="194"/>
    <col min="9220" max="9220" width="9.140625" style="194" customWidth="1"/>
    <col min="9221" max="9221" width="7.85546875" style="194" customWidth="1"/>
    <col min="9222" max="9222" width="56.85546875" style="194" customWidth="1"/>
    <col min="9223" max="9475" width="11.42578125" style="194"/>
    <col min="9476" max="9476" width="9.140625" style="194" customWidth="1"/>
    <col min="9477" max="9477" width="7.85546875" style="194" customWidth="1"/>
    <col min="9478" max="9478" width="56.85546875" style="194" customWidth="1"/>
    <col min="9479" max="9731" width="11.42578125" style="194"/>
    <col min="9732" max="9732" width="9.140625" style="194" customWidth="1"/>
    <col min="9733" max="9733" width="7.85546875" style="194" customWidth="1"/>
    <col min="9734" max="9734" width="56.85546875" style="194" customWidth="1"/>
    <col min="9735" max="9987" width="11.42578125" style="194"/>
    <col min="9988" max="9988" width="9.140625" style="194" customWidth="1"/>
    <col min="9989" max="9989" width="7.85546875" style="194" customWidth="1"/>
    <col min="9990" max="9990" width="56.85546875" style="194" customWidth="1"/>
    <col min="9991" max="10243" width="11.42578125" style="194"/>
    <col min="10244" max="10244" width="9.140625" style="194" customWidth="1"/>
    <col min="10245" max="10245" width="7.85546875" style="194" customWidth="1"/>
    <col min="10246" max="10246" width="56.85546875" style="194" customWidth="1"/>
    <col min="10247" max="10499" width="11.42578125" style="194"/>
    <col min="10500" max="10500" width="9.140625" style="194" customWidth="1"/>
    <col min="10501" max="10501" width="7.85546875" style="194" customWidth="1"/>
    <col min="10502" max="10502" width="56.85546875" style="194" customWidth="1"/>
    <col min="10503" max="10755" width="11.42578125" style="194"/>
    <col min="10756" max="10756" width="9.140625" style="194" customWidth="1"/>
    <col min="10757" max="10757" width="7.85546875" style="194" customWidth="1"/>
    <col min="10758" max="10758" width="56.85546875" style="194" customWidth="1"/>
    <col min="10759" max="11011" width="11.42578125" style="194"/>
    <col min="11012" max="11012" width="9.140625" style="194" customWidth="1"/>
    <col min="11013" max="11013" width="7.85546875" style="194" customWidth="1"/>
    <col min="11014" max="11014" width="56.85546875" style="194" customWidth="1"/>
    <col min="11015" max="11267" width="11.42578125" style="194"/>
    <col min="11268" max="11268" width="9.140625" style="194" customWidth="1"/>
    <col min="11269" max="11269" width="7.85546875" style="194" customWidth="1"/>
    <col min="11270" max="11270" width="56.85546875" style="194" customWidth="1"/>
    <col min="11271" max="11523" width="11.42578125" style="194"/>
    <col min="11524" max="11524" width="9.140625" style="194" customWidth="1"/>
    <col min="11525" max="11525" width="7.85546875" style="194" customWidth="1"/>
    <col min="11526" max="11526" width="56.85546875" style="194" customWidth="1"/>
    <col min="11527" max="11779" width="11.42578125" style="194"/>
    <col min="11780" max="11780" width="9.140625" style="194" customWidth="1"/>
    <col min="11781" max="11781" width="7.85546875" style="194" customWidth="1"/>
    <col min="11782" max="11782" width="56.85546875" style="194" customWidth="1"/>
    <col min="11783" max="12035" width="11.42578125" style="194"/>
    <col min="12036" max="12036" width="9.140625" style="194" customWidth="1"/>
    <col min="12037" max="12037" width="7.85546875" style="194" customWidth="1"/>
    <col min="12038" max="12038" width="56.85546875" style="194" customWidth="1"/>
    <col min="12039" max="12291" width="11.42578125" style="194"/>
    <col min="12292" max="12292" width="9.140625" style="194" customWidth="1"/>
    <col min="12293" max="12293" width="7.85546875" style="194" customWidth="1"/>
    <col min="12294" max="12294" width="56.85546875" style="194" customWidth="1"/>
    <col min="12295" max="12547" width="11.42578125" style="194"/>
    <col min="12548" max="12548" width="9.140625" style="194" customWidth="1"/>
    <col min="12549" max="12549" width="7.85546875" style="194" customWidth="1"/>
    <col min="12550" max="12550" width="56.85546875" style="194" customWidth="1"/>
    <col min="12551" max="12803" width="11.42578125" style="194"/>
    <col min="12804" max="12804" width="9.140625" style="194" customWidth="1"/>
    <col min="12805" max="12805" width="7.85546875" style="194" customWidth="1"/>
    <col min="12806" max="12806" width="56.85546875" style="194" customWidth="1"/>
    <col min="12807" max="13059" width="11.42578125" style="194"/>
    <col min="13060" max="13060" width="9.140625" style="194" customWidth="1"/>
    <col min="13061" max="13061" width="7.85546875" style="194" customWidth="1"/>
    <col min="13062" max="13062" width="56.85546875" style="194" customWidth="1"/>
    <col min="13063" max="13315" width="11.42578125" style="194"/>
    <col min="13316" max="13316" width="9.140625" style="194" customWidth="1"/>
    <col min="13317" max="13317" width="7.85546875" style="194" customWidth="1"/>
    <col min="13318" max="13318" width="56.85546875" style="194" customWidth="1"/>
    <col min="13319" max="13571" width="11.42578125" style="194"/>
    <col min="13572" max="13572" width="9.140625" style="194" customWidth="1"/>
    <col min="13573" max="13573" width="7.85546875" style="194" customWidth="1"/>
    <col min="13574" max="13574" width="56.85546875" style="194" customWidth="1"/>
    <col min="13575" max="13827" width="11.42578125" style="194"/>
    <col min="13828" max="13828" width="9.140625" style="194" customWidth="1"/>
    <col min="13829" max="13829" width="7.85546875" style="194" customWidth="1"/>
    <col min="13830" max="13830" width="56.85546875" style="194" customWidth="1"/>
    <col min="13831" max="14083" width="11.42578125" style="194"/>
    <col min="14084" max="14084" width="9.140625" style="194" customWidth="1"/>
    <col min="14085" max="14085" width="7.85546875" style="194" customWidth="1"/>
    <col min="14086" max="14086" width="56.85546875" style="194" customWidth="1"/>
    <col min="14087" max="14339" width="11.42578125" style="194"/>
    <col min="14340" max="14340" width="9.140625" style="194" customWidth="1"/>
    <col min="14341" max="14341" width="7.85546875" style="194" customWidth="1"/>
    <col min="14342" max="14342" width="56.85546875" style="194" customWidth="1"/>
    <col min="14343" max="14595" width="11.42578125" style="194"/>
    <col min="14596" max="14596" width="9.140625" style="194" customWidth="1"/>
    <col min="14597" max="14597" width="7.85546875" style="194" customWidth="1"/>
    <col min="14598" max="14598" width="56.85546875" style="194" customWidth="1"/>
    <col min="14599" max="14851" width="11.42578125" style="194"/>
    <col min="14852" max="14852" width="9.140625" style="194" customWidth="1"/>
    <col min="14853" max="14853" width="7.85546875" style="194" customWidth="1"/>
    <col min="14854" max="14854" width="56.85546875" style="194" customWidth="1"/>
    <col min="14855" max="15107" width="11.42578125" style="194"/>
    <col min="15108" max="15108" width="9.140625" style="194" customWidth="1"/>
    <col min="15109" max="15109" width="7.85546875" style="194" customWidth="1"/>
    <col min="15110" max="15110" width="56.85546875" style="194" customWidth="1"/>
    <col min="15111" max="15363" width="11.42578125" style="194"/>
    <col min="15364" max="15364" width="9.140625" style="194" customWidth="1"/>
    <col min="15365" max="15365" width="7.85546875" style="194" customWidth="1"/>
    <col min="15366" max="15366" width="56.85546875" style="194" customWidth="1"/>
    <col min="15367" max="15619" width="11.42578125" style="194"/>
    <col min="15620" max="15620" width="9.140625" style="194" customWidth="1"/>
    <col min="15621" max="15621" width="7.85546875" style="194" customWidth="1"/>
    <col min="15622" max="15622" width="56.85546875" style="194" customWidth="1"/>
    <col min="15623" max="15875" width="11.42578125" style="194"/>
    <col min="15876" max="15876" width="9.140625" style="194" customWidth="1"/>
    <col min="15877" max="15877" width="7.85546875" style="194" customWidth="1"/>
    <col min="15878" max="15878" width="56.85546875" style="194" customWidth="1"/>
    <col min="15879" max="16131" width="11.42578125" style="194"/>
    <col min="16132" max="16132" width="9.140625" style="194" customWidth="1"/>
    <col min="16133" max="16133" width="7.85546875" style="194" customWidth="1"/>
    <col min="16134" max="16134" width="56.85546875" style="194" customWidth="1"/>
    <col min="16135" max="16384" width="11.42578125" style="194"/>
  </cols>
  <sheetData>
    <row r="7" spans="4:6" ht="30" customHeight="1">
      <c r="D7" s="415" t="s">
        <v>7</v>
      </c>
      <c r="E7" s="415"/>
      <c r="F7" s="415"/>
    </row>
    <row r="8" spans="4:6" ht="20.100000000000001" customHeight="1">
      <c r="D8" s="416"/>
      <c r="E8" s="417"/>
      <c r="F8" s="417"/>
    </row>
    <row r="9" spans="4:6" ht="24.95" customHeight="1">
      <c r="D9" s="417"/>
      <c r="E9" s="418" t="s">
        <v>10</v>
      </c>
      <c r="F9" s="419"/>
    </row>
    <row r="10" spans="4:6" ht="20.100000000000001" customHeight="1">
      <c r="D10" s="417"/>
      <c r="E10" s="417"/>
      <c r="F10" s="420"/>
    </row>
    <row r="11" spans="4:6" ht="20.100000000000001" customHeight="1">
      <c r="D11" s="417"/>
      <c r="E11" s="417"/>
      <c r="F11" s="421" t="s">
        <v>367</v>
      </c>
    </row>
    <row r="12" spans="4:6" ht="20.100000000000001" customHeight="1">
      <c r="D12" s="417"/>
      <c r="E12" s="417"/>
      <c r="F12" s="421" t="s">
        <v>368</v>
      </c>
    </row>
    <row r="13" spans="4:6" ht="20.100000000000001" customHeight="1">
      <c r="D13" s="417"/>
      <c r="E13" s="417"/>
      <c r="F13" s="421" t="s">
        <v>369</v>
      </c>
    </row>
    <row r="14" spans="4:6" ht="20.100000000000001" customHeight="1">
      <c r="D14" s="417"/>
      <c r="E14" s="417"/>
      <c r="F14" s="420"/>
    </row>
    <row r="15" spans="4:6" ht="24.95" customHeight="1">
      <c r="D15" s="417"/>
      <c r="E15" s="418" t="s">
        <v>17</v>
      </c>
      <c r="F15" s="419"/>
    </row>
    <row r="16" spans="4:6" ht="20.100000000000001" customHeight="1">
      <c r="D16" s="417"/>
      <c r="E16" s="417"/>
      <c r="F16" s="420"/>
    </row>
    <row r="17" spans="3:9" ht="20.100000000000001" customHeight="1">
      <c r="D17" s="417"/>
      <c r="E17" s="417"/>
      <c r="F17" s="421" t="s">
        <v>370</v>
      </c>
    </row>
    <row r="18" spans="3:9" ht="20.100000000000001" customHeight="1">
      <c r="D18" s="417"/>
      <c r="E18" s="417"/>
      <c r="F18" s="422"/>
    </row>
    <row r="19" spans="3:9" ht="20.100000000000001" customHeight="1">
      <c r="D19" s="423"/>
    </row>
    <row r="20" spans="3:9" ht="20.100000000000001" customHeight="1">
      <c r="E20" s="424"/>
      <c r="F20" s="425"/>
    </row>
    <row r="21" spans="3:9" ht="15" customHeight="1">
      <c r="D21" s="426" t="s">
        <v>8</v>
      </c>
      <c r="E21" s="426"/>
      <c r="F21" s="426"/>
    </row>
    <row r="22" spans="3:9" ht="20.100000000000001" customHeight="1"/>
    <row r="23" spans="3:9" ht="15" customHeight="1"/>
    <row r="24" spans="3:9" ht="20.100000000000001" customHeight="1">
      <c r="E24" s="424"/>
      <c r="F24" s="425"/>
    </row>
    <row r="25" spans="3:9" ht="15" customHeight="1"/>
    <row r="26" spans="3:9" ht="15" customHeight="1">
      <c r="D26" s="423"/>
    </row>
    <row r="27" spans="3:9" ht="15" customHeight="1"/>
    <row r="28" spans="3:9" ht="20.100000000000001" customHeight="1">
      <c r="C28" s="427"/>
      <c r="D28" s="427"/>
      <c r="E28" s="427"/>
      <c r="F28" s="427"/>
      <c r="G28" s="427"/>
      <c r="H28" s="427"/>
      <c r="I28" s="427"/>
    </row>
    <row r="29" spans="3:9" ht="15" customHeight="1"/>
    <row r="30" spans="3:9" ht="15" customHeight="1"/>
    <row r="31" spans="3:9" ht="15" customHeight="1">
      <c r="D31" s="423"/>
    </row>
    <row r="32" spans="3: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</sheetData>
  <mergeCells count="2">
    <mergeCell ref="D7:F7"/>
    <mergeCell ref="D21:F21"/>
  </mergeCells>
  <hyperlinks>
    <hyperlink ref="F17" location="'Gráfica Distrib Plazas Autoriza'!A1" tooltip="Distribución según tipología alojativa" display="Distribución según tipología alojativa"/>
    <hyperlink ref="F11" location="'Plazas Autorizadas tipología'!A1" tooltip="Tipología del establecimiento - municipios" display="Tipología de establecimiento - municipios"/>
    <hyperlink ref="F12" location="'Cuotas Plazas Autorizadas05'!A1" tooltip="Distribución por tipología de establecimiento - municipios " display="Distribución por tipología de establecimiento - municipios "/>
    <hyperlink ref="F13" location="'Distrib Plazas Autor 03_04-05'!A1" tooltip="Distribución según tipología alojativa" display="Distribución según tipología y categor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drawing r:id="rId2"/>
  <legacyDrawingHF r:id="rId3"/>
</worksheet>
</file>

<file path=xl/worksheets/sheet99.xml><?xml version="1.0" encoding="utf-8"?>
<worksheet xmlns="http://schemas.openxmlformats.org/spreadsheetml/2006/main" xmlns:r="http://schemas.openxmlformats.org/officeDocument/2006/relationships">
  <sheetPr codeName="Hoja18">
    <tabColor rgb="FF000099"/>
    <pageSetUpPr autoPageBreaks="0" fitToPage="1"/>
  </sheetPr>
  <dimension ref="B2:AF61"/>
  <sheetViews>
    <sheetView showGridLines="0" showRowColHeaders="0" showOutlineSymbols="0" zoomScaleNormal="100" workbookViewId="0">
      <selection activeCell="I13" sqref="I13"/>
    </sheetView>
  </sheetViews>
  <sheetFormatPr baseColWidth="10" defaultColWidth="16.5703125" defaultRowHeight="12.75"/>
  <cols>
    <col min="1" max="1" width="3.7109375" style="605" customWidth="1"/>
    <col min="2" max="2" width="20.7109375" style="605" bestFit="1" customWidth="1"/>
    <col min="3" max="3" width="27.5703125" style="605" bestFit="1" customWidth="1"/>
    <col min="4" max="13" width="10.85546875" style="605" customWidth="1"/>
    <col min="14" max="16" width="7.7109375" style="605" customWidth="1"/>
    <col min="17" max="17" width="8.85546875" style="605" customWidth="1"/>
    <col min="18" max="21" width="7.7109375" style="605" customWidth="1"/>
    <col min="22" max="22" width="8.85546875" style="605" customWidth="1"/>
    <col min="23" max="25" width="7.7109375" style="605" customWidth="1"/>
    <col min="26" max="26" width="9.5703125" style="605" customWidth="1"/>
    <col min="27" max="27" width="8.85546875" style="605" customWidth="1"/>
    <col min="28" max="31" width="7.7109375" style="605" customWidth="1"/>
    <col min="32" max="32" width="9" style="605" bestFit="1" customWidth="1"/>
    <col min="33" max="261" width="16.5703125" style="605"/>
    <col min="262" max="262" width="3.7109375" style="605" customWidth="1"/>
    <col min="263" max="263" width="20.7109375" style="605" bestFit="1" customWidth="1"/>
    <col min="264" max="264" width="27.5703125" style="605" bestFit="1" customWidth="1"/>
    <col min="265" max="265" width="13" style="605" bestFit="1" customWidth="1"/>
    <col min="266" max="266" width="12.85546875" style="605" customWidth="1"/>
    <col min="267" max="267" width="15" style="605" bestFit="1" customWidth="1"/>
    <col min="268" max="268" width="15.28515625" style="605" bestFit="1" customWidth="1"/>
    <col min="269" max="269" width="13.85546875" style="605" bestFit="1" customWidth="1"/>
    <col min="270" max="272" width="7.7109375" style="605" customWidth="1"/>
    <col min="273" max="273" width="8.85546875" style="605" customWidth="1"/>
    <col min="274" max="277" width="7.7109375" style="605" customWidth="1"/>
    <col min="278" max="278" width="8.85546875" style="605" customWidth="1"/>
    <col min="279" max="281" width="7.7109375" style="605" customWidth="1"/>
    <col min="282" max="282" width="9.5703125" style="605" customWidth="1"/>
    <col min="283" max="283" width="8.85546875" style="605" customWidth="1"/>
    <col min="284" max="287" width="7.7109375" style="605" customWidth="1"/>
    <col min="288" max="288" width="9" style="605" bestFit="1" customWidth="1"/>
    <col min="289" max="517" width="16.5703125" style="605"/>
    <col min="518" max="518" width="3.7109375" style="605" customWidth="1"/>
    <col min="519" max="519" width="20.7109375" style="605" bestFit="1" customWidth="1"/>
    <col min="520" max="520" width="27.5703125" style="605" bestFit="1" customWidth="1"/>
    <col min="521" max="521" width="13" style="605" bestFit="1" customWidth="1"/>
    <col min="522" max="522" width="12.85546875" style="605" customWidth="1"/>
    <col min="523" max="523" width="15" style="605" bestFit="1" customWidth="1"/>
    <col min="524" max="524" width="15.28515625" style="605" bestFit="1" customWidth="1"/>
    <col min="525" max="525" width="13.85546875" style="605" bestFit="1" customWidth="1"/>
    <col min="526" max="528" width="7.7109375" style="605" customWidth="1"/>
    <col min="529" max="529" width="8.85546875" style="605" customWidth="1"/>
    <col min="530" max="533" width="7.7109375" style="605" customWidth="1"/>
    <col min="534" max="534" width="8.85546875" style="605" customWidth="1"/>
    <col min="535" max="537" width="7.7109375" style="605" customWidth="1"/>
    <col min="538" max="538" width="9.5703125" style="605" customWidth="1"/>
    <col min="539" max="539" width="8.85546875" style="605" customWidth="1"/>
    <col min="540" max="543" width="7.7109375" style="605" customWidth="1"/>
    <col min="544" max="544" width="9" style="605" bestFit="1" customWidth="1"/>
    <col min="545" max="773" width="16.5703125" style="605"/>
    <col min="774" max="774" width="3.7109375" style="605" customWidth="1"/>
    <col min="775" max="775" width="20.7109375" style="605" bestFit="1" customWidth="1"/>
    <col min="776" max="776" width="27.5703125" style="605" bestFit="1" customWidth="1"/>
    <col min="777" max="777" width="13" style="605" bestFit="1" customWidth="1"/>
    <col min="778" max="778" width="12.85546875" style="605" customWidth="1"/>
    <col min="779" max="779" width="15" style="605" bestFit="1" customWidth="1"/>
    <col min="780" max="780" width="15.28515625" style="605" bestFit="1" customWidth="1"/>
    <col min="781" max="781" width="13.85546875" style="605" bestFit="1" customWidth="1"/>
    <col min="782" max="784" width="7.7109375" style="605" customWidth="1"/>
    <col min="785" max="785" width="8.85546875" style="605" customWidth="1"/>
    <col min="786" max="789" width="7.7109375" style="605" customWidth="1"/>
    <col min="790" max="790" width="8.85546875" style="605" customWidth="1"/>
    <col min="791" max="793" width="7.7109375" style="605" customWidth="1"/>
    <col min="794" max="794" width="9.5703125" style="605" customWidth="1"/>
    <col min="795" max="795" width="8.85546875" style="605" customWidth="1"/>
    <col min="796" max="799" width="7.7109375" style="605" customWidth="1"/>
    <col min="800" max="800" width="9" style="605" bestFit="1" customWidth="1"/>
    <col min="801" max="1029" width="16.5703125" style="605"/>
    <col min="1030" max="1030" width="3.7109375" style="605" customWidth="1"/>
    <col min="1031" max="1031" width="20.7109375" style="605" bestFit="1" customWidth="1"/>
    <col min="1032" max="1032" width="27.5703125" style="605" bestFit="1" customWidth="1"/>
    <col min="1033" max="1033" width="13" style="605" bestFit="1" customWidth="1"/>
    <col min="1034" max="1034" width="12.85546875" style="605" customWidth="1"/>
    <col min="1035" max="1035" width="15" style="605" bestFit="1" customWidth="1"/>
    <col min="1036" max="1036" width="15.28515625" style="605" bestFit="1" customWidth="1"/>
    <col min="1037" max="1037" width="13.85546875" style="605" bestFit="1" customWidth="1"/>
    <col min="1038" max="1040" width="7.7109375" style="605" customWidth="1"/>
    <col min="1041" max="1041" width="8.85546875" style="605" customWidth="1"/>
    <col min="1042" max="1045" width="7.7109375" style="605" customWidth="1"/>
    <col min="1046" max="1046" width="8.85546875" style="605" customWidth="1"/>
    <col min="1047" max="1049" width="7.7109375" style="605" customWidth="1"/>
    <col min="1050" max="1050" width="9.5703125" style="605" customWidth="1"/>
    <col min="1051" max="1051" width="8.85546875" style="605" customWidth="1"/>
    <col min="1052" max="1055" width="7.7109375" style="605" customWidth="1"/>
    <col min="1056" max="1056" width="9" style="605" bestFit="1" customWidth="1"/>
    <col min="1057" max="1285" width="16.5703125" style="605"/>
    <col min="1286" max="1286" width="3.7109375" style="605" customWidth="1"/>
    <col min="1287" max="1287" width="20.7109375" style="605" bestFit="1" customWidth="1"/>
    <col min="1288" max="1288" width="27.5703125" style="605" bestFit="1" customWidth="1"/>
    <col min="1289" max="1289" width="13" style="605" bestFit="1" customWidth="1"/>
    <col min="1290" max="1290" width="12.85546875" style="605" customWidth="1"/>
    <col min="1291" max="1291" width="15" style="605" bestFit="1" customWidth="1"/>
    <col min="1292" max="1292" width="15.28515625" style="605" bestFit="1" customWidth="1"/>
    <col min="1293" max="1293" width="13.85546875" style="605" bestFit="1" customWidth="1"/>
    <col min="1294" max="1296" width="7.7109375" style="605" customWidth="1"/>
    <col min="1297" max="1297" width="8.85546875" style="605" customWidth="1"/>
    <col min="1298" max="1301" width="7.7109375" style="605" customWidth="1"/>
    <col min="1302" max="1302" width="8.85546875" style="605" customWidth="1"/>
    <col min="1303" max="1305" width="7.7109375" style="605" customWidth="1"/>
    <col min="1306" max="1306" width="9.5703125" style="605" customWidth="1"/>
    <col min="1307" max="1307" width="8.85546875" style="605" customWidth="1"/>
    <col min="1308" max="1311" width="7.7109375" style="605" customWidth="1"/>
    <col min="1312" max="1312" width="9" style="605" bestFit="1" customWidth="1"/>
    <col min="1313" max="1541" width="16.5703125" style="605"/>
    <col min="1542" max="1542" width="3.7109375" style="605" customWidth="1"/>
    <col min="1543" max="1543" width="20.7109375" style="605" bestFit="1" customWidth="1"/>
    <col min="1544" max="1544" width="27.5703125" style="605" bestFit="1" customWidth="1"/>
    <col min="1545" max="1545" width="13" style="605" bestFit="1" customWidth="1"/>
    <col min="1546" max="1546" width="12.85546875" style="605" customWidth="1"/>
    <col min="1547" max="1547" width="15" style="605" bestFit="1" customWidth="1"/>
    <col min="1548" max="1548" width="15.28515625" style="605" bestFit="1" customWidth="1"/>
    <col min="1549" max="1549" width="13.85546875" style="605" bestFit="1" customWidth="1"/>
    <col min="1550" max="1552" width="7.7109375" style="605" customWidth="1"/>
    <col min="1553" max="1553" width="8.85546875" style="605" customWidth="1"/>
    <col min="1554" max="1557" width="7.7109375" style="605" customWidth="1"/>
    <col min="1558" max="1558" width="8.85546875" style="605" customWidth="1"/>
    <col min="1559" max="1561" width="7.7109375" style="605" customWidth="1"/>
    <col min="1562" max="1562" width="9.5703125" style="605" customWidth="1"/>
    <col min="1563" max="1563" width="8.85546875" style="605" customWidth="1"/>
    <col min="1564" max="1567" width="7.7109375" style="605" customWidth="1"/>
    <col min="1568" max="1568" width="9" style="605" bestFit="1" customWidth="1"/>
    <col min="1569" max="1797" width="16.5703125" style="605"/>
    <col min="1798" max="1798" width="3.7109375" style="605" customWidth="1"/>
    <col min="1799" max="1799" width="20.7109375" style="605" bestFit="1" customWidth="1"/>
    <col min="1800" max="1800" width="27.5703125" style="605" bestFit="1" customWidth="1"/>
    <col min="1801" max="1801" width="13" style="605" bestFit="1" customWidth="1"/>
    <col min="1802" max="1802" width="12.85546875" style="605" customWidth="1"/>
    <col min="1803" max="1803" width="15" style="605" bestFit="1" customWidth="1"/>
    <col min="1804" max="1804" width="15.28515625" style="605" bestFit="1" customWidth="1"/>
    <col min="1805" max="1805" width="13.85546875" style="605" bestFit="1" customWidth="1"/>
    <col min="1806" max="1808" width="7.7109375" style="605" customWidth="1"/>
    <col min="1809" max="1809" width="8.85546875" style="605" customWidth="1"/>
    <col min="1810" max="1813" width="7.7109375" style="605" customWidth="1"/>
    <col min="1814" max="1814" width="8.85546875" style="605" customWidth="1"/>
    <col min="1815" max="1817" width="7.7109375" style="605" customWidth="1"/>
    <col min="1818" max="1818" width="9.5703125" style="605" customWidth="1"/>
    <col min="1819" max="1819" width="8.85546875" style="605" customWidth="1"/>
    <col min="1820" max="1823" width="7.7109375" style="605" customWidth="1"/>
    <col min="1824" max="1824" width="9" style="605" bestFit="1" customWidth="1"/>
    <col min="1825" max="2053" width="16.5703125" style="605"/>
    <col min="2054" max="2054" width="3.7109375" style="605" customWidth="1"/>
    <col min="2055" max="2055" width="20.7109375" style="605" bestFit="1" customWidth="1"/>
    <col min="2056" max="2056" width="27.5703125" style="605" bestFit="1" customWidth="1"/>
    <col min="2057" max="2057" width="13" style="605" bestFit="1" customWidth="1"/>
    <col min="2058" max="2058" width="12.85546875" style="605" customWidth="1"/>
    <col min="2059" max="2059" width="15" style="605" bestFit="1" customWidth="1"/>
    <col min="2060" max="2060" width="15.28515625" style="605" bestFit="1" customWidth="1"/>
    <col min="2061" max="2061" width="13.85546875" style="605" bestFit="1" customWidth="1"/>
    <col min="2062" max="2064" width="7.7109375" style="605" customWidth="1"/>
    <col min="2065" max="2065" width="8.85546875" style="605" customWidth="1"/>
    <col min="2066" max="2069" width="7.7109375" style="605" customWidth="1"/>
    <col min="2070" max="2070" width="8.85546875" style="605" customWidth="1"/>
    <col min="2071" max="2073" width="7.7109375" style="605" customWidth="1"/>
    <col min="2074" max="2074" width="9.5703125" style="605" customWidth="1"/>
    <col min="2075" max="2075" width="8.85546875" style="605" customWidth="1"/>
    <col min="2076" max="2079" width="7.7109375" style="605" customWidth="1"/>
    <col min="2080" max="2080" width="9" style="605" bestFit="1" customWidth="1"/>
    <col min="2081" max="2309" width="16.5703125" style="605"/>
    <col min="2310" max="2310" width="3.7109375" style="605" customWidth="1"/>
    <col min="2311" max="2311" width="20.7109375" style="605" bestFit="1" customWidth="1"/>
    <col min="2312" max="2312" width="27.5703125" style="605" bestFit="1" customWidth="1"/>
    <col min="2313" max="2313" width="13" style="605" bestFit="1" customWidth="1"/>
    <col min="2314" max="2314" width="12.85546875" style="605" customWidth="1"/>
    <col min="2315" max="2315" width="15" style="605" bestFit="1" customWidth="1"/>
    <col min="2316" max="2316" width="15.28515625" style="605" bestFit="1" customWidth="1"/>
    <col min="2317" max="2317" width="13.85546875" style="605" bestFit="1" customWidth="1"/>
    <col min="2318" max="2320" width="7.7109375" style="605" customWidth="1"/>
    <col min="2321" max="2321" width="8.85546875" style="605" customWidth="1"/>
    <col min="2322" max="2325" width="7.7109375" style="605" customWidth="1"/>
    <col min="2326" max="2326" width="8.85546875" style="605" customWidth="1"/>
    <col min="2327" max="2329" width="7.7109375" style="605" customWidth="1"/>
    <col min="2330" max="2330" width="9.5703125" style="605" customWidth="1"/>
    <col min="2331" max="2331" width="8.85546875" style="605" customWidth="1"/>
    <col min="2332" max="2335" width="7.7109375" style="605" customWidth="1"/>
    <col min="2336" max="2336" width="9" style="605" bestFit="1" customWidth="1"/>
    <col min="2337" max="2565" width="16.5703125" style="605"/>
    <col min="2566" max="2566" width="3.7109375" style="605" customWidth="1"/>
    <col min="2567" max="2567" width="20.7109375" style="605" bestFit="1" customWidth="1"/>
    <col min="2568" max="2568" width="27.5703125" style="605" bestFit="1" customWidth="1"/>
    <col min="2569" max="2569" width="13" style="605" bestFit="1" customWidth="1"/>
    <col min="2570" max="2570" width="12.85546875" style="605" customWidth="1"/>
    <col min="2571" max="2571" width="15" style="605" bestFit="1" customWidth="1"/>
    <col min="2572" max="2572" width="15.28515625" style="605" bestFit="1" customWidth="1"/>
    <col min="2573" max="2573" width="13.85546875" style="605" bestFit="1" customWidth="1"/>
    <col min="2574" max="2576" width="7.7109375" style="605" customWidth="1"/>
    <col min="2577" max="2577" width="8.85546875" style="605" customWidth="1"/>
    <col min="2578" max="2581" width="7.7109375" style="605" customWidth="1"/>
    <col min="2582" max="2582" width="8.85546875" style="605" customWidth="1"/>
    <col min="2583" max="2585" width="7.7109375" style="605" customWidth="1"/>
    <col min="2586" max="2586" width="9.5703125" style="605" customWidth="1"/>
    <col min="2587" max="2587" width="8.85546875" style="605" customWidth="1"/>
    <col min="2588" max="2591" width="7.7109375" style="605" customWidth="1"/>
    <col min="2592" max="2592" width="9" style="605" bestFit="1" customWidth="1"/>
    <col min="2593" max="2821" width="16.5703125" style="605"/>
    <col min="2822" max="2822" width="3.7109375" style="605" customWidth="1"/>
    <col min="2823" max="2823" width="20.7109375" style="605" bestFit="1" customWidth="1"/>
    <col min="2824" max="2824" width="27.5703125" style="605" bestFit="1" customWidth="1"/>
    <col min="2825" max="2825" width="13" style="605" bestFit="1" customWidth="1"/>
    <col min="2826" max="2826" width="12.85546875" style="605" customWidth="1"/>
    <col min="2827" max="2827" width="15" style="605" bestFit="1" customWidth="1"/>
    <col min="2828" max="2828" width="15.28515625" style="605" bestFit="1" customWidth="1"/>
    <col min="2829" max="2829" width="13.85546875" style="605" bestFit="1" customWidth="1"/>
    <col min="2830" max="2832" width="7.7109375" style="605" customWidth="1"/>
    <col min="2833" max="2833" width="8.85546875" style="605" customWidth="1"/>
    <col min="2834" max="2837" width="7.7109375" style="605" customWidth="1"/>
    <col min="2838" max="2838" width="8.85546875" style="605" customWidth="1"/>
    <col min="2839" max="2841" width="7.7109375" style="605" customWidth="1"/>
    <col min="2842" max="2842" width="9.5703125" style="605" customWidth="1"/>
    <col min="2843" max="2843" width="8.85546875" style="605" customWidth="1"/>
    <col min="2844" max="2847" width="7.7109375" style="605" customWidth="1"/>
    <col min="2848" max="2848" width="9" style="605" bestFit="1" customWidth="1"/>
    <col min="2849" max="3077" width="16.5703125" style="605"/>
    <col min="3078" max="3078" width="3.7109375" style="605" customWidth="1"/>
    <col min="3079" max="3079" width="20.7109375" style="605" bestFit="1" customWidth="1"/>
    <col min="3080" max="3080" width="27.5703125" style="605" bestFit="1" customWidth="1"/>
    <col min="3081" max="3081" width="13" style="605" bestFit="1" customWidth="1"/>
    <col min="3082" max="3082" width="12.85546875" style="605" customWidth="1"/>
    <col min="3083" max="3083" width="15" style="605" bestFit="1" customWidth="1"/>
    <col min="3084" max="3084" width="15.28515625" style="605" bestFit="1" customWidth="1"/>
    <col min="3085" max="3085" width="13.85546875" style="605" bestFit="1" customWidth="1"/>
    <col min="3086" max="3088" width="7.7109375" style="605" customWidth="1"/>
    <col min="3089" max="3089" width="8.85546875" style="605" customWidth="1"/>
    <col min="3090" max="3093" width="7.7109375" style="605" customWidth="1"/>
    <col min="3094" max="3094" width="8.85546875" style="605" customWidth="1"/>
    <col min="3095" max="3097" width="7.7109375" style="605" customWidth="1"/>
    <col min="3098" max="3098" width="9.5703125" style="605" customWidth="1"/>
    <col min="3099" max="3099" width="8.85546875" style="605" customWidth="1"/>
    <col min="3100" max="3103" width="7.7109375" style="605" customWidth="1"/>
    <col min="3104" max="3104" width="9" style="605" bestFit="1" customWidth="1"/>
    <col min="3105" max="3333" width="16.5703125" style="605"/>
    <col min="3334" max="3334" width="3.7109375" style="605" customWidth="1"/>
    <col min="3335" max="3335" width="20.7109375" style="605" bestFit="1" customWidth="1"/>
    <col min="3336" max="3336" width="27.5703125" style="605" bestFit="1" customWidth="1"/>
    <col min="3337" max="3337" width="13" style="605" bestFit="1" customWidth="1"/>
    <col min="3338" max="3338" width="12.85546875" style="605" customWidth="1"/>
    <col min="3339" max="3339" width="15" style="605" bestFit="1" customWidth="1"/>
    <col min="3340" max="3340" width="15.28515625" style="605" bestFit="1" customWidth="1"/>
    <col min="3341" max="3341" width="13.85546875" style="605" bestFit="1" customWidth="1"/>
    <col min="3342" max="3344" width="7.7109375" style="605" customWidth="1"/>
    <col min="3345" max="3345" width="8.85546875" style="605" customWidth="1"/>
    <col min="3346" max="3349" width="7.7109375" style="605" customWidth="1"/>
    <col min="3350" max="3350" width="8.85546875" style="605" customWidth="1"/>
    <col min="3351" max="3353" width="7.7109375" style="605" customWidth="1"/>
    <col min="3354" max="3354" width="9.5703125" style="605" customWidth="1"/>
    <col min="3355" max="3355" width="8.85546875" style="605" customWidth="1"/>
    <col min="3356" max="3359" width="7.7109375" style="605" customWidth="1"/>
    <col min="3360" max="3360" width="9" style="605" bestFit="1" customWidth="1"/>
    <col min="3361" max="3589" width="16.5703125" style="605"/>
    <col min="3590" max="3590" width="3.7109375" style="605" customWidth="1"/>
    <col min="3591" max="3591" width="20.7109375" style="605" bestFit="1" customWidth="1"/>
    <col min="3592" max="3592" width="27.5703125" style="605" bestFit="1" customWidth="1"/>
    <col min="3593" max="3593" width="13" style="605" bestFit="1" customWidth="1"/>
    <col min="3594" max="3594" width="12.85546875" style="605" customWidth="1"/>
    <col min="3595" max="3595" width="15" style="605" bestFit="1" customWidth="1"/>
    <col min="3596" max="3596" width="15.28515625" style="605" bestFit="1" customWidth="1"/>
    <col min="3597" max="3597" width="13.85546875" style="605" bestFit="1" customWidth="1"/>
    <col min="3598" max="3600" width="7.7109375" style="605" customWidth="1"/>
    <col min="3601" max="3601" width="8.85546875" style="605" customWidth="1"/>
    <col min="3602" max="3605" width="7.7109375" style="605" customWidth="1"/>
    <col min="3606" max="3606" width="8.85546875" style="605" customWidth="1"/>
    <col min="3607" max="3609" width="7.7109375" style="605" customWidth="1"/>
    <col min="3610" max="3610" width="9.5703125" style="605" customWidth="1"/>
    <col min="3611" max="3611" width="8.85546875" style="605" customWidth="1"/>
    <col min="3612" max="3615" width="7.7109375" style="605" customWidth="1"/>
    <col min="3616" max="3616" width="9" style="605" bestFit="1" customWidth="1"/>
    <col min="3617" max="3845" width="16.5703125" style="605"/>
    <col min="3846" max="3846" width="3.7109375" style="605" customWidth="1"/>
    <col min="3847" max="3847" width="20.7109375" style="605" bestFit="1" customWidth="1"/>
    <col min="3848" max="3848" width="27.5703125" style="605" bestFit="1" customWidth="1"/>
    <col min="3849" max="3849" width="13" style="605" bestFit="1" customWidth="1"/>
    <col min="3850" max="3850" width="12.85546875" style="605" customWidth="1"/>
    <col min="3851" max="3851" width="15" style="605" bestFit="1" customWidth="1"/>
    <col min="3852" max="3852" width="15.28515625" style="605" bestFit="1" customWidth="1"/>
    <col min="3853" max="3853" width="13.85546875" style="605" bestFit="1" customWidth="1"/>
    <col min="3854" max="3856" width="7.7109375" style="605" customWidth="1"/>
    <col min="3857" max="3857" width="8.85546875" style="605" customWidth="1"/>
    <col min="3858" max="3861" width="7.7109375" style="605" customWidth="1"/>
    <col min="3862" max="3862" width="8.85546875" style="605" customWidth="1"/>
    <col min="3863" max="3865" width="7.7109375" style="605" customWidth="1"/>
    <col min="3866" max="3866" width="9.5703125" style="605" customWidth="1"/>
    <col min="3867" max="3867" width="8.85546875" style="605" customWidth="1"/>
    <col min="3868" max="3871" width="7.7109375" style="605" customWidth="1"/>
    <col min="3872" max="3872" width="9" style="605" bestFit="1" customWidth="1"/>
    <col min="3873" max="4101" width="16.5703125" style="605"/>
    <col min="4102" max="4102" width="3.7109375" style="605" customWidth="1"/>
    <col min="4103" max="4103" width="20.7109375" style="605" bestFit="1" customWidth="1"/>
    <col min="4104" max="4104" width="27.5703125" style="605" bestFit="1" customWidth="1"/>
    <col min="4105" max="4105" width="13" style="605" bestFit="1" customWidth="1"/>
    <col min="4106" max="4106" width="12.85546875" style="605" customWidth="1"/>
    <col min="4107" max="4107" width="15" style="605" bestFit="1" customWidth="1"/>
    <col min="4108" max="4108" width="15.28515625" style="605" bestFit="1" customWidth="1"/>
    <col min="4109" max="4109" width="13.85546875" style="605" bestFit="1" customWidth="1"/>
    <col min="4110" max="4112" width="7.7109375" style="605" customWidth="1"/>
    <col min="4113" max="4113" width="8.85546875" style="605" customWidth="1"/>
    <col min="4114" max="4117" width="7.7109375" style="605" customWidth="1"/>
    <col min="4118" max="4118" width="8.85546875" style="605" customWidth="1"/>
    <col min="4119" max="4121" width="7.7109375" style="605" customWidth="1"/>
    <col min="4122" max="4122" width="9.5703125" style="605" customWidth="1"/>
    <col min="4123" max="4123" width="8.85546875" style="605" customWidth="1"/>
    <col min="4124" max="4127" width="7.7109375" style="605" customWidth="1"/>
    <col min="4128" max="4128" width="9" style="605" bestFit="1" customWidth="1"/>
    <col min="4129" max="4357" width="16.5703125" style="605"/>
    <col min="4358" max="4358" width="3.7109375" style="605" customWidth="1"/>
    <col min="4359" max="4359" width="20.7109375" style="605" bestFit="1" customWidth="1"/>
    <col min="4360" max="4360" width="27.5703125" style="605" bestFit="1" customWidth="1"/>
    <col min="4361" max="4361" width="13" style="605" bestFit="1" customWidth="1"/>
    <col min="4362" max="4362" width="12.85546875" style="605" customWidth="1"/>
    <col min="4363" max="4363" width="15" style="605" bestFit="1" customWidth="1"/>
    <col min="4364" max="4364" width="15.28515625" style="605" bestFit="1" customWidth="1"/>
    <col min="4365" max="4365" width="13.85546875" style="605" bestFit="1" customWidth="1"/>
    <col min="4366" max="4368" width="7.7109375" style="605" customWidth="1"/>
    <col min="4369" max="4369" width="8.85546875" style="605" customWidth="1"/>
    <col min="4370" max="4373" width="7.7109375" style="605" customWidth="1"/>
    <col min="4374" max="4374" width="8.85546875" style="605" customWidth="1"/>
    <col min="4375" max="4377" width="7.7109375" style="605" customWidth="1"/>
    <col min="4378" max="4378" width="9.5703125" style="605" customWidth="1"/>
    <col min="4379" max="4379" width="8.85546875" style="605" customWidth="1"/>
    <col min="4380" max="4383" width="7.7109375" style="605" customWidth="1"/>
    <col min="4384" max="4384" width="9" style="605" bestFit="1" customWidth="1"/>
    <col min="4385" max="4613" width="16.5703125" style="605"/>
    <col min="4614" max="4614" width="3.7109375" style="605" customWidth="1"/>
    <col min="4615" max="4615" width="20.7109375" style="605" bestFit="1" customWidth="1"/>
    <col min="4616" max="4616" width="27.5703125" style="605" bestFit="1" customWidth="1"/>
    <col min="4617" max="4617" width="13" style="605" bestFit="1" customWidth="1"/>
    <col min="4618" max="4618" width="12.85546875" style="605" customWidth="1"/>
    <col min="4619" max="4619" width="15" style="605" bestFit="1" customWidth="1"/>
    <col min="4620" max="4620" width="15.28515625" style="605" bestFit="1" customWidth="1"/>
    <col min="4621" max="4621" width="13.85546875" style="605" bestFit="1" customWidth="1"/>
    <col min="4622" max="4624" width="7.7109375" style="605" customWidth="1"/>
    <col min="4625" max="4625" width="8.85546875" style="605" customWidth="1"/>
    <col min="4626" max="4629" width="7.7109375" style="605" customWidth="1"/>
    <col min="4630" max="4630" width="8.85546875" style="605" customWidth="1"/>
    <col min="4631" max="4633" width="7.7109375" style="605" customWidth="1"/>
    <col min="4634" max="4634" width="9.5703125" style="605" customWidth="1"/>
    <col min="4635" max="4635" width="8.85546875" style="605" customWidth="1"/>
    <col min="4636" max="4639" width="7.7109375" style="605" customWidth="1"/>
    <col min="4640" max="4640" width="9" style="605" bestFit="1" customWidth="1"/>
    <col min="4641" max="4869" width="16.5703125" style="605"/>
    <col min="4870" max="4870" width="3.7109375" style="605" customWidth="1"/>
    <col min="4871" max="4871" width="20.7109375" style="605" bestFit="1" customWidth="1"/>
    <col min="4872" max="4872" width="27.5703125" style="605" bestFit="1" customWidth="1"/>
    <col min="4873" max="4873" width="13" style="605" bestFit="1" customWidth="1"/>
    <col min="4874" max="4874" width="12.85546875" style="605" customWidth="1"/>
    <col min="4875" max="4875" width="15" style="605" bestFit="1" customWidth="1"/>
    <col min="4876" max="4876" width="15.28515625" style="605" bestFit="1" customWidth="1"/>
    <col min="4877" max="4877" width="13.85546875" style="605" bestFit="1" customWidth="1"/>
    <col min="4878" max="4880" width="7.7109375" style="605" customWidth="1"/>
    <col min="4881" max="4881" width="8.85546875" style="605" customWidth="1"/>
    <col min="4882" max="4885" width="7.7109375" style="605" customWidth="1"/>
    <col min="4886" max="4886" width="8.85546875" style="605" customWidth="1"/>
    <col min="4887" max="4889" width="7.7109375" style="605" customWidth="1"/>
    <col min="4890" max="4890" width="9.5703125" style="605" customWidth="1"/>
    <col min="4891" max="4891" width="8.85546875" style="605" customWidth="1"/>
    <col min="4892" max="4895" width="7.7109375" style="605" customWidth="1"/>
    <col min="4896" max="4896" width="9" style="605" bestFit="1" customWidth="1"/>
    <col min="4897" max="5125" width="16.5703125" style="605"/>
    <col min="5126" max="5126" width="3.7109375" style="605" customWidth="1"/>
    <col min="5127" max="5127" width="20.7109375" style="605" bestFit="1" customWidth="1"/>
    <col min="5128" max="5128" width="27.5703125" style="605" bestFit="1" customWidth="1"/>
    <col min="5129" max="5129" width="13" style="605" bestFit="1" customWidth="1"/>
    <col min="5130" max="5130" width="12.85546875" style="605" customWidth="1"/>
    <col min="5131" max="5131" width="15" style="605" bestFit="1" customWidth="1"/>
    <col min="5132" max="5132" width="15.28515625" style="605" bestFit="1" customWidth="1"/>
    <col min="5133" max="5133" width="13.85546875" style="605" bestFit="1" customWidth="1"/>
    <col min="5134" max="5136" width="7.7109375" style="605" customWidth="1"/>
    <col min="5137" max="5137" width="8.85546875" style="605" customWidth="1"/>
    <col min="5138" max="5141" width="7.7109375" style="605" customWidth="1"/>
    <col min="5142" max="5142" width="8.85546875" style="605" customWidth="1"/>
    <col min="5143" max="5145" width="7.7109375" style="605" customWidth="1"/>
    <col min="5146" max="5146" width="9.5703125" style="605" customWidth="1"/>
    <col min="5147" max="5147" width="8.85546875" style="605" customWidth="1"/>
    <col min="5148" max="5151" width="7.7109375" style="605" customWidth="1"/>
    <col min="5152" max="5152" width="9" style="605" bestFit="1" customWidth="1"/>
    <col min="5153" max="5381" width="16.5703125" style="605"/>
    <col min="5382" max="5382" width="3.7109375" style="605" customWidth="1"/>
    <col min="5383" max="5383" width="20.7109375" style="605" bestFit="1" customWidth="1"/>
    <col min="5384" max="5384" width="27.5703125" style="605" bestFit="1" customWidth="1"/>
    <col min="5385" max="5385" width="13" style="605" bestFit="1" customWidth="1"/>
    <col min="5386" max="5386" width="12.85546875" style="605" customWidth="1"/>
    <col min="5387" max="5387" width="15" style="605" bestFit="1" customWidth="1"/>
    <col min="5388" max="5388" width="15.28515625" style="605" bestFit="1" customWidth="1"/>
    <col min="5389" max="5389" width="13.85546875" style="605" bestFit="1" customWidth="1"/>
    <col min="5390" max="5392" width="7.7109375" style="605" customWidth="1"/>
    <col min="5393" max="5393" width="8.85546875" style="605" customWidth="1"/>
    <col min="5394" max="5397" width="7.7109375" style="605" customWidth="1"/>
    <col min="5398" max="5398" width="8.85546875" style="605" customWidth="1"/>
    <col min="5399" max="5401" width="7.7109375" style="605" customWidth="1"/>
    <col min="5402" max="5402" width="9.5703125" style="605" customWidth="1"/>
    <col min="5403" max="5403" width="8.85546875" style="605" customWidth="1"/>
    <col min="5404" max="5407" width="7.7109375" style="605" customWidth="1"/>
    <col min="5408" max="5408" width="9" style="605" bestFit="1" customWidth="1"/>
    <col min="5409" max="5637" width="16.5703125" style="605"/>
    <col min="5638" max="5638" width="3.7109375" style="605" customWidth="1"/>
    <col min="5639" max="5639" width="20.7109375" style="605" bestFit="1" customWidth="1"/>
    <col min="5640" max="5640" width="27.5703125" style="605" bestFit="1" customWidth="1"/>
    <col min="5641" max="5641" width="13" style="605" bestFit="1" customWidth="1"/>
    <col min="5642" max="5642" width="12.85546875" style="605" customWidth="1"/>
    <col min="5643" max="5643" width="15" style="605" bestFit="1" customWidth="1"/>
    <col min="5644" max="5644" width="15.28515625" style="605" bestFit="1" customWidth="1"/>
    <col min="5645" max="5645" width="13.85546875" style="605" bestFit="1" customWidth="1"/>
    <col min="5646" max="5648" width="7.7109375" style="605" customWidth="1"/>
    <col min="5649" max="5649" width="8.85546875" style="605" customWidth="1"/>
    <col min="5650" max="5653" width="7.7109375" style="605" customWidth="1"/>
    <col min="5654" max="5654" width="8.85546875" style="605" customWidth="1"/>
    <col min="5655" max="5657" width="7.7109375" style="605" customWidth="1"/>
    <col min="5658" max="5658" width="9.5703125" style="605" customWidth="1"/>
    <col min="5659" max="5659" width="8.85546875" style="605" customWidth="1"/>
    <col min="5660" max="5663" width="7.7109375" style="605" customWidth="1"/>
    <col min="5664" max="5664" width="9" style="605" bestFit="1" customWidth="1"/>
    <col min="5665" max="5893" width="16.5703125" style="605"/>
    <col min="5894" max="5894" width="3.7109375" style="605" customWidth="1"/>
    <col min="5895" max="5895" width="20.7109375" style="605" bestFit="1" customWidth="1"/>
    <col min="5896" max="5896" width="27.5703125" style="605" bestFit="1" customWidth="1"/>
    <col min="5897" max="5897" width="13" style="605" bestFit="1" customWidth="1"/>
    <col min="5898" max="5898" width="12.85546875" style="605" customWidth="1"/>
    <col min="5899" max="5899" width="15" style="605" bestFit="1" customWidth="1"/>
    <col min="5900" max="5900" width="15.28515625" style="605" bestFit="1" customWidth="1"/>
    <col min="5901" max="5901" width="13.85546875" style="605" bestFit="1" customWidth="1"/>
    <col min="5902" max="5904" width="7.7109375" style="605" customWidth="1"/>
    <col min="5905" max="5905" width="8.85546875" style="605" customWidth="1"/>
    <col min="5906" max="5909" width="7.7109375" style="605" customWidth="1"/>
    <col min="5910" max="5910" width="8.85546875" style="605" customWidth="1"/>
    <col min="5911" max="5913" width="7.7109375" style="605" customWidth="1"/>
    <col min="5914" max="5914" width="9.5703125" style="605" customWidth="1"/>
    <col min="5915" max="5915" width="8.85546875" style="605" customWidth="1"/>
    <col min="5916" max="5919" width="7.7109375" style="605" customWidth="1"/>
    <col min="5920" max="5920" width="9" style="605" bestFit="1" customWidth="1"/>
    <col min="5921" max="6149" width="16.5703125" style="605"/>
    <col min="6150" max="6150" width="3.7109375" style="605" customWidth="1"/>
    <col min="6151" max="6151" width="20.7109375" style="605" bestFit="1" customWidth="1"/>
    <col min="6152" max="6152" width="27.5703125" style="605" bestFit="1" customWidth="1"/>
    <col min="6153" max="6153" width="13" style="605" bestFit="1" customWidth="1"/>
    <col min="6154" max="6154" width="12.85546875" style="605" customWidth="1"/>
    <col min="6155" max="6155" width="15" style="605" bestFit="1" customWidth="1"/>
    <col min="6156" max="6156" width="15.28515625" style="605" bestFit="1" customWidth="1"/>
    <col min="6157" max="6157" width="13.85546875" style="605" bestFit="1" customWidth="1"/>
    <col min="6158" max="6160" width="7.7109375" style="605" customWidth="1"/>
    <col min="6161" max="6161" width="8.85546875" style="605" customWidth="1"/>
    <col min="6162" max="6165" width="7.7109375" style="605" customWidth="1"/>
    <col min="6166" max="6166" width="8.85546875" style="605" customWidth="1"/>
    <col min="6167" max="6169" width="7.7109375" style="605" customWidth="1"/>
    <col min="6170" max="6170" width="9.5703125" style="605" customWidth="1"/>
    <col min="6171" max="6171" width="8.85546875" style="605" customWidth="1"/>
    <col min="6172" max="6175" width="7.7109375" style="605" customWidth="1"/>
    <col min="6176" max="6176" width="9" style="605" bestFit="1" customWidth="1"/>
    <col min="6177" max="6405" width="16.5703125" style="605"/>
    <col min="6406" max="6406" width="3.7109375" style="605" customWidth="1"/>
    <col min="6407" max="6407" width="20.7109375" style="605" bestFit="1" customWidth="1"/>
    <col min="6408" max="6408" width="27.5703125" style="605" bestFit="1" customWidth="1"/>
    <col min="6409" max="6409" width="13" style="605" bestFit="1" customWidth="1"/>
    <col min="6410" max="6410" width="12.85546875" style="605" customWidth="1"/>
    <col min="6411" max="6411" width="15" style="605" bestFit="1" customWidth="1"/>
    <col min="6412" max="6412" width="15.28515625" style="605" bestFit="1" customWidth="1"/>
    <col min="6413" max="6413" width="13.85546875" style="605" bestFit="1" customWidth="1"/>
    <col min="6414" max="6416" width="7.7109375" style="605" customWidth="1"/>
    <col min="6417" max="6417" width="8.85546875" style="605" customWidth="1"/>
    <col min="6418" max="6421" width="7.7109375" style="605" customWidth="1"/>
    <col min="6422" max="6422" width="8.85546875" style="605" customWidth="1"/>
    <col min="6423" max="6425" width="7.7109375" style="605" customWidth="1"/>
    <col min="6426" max="6426" width="9.5703125" style="605" customWidth="1"/>
    <col min="6427" max="6427" width="8.85546875" style="605" customWidth="1"/>
    <col min="6428" max="6431" width="7.7109375" style="605" customWidth="1"/>
    <col min="6432" max="6432" width="9" style="605" bestFit="1" customWidth="1"/>
    <col min="6433" max="6661" width="16.5703125" style="605"/>
    <col min="6662" max="6662" width="3.7109375" style="605" customWidth="1"/>
    <col min="6663" max="6663" width="20.7109375" style="605" bestFit="1" customWidth="1"/>
    <col min="6664" max="6664" width="27.5703125" style="605" bestFit="1" customWidth="1"/>
    <col min="6665" max="6665" width="13" style="605" bestFit="1" customWidth="1"/>
    <col min="6666" max="6666" width="12.85546875" style="605" customWidth="1"/>
    <col min="6667" max="6667" width="15" style="605" bestFit="1" customWidth="1"/>
    <col min="6668" max="6668" width="15.28515625" style="605" bestFit="1" customWidth="1"/>
    <col min="6669" max="6669" width="13.85546875" style="605" bestFit="1" customWidth="1"/>
    <col min="6670" max="6672" width="7.7109375" style="605" customWidth="1"/>
    <col min="6673" max="6673" width="8.85546875" style="605" customWidth="1"/>
    <col min="6674" max="6677" width="7.7109375" style="605" customWidth="1"/>
    <col min="6678" max="6678" width="8.85546875" style="605" customWidth="1"/>
    <col min="6679" max="6681" width="7.7109375" style="605" customWidth="1"/>
    <col min="6682" max="6682" width="9.5703125" style="605" customWidth="1"/>
    <col min="6683" max="6683" width="8.85546875" style="605" customWidth="1"/>
    <col min="6684" max="6687" width="7.7109375" style="605" customWidth="1"/>
    <col min="6688" max="6688" width="9" style="605" bestFit="1" customWidth="1"/>
    <col min="6689" max="6917" width="16.5703125" style="605"/>
    <col min="6918" max="6918" width="3.7109375" style="605" customWidth="1"/>
    <col min="6919" max="6919" width="20.7109375" style="605" bestFit="1" customWidth="1"/>
    <col min="6920" max="6920" width="27.5703125" style="605" bestFit="1" customWidth="1"/>
    <col min="6921" max="6921" width="13" style="605" bestFit="1" customWidth="1"/>
    <col min="6922" max="6922" width="12.85546875" style="605" customWidth="1"/>
    <col min="6923" max="6923" width="15" style="605" bestFit="1" customWidth="1"/>
    <col min="6924" max="6924" width="15.28515625" style="605" bestFit="1" customWidth="1"/>
    <col min="6925" max="6925" width="13.85546875" style="605" bestFit="1" customWidth="1"/>
    <col min="6926" max="6928" width="7.7109375" style="605" customWidth="1"/>
    <col min="6929" max="6929" width="8.85546875" style="605" customWidth="1"/>
    <col min="6930" max="6933" width="7.7109375" style="605" customWidth="1"/>
    <col min="6934" max="6934" width="8.85546875" style="605" customWidth="1"/>
    <col min="6935" max="6937" width="7.7109375" style="605" customWidth="1"/>
    <col min="6938" max="6938" width="9.5703125" style="605" customWidth="1"/>
    <col min="6939" max="6939" width="8.85546875" style="605" customWidth="1"/>
    <col min="6940" max="6943" width="7.7109375" style="605" customWidth="1"/>
    <col min="6944" max="6944" width="9" style="605" bestFit="1" customWidth="1"/>
    <col min="6945" max="7173" width="16.5703125" style="605"/>
    <col min="7174" max="7174" width="3.7109375" style="605" customWidth="1"/>
    <col min="7175" max="7175" width="20.7109375" style="605" bestFit="1" customWidth="1"/>
    <col min="7176" max="7176" width="27.5703125" style="605" bestFit="1" customWidth="1"/>
    <col min="7177" max="7177" width="13" style="605" bestFit="1" customWidth="1"/>
    <col min="7178" max="7178" width="12.85546875" style="605" customWidth="1"/>
    <col min="7179" max="7179" width="15" style="605" bestFit="1" customWidth="1"/>
    <col min="7180" max="7180" width="15.28515625" style="605" bestFit="1" customWidth="1"/>
    <col min="7181" max="7181" width="13.85546875" style="605" bestFit="1" customWidth="1"/>
    <col min="7182" max="7184" width="7.7109375" style="605" customWidth="1"/>
    <col min="7185" max="7185" width="8.85546875" style="605" customWidth="1"/>
    <col min="7186" max="7189" width="7.7109375" style="605" customWidth="1"/>
    <col min="7190" max="7190" width="8.85546875" style="605" customWidth="1"/>
    <col min="7191" max="7193" width="7.7109375" style="605" customWidth="1"/>
    <col min="7194" max="7194" width="9.5703125" style="605" customWidth="1"/>
    <col min="7195" max="7195" width="8.85546875" style="605" customWidth="1"/>
    <col min="7196" max="7199" width="7.7109375" style="605" customWidth="1"/>
    <col min="7200" max="7200" width="9" style="605" bestFit="1" customWidth="1"/>
    <col min="7201" max="7429" width="16.5703125" style="605"/>
    <col min="7430" max="7430" width="3.7109375" style="605" customWidth="1"/>
    <col min="7431" max="7431" width="20.7109375" style="605" bestFit="1" customWidth="1"/>
    <col min="7432" max="7432" width="27.5703125" style="605" bestFit="1" customWidth="1"/>
    <col min="7433" max="7433" width="13" style="605" bestFit="1" customWidth="1"/>
    <col min="7434" max="7434" width="12.85546875" style="605" customWidth="1"/>
    <col min="7435" max="7435" width="15" style="605" bestFit="1" customWidth="1"/>
    <col min="7436" max="7436" width="15.28515625" style="605" bestFit="1" customWidth="1"/>
    <col min="7437" max="7437" width="13.85546875" style="605" bestFit="1" customWidth="1"/>
    <col min="7438" max="7440" width="7.7109375" style="605" customWidth="1"/>
    <col min="7441" max="7441" width="8.85546875" style="605" customWidth="1"/>
    <col min="7442" max="7445" width="7.7109375" style="605" customWidth="1"/>
    <col min="7446" max="7446" width="8.85546875" style="605" customWidth="1"/>
    <col min="7447" max="7449" width="7.7109375" style="605" customWidth="1"/>
    <col min="7450" max="7450" width="9.5703125" style="605" customWidth="1"/>
    <col min="7451" max="7451" width="8.85546875" style="605" customWidth="1"/>
    <col min="7452" max="7455" width="7.7109375" style="605" customWidth="1"/>
    <col min="7456" max="7456" width="9" style="605" bestFit="1" customWidth="1"/>
    <col min="7457" max="7685" width="16.5703125" style="605"/>
    <col min="7686" max="7686" width="3.7109375" style="605" customWidth="1"/>
    <col min="7687" max="7687" width="20.7109375" style="605" bestFit="1" customWidth="1"/>
    <col min="7688" max="7688" width="27.5703125" style="605" bestFit="1" customWidth="1"/>
    <col min="7689" max="7689" width="13" style="605" bestFit="1" customWidth="1"/>
    <col min="7690" max="7690" width="12.85546875" style="605" customWidth="1"/>
    <col min="7691" max="7691" width="15" style="605" bestFit="1" customWidth="1"/>
    <col min="7692" max="7692" width="15.28515625" style="605" bestFit="1" customWidth="1"/>
    <col min="7693" max="7693" width="13.85546875" style="605" bestFit="1" customWidth="1"/>
    <col min="7694" max="7696" width="7.7109375" style="605" customWidth="1"/>
    <col min="7697" max="7697" width="8.85546875" style="605" customWidth="1"/>
    <col min="7698" max="7701" width="7.7109375" style="605" customWidth="1"/>
    <col min="7702" max="7702" width="8.85546875" style="605" customWidth="1"/>
    <col min="7703" max="7705" width="7.7109375" style="605" customWidth="1"/>
    <col min="7706" max="7706" width="9.5703125" style="605" customWidth="1"/>
    <col min="7707" max="7707" width="8.85546875" style="605" customWidth="1"/>
    <col min="7708" max="7711" width="7.7109375" style="605" customWidth="1"/>
    <col min="7712" max="7712" width="9" style="605" bestFit="1" customWidth="1"/>
    <col min="7713" max="7941" width="16.5703125" style="605"/>
    <col min="7942" max="7942" width="3.7109375" style="605" customWidth="1"/>
    <col min="7943" max="7943" width="20.7109375" style="605" bestFit="1" customWidth="1"/>
    <col min="7944" max="7944" width="27.5703125" style="605" bestFit="1" customWidth="1"/>
    <col min="7945" max="7945" width="13" style="605" bestFit="1" customWidth="1"/>
    <col min="7946" max="7946" width="12.85546875" style="605" customWidth="1"/>
    <col min="7947" max="7947" width="15" style="605" bestFit="1" customWidth="1"/>
    <col min="7948" max="7948" width="15.28515625" style="605" bestFit="1" customWidth="1"/>
    <col min="7949" max="7949" width="13.85546875" style="605" bestFit="1" customWidth="1"/>
    <col min="7950" max="7952" width="7.7109375" style="605" customWidth="1"/>
    <col min="7953" max="7953" width="8.85546875" style="605" customWidth="1"/>
    <col min="7954" max="7957" width="7.7109375" style="605" customWidth="1"/>
    <col min="7958" max="7958" width="8.85546875" style="605" customWidth="1"/>
    <col min="7959" max="7961" width="7.7109375" style="605" customWidth="1"/>
    <col min="7962" max="7962" width="9.5703125" style="605" customWidth="1"/>
    <col min="7963" max="7963" width="8.85546875" style="605" customWidth="1"/>
    <col min="7964" max="7967" width="7.7109375" style="605" customWidth="1"/>
    <col min="7968" max="7968" width="9" style="605" bestFit="1" customWidth="1"/>
    <col min="7969" max="8197" width="16.5703125" style="605"/>
    <col min="8198" max="8198" width="3.7109375" style="605" customWidth="1"/>
    <col min="8199" max="8199" width="20.7109375" style="605" bestFit="1" customWidth="1"/>
    <col min="8200" max="8200" width="27.5703125" style="605" bestFit="1" customWidth="1"/>
    <col min="8201" max="8201" width="13" style="605" bestFit="1" customWidth="1"/>
    <col min="8202" max="8202" width="12.85546875" style="605" customWidth="1"/>
    <col min="8203" max="8203" width="15" style="605" bestFit="1" customWidth="1"/>
    <col min="8204" max="8204" width="15.28515625" style="605" bestFit="1" customWidth="1"/>
    <col min="8205" max="8205" width="13.85546875" style="605" bestFit="1" customWidth="1"/>
    <col min="8206" max="8208" width="7.7109375" style="605" customWidth="1"/>
    <col min="8209" max="8209" width="8.85546875" style="605" customWidth="1"/>
    <col min="8210" max="8213" width="7.7109375" style="605" customWidth="1"/>
    <col min="8214" max="8214" width="8.85546875" style="605" customWidth="1"/>
    <col min="8215" max="8217" width="7.7109375" style="605" customWidth="1"/>
    <col min="8218" max="8218" width="9.5703125" style="605" customWidth="1"/>
    <col min="8219" max="8219" width="8.85546875" style="605" customWidth="1"/>
    <col min="8220" max="8223" width="7.7109375" style="605" customWidth="1"/>
    <col min="8224" max="8224" width="9" style="605" bestFit="1" customWidth="1"/>
    <col min="8225" max="8453" width="16.5703125" style="605"/>
    <col min="8454" max="8454" width="3.7109375" style="605" customWidth="1"/>
    <col min="8455" max="8455" width="20.7109375" style="605" bestFit="1" customWidth="1"/>
    <col min="8456" max="8456" width="27.5703125" style="605" bestFit="1" customWidth="1"/>
    <col min="8457" max="8457" width="13" style="605" bestFit="1" customWidth="1"/>
    <col min="8458" max="8458" width="12.85546875" style="605" customWidth="1"/>
    <col min="8459" max="8459" width="15" style="605" bestFit="1" customWidth="1"/>
    <col min="8460" max="8460" width="15.28515625" style="605" bestFit="1" customWidth="1"/>
    <col min="8461" max="8461" width="13.85546875" style="605" bestFit="1" customWidth="1"/>
    <col min="8462" max="8464" width="7.7109375" style="605" customWidth="1"/>
    <col min="8465" max="8465" width="8.85546875" style="605" customWidth="1"/>
    <col min="8466" max="8469" width="7.7109375" style="605" customWidth="1"/>
    <col min="8470" max="8470" width="8.85546875" style="605" customWidth="1"/>
    <col min="8471" max="8473" width="7.7109375" style="605" customWidth="1"/>
    <col min="8474" max="8474" width="9.5703125" style="605" customWidth="1"/>
    <col min="8475" max="8475" width="8.85546875" style="605" customWidth="1"/>
    <col min="8476" max="8479" width="7.7109375" style="605" customWidth="1"/>
    <col min="8480" max="8480" width="9" style="605" bestFit="1" customWidth="1"/>
    <col min="8481" max="8709" width="16.5703125" style="605"/>
    <col min="8710" max="8710" width="3.7109375" style="605" customWidth="1"/>
    <col min="8711" max="8711" width="20.7109375" style="605" bestFit="1" customWidth="1"/>
    <col min="8712" max="8712" width="27.5703125" style="605" bestFit="1" customWidth="1"/>
    <col min="8713" max="8713" width="13" style="605" bestFit="1" customWidth="1"/>
    <col min="8714" max="8714" width="12.85546875" style="605" customWidth="1"/>
    <col min="8715" max="8715" width="15" style="605" bestFit="1" customWidth="1"/>
    <col min="8716" max="8716" width="15.28515625" style="605" bestFit="1" customWidth="1"/>
    <col min="8717" max="8717" width="13.85546875" style="605" bestFit="1" customWidth="1"/>
    <col min="8718" max="8720" width="7.7109375" style="605" customWidth="1"/>
    <col min="8721" max="8721" width="8.85546875" style="605" customWidth="1"/>
    <col min="8722" max="8725" width="7.7109375" style="605" customWidth="1"/>
    <col min="8726" max="8726" width="8.85546875" style="605" customWidth="1"/>
    <col min="8727" max="8729" width="7.7109375" style="605" customWidth="1"/>
    <col min="8730" max="8730" width="9.5703125" style="605" customWidth="1"/>
    <col min="8731" max="8731" width="8.85546875" style="605" customWidth="1"/>
    <col min="8732" max="8735" width="7.7109375" style="605" customWidth="1"/>
    <col min="8736" max="8736" width="9" style="605" bestFit="1" customWidth="1"/>
    <col min="8737" max="8965" width="16.5703125" style="605"/>
    <col min="8966" max="8966" width="3.7109375" style="605" customWidth="1"/>
    <col min="8967" max="8967" width="20.7109375" style="605" bestFit="1" customWidth="1"/>
    <col min="8968" max="8968" width="27.5703125" style="605" bestFit="1" customWidth="1"/>
    <col min="8969" max="8969" width="13" style="605" bestFit="1" customWidth="1"/>
    <col min="8970" max="8970" width="12.85546875" style="605" customWidth="1"/>
    <col min="8971" max="8971" width="15" style="605" bestFit="1" customWidth="1"/>
    <col min="8972" max="8972" width="15.28515625" style="605" bestFit="1" customWidth="1"/>
    <col min="8973" max="8973" width="13.85546875" style="605" bestFit="1" customWidth="1"/>
    <col min="8974" max="8976" width="7.7109375" style="605" customWidth="1"/>
    <col min="8977" max="8977" width="8.85546875" style="605" customWidth="1"/>
    <col min="8978" max="8981" width="7.7109375" style="605" customWidth="1"/>
    <col min="8982" max="8982" width="8.85546875" style="605" customWidth="1"/>
    <col min="8983" max="8985" width="7.7109375" style="605" customWidth="1"/>
    <col min="8986" max="8986" width="9.5703125" style="605" customWidth="1"/>
    <col min="8987" max="8987" width="8.85546875" style="605" customWidth="1"/>
    <col min="8988" max="8991" width="7.7109375" style="605" customWidth="1"/>
    <col min="8992" max="8992" width="9" style="605" bestFit="1" customWidth="1"/>
    <col min="8993" max="9221" width="16.5703125" style="605"/>
    <col min="9222" max="9222" width="3.7109375" style="605" customWidth="1"/>
    <col min="9223" max="9223" width="20.7109375" style="605" bestFit="1" customWidth="1"/>
    <col min="9224" max="9224" width="27.5703125" style="605" bestFit="1" customWidth="1"/>
    <col min="9225" max="9225" width="13" style="605" bestFit="1" customWidth="1"/>
    <col min="9226" max="9226" width="12.85546875" style="605" customWidth="1"/>
    <col min="9227" max="9227" width="15" style="605" bestFit="1" customWidth="1"/>
    <col min="9228" max="9228" width="15.28515625" style="605" bestFit="1" customWidth="1"/>
    <col min="9229" max="9229" width="13.85546875" style="605" bestFit="1" customWidth="1"/>
    <col min="9230" max="9232" width="7.7109375" style="605" customWidth="1"/>
    <col min="9233" max="9233" width="8.85546875" style="605" customWidth="1"/>
    <col min="9234" max="9237" width="7.7109375" style="605" customWidth="1"/>
    <col min="9238" max="9238" width="8.85546875" style="605" customWidth="1"/>
    <col min="9239" max="9241" width="7.7109375" style="605" customWidth="1"/>
    <col min="9242" max="9242" width="9.5703125" style="605" customWidth="1"/>
    <col min="9243" max="9243" width="8.85546875" style="605" customWidth="1"/>
    <col min="9244" max="9247" width="7.7109375" style="605" customWidth="1"/>
    <col min="9248" max="9248" width="9" style="605" bestFit="1" customWidth="1"/>
    <col min="9249" max="9477" width="16.5703125" style="605"/>
    <col min="9478" max="9478" width="3.7109375" style="605" customWidth="1"/>
    <col min="9479" max="9479" width="20.7109375" style="605" bestFit="1" customWidth="1"/>
    <col min="9480" max="9480" width="27.5703125" style="605" bestFit="1" customWidth="1"/>
    <col min="9481" max="9481" width="13" style="605" bestFit="1" customWidth="1"/>
    <col min="9482" max="9482" width="12.85546875" style="605" customWidth="1"/>
    <col min="9483" max="9483" width="15" style="605" bestFit="1" customWidth="1"/>
    <col min="9484" max="9484" width="15.28515625" style="605" bestFit="1" customWidth="1"/>
    <col min="9485" max="9485" width="13.85546875" style="605" bestFit="1" customWidth="1"/>
    <col min="9486" max="9488" width="7.7109375" style="605" customWidth="1"/>
    <col min="9489" max="9489" width="8.85546875" style="605" customWidth="1"/>
    <col min="9490" max="9493" width="7.7109375" style="605" customWidth="1"/>
    <col min="9494" max="9494" width="8.85546875" style="605" customWidth="1"/>
    <col min="9495" max="9497" width="7.7109375" style="605" customWidth="1"/>
    <col min="9498" max="9498" width="9.5703125" style="605" customWidth="1"/>
    <col min="9499" max="9499" width="8.85546875" style="605" customWidth="1"/>
    <col min="9500" max="9503" width="7.7109375" style="605" customWidth="1"/>
    <col min="9504" max="9504" width="9" style="605" bestFit="1" customWidth="1"/>
    <col min="9505" max="9733" width="16.5703125" style="605"/>
    <col min="9734" max="9734" width="3.7109375" style="605" customWidth="1"/>
    <col min="9735" max="9735" width="20.7109375" style="605" bestFit="1" customWidth="1"/>
    <col min="9736" max="9736" width="27.5703125" style="605" bestFit="1" customWidth="1"/>
    <col min="9737" max="9737" width="13" style="605" bestFit="1" customWidth="1"/>
    <col min="9738" max="9738" width="12.85546875" style="605" customWidth="1"/>
    <col min="9739" max="9739" width="15" style="605" bestFit="1" customWidth="1"/>
    <col min="9740" max="9740" width="15.28515625" style="605" bestFit="1" customWidth="1"/>
    <col min="9741" max="9741" width="13.85546875" style="605" bestFit="1" customWidth="1"/>
    <col min="9742" max="9744" width="7.7109375" style="605" customWidth="1"/>
    <col min="9745" max="9745" width="8.85546875" style="605" customWidth="1"/>
    <col min="9746" max="9749" width="7.7109375" style="605" customWidth="1"/>
    <col min="9750" max="9750" width="8.85546875" style="605" customWidth="1"/>
    <col min="9751" max="9753" width="7.7109375" style="605" customWidth="1"/>
    <col min="9754" max="9754" width="9.5703125" style="605" customWidth="1"/>
    <col min="9755" max="9755" width="8.85546875" style="605" customWidth="1"/>
    <col min="9756" max="9759" width="7.7109375" style="605" customWidth="1"/>
    <col min="9760" max="9760" width="9" style="605" bestFit="1" customWidth="1"/>
    <col min="9761" max="9989" width="16.5703125" style="605"/>
    <col min="9990" max="9990" width="3.7109375" style="605" customWidth="1"/>
    <col min="9991" max="9991" width="20.7109375" style="605" bestFit="1" customWidth="1"/>
    <col min="9992" max="9992" width="27.5703125" style="605" bestFit="1" customWidth="1"/>
    <col min="9993" max="9993" width="13" style="605" bestFit="1" customWidth="1"/>
    <col min="9994" max="9994" width="12.85546875" style="605" customWidth="1"/>
    <col min="9995" max="9995" width="15" style="605" bestFit="1" customWidth="1"/>
    <col min="9996" max="9996" width="15.28515625" style="605" bestFit="1" customWidth="1"/>
    <col min="9997" max="9997" width="13.85546875" style="605" bestFit="1" customWidth="1"/>
    <col min="9998" max="10000" width="7.7109375" style="605" customWidth="1"/>
    <col min="10001" max="10001" width="8.85546875" style="605" customWidth="1"/>
    <col min="10002" max="10005" width="7.7109375" style="605" customWidth="1"/>
    <col min="10006" max="10006" width="8.85546875" style="605" customWidth="1"/>
    <col min="10007" max="10009" width="7.7109375" style="605" customWidth="1"/>
    <col min="10010" max="10010" width="9.5703125" style="605" customWidth="1"/>
    <col min="10011" max="10011" width="8.85546875" style="605" customWidth="1"/>
    <col min="10012" max="10015" width="7.7109375" style="605" customWidth="1"/>
    <col min="10016" max="10016" width="9" style="605" bestFit="1" customWidth="1"/>
    <col min="10017" max="10245" width="16.5703125" style="605"/>
    <col min="10246" max="10246" width="3.7109375" style="605" customWidth="1"/>
    <col min="10247" max="10247" width="20.7109375" style="605" bestFit="1" customWidth="1"/>
    <col min="10248" max="10248" width="27.5703125" style="605" bestFit="1" customWidth="1"/>
    <col min="10249" max="10249" width="13" style="605" bestFit="1" customWidth="1"/>
    <col min="10250" max="10250" width="12.85546875" style="605" customWidth="1"/>
    <col min="10251" max="10251" width="15" style="605" bestFit="1" customWidth="1"/>
    <col min="10252" max="10252" width="15.28515625" style="605" bestFit="1" customWidth="1"/>
    <col min="10253" max="10253" width="13.85546875" style="605" bestFit="1" customWidth="1"/>
    <col min="10254" max="10256" width="7.7109375" style="605" customWidth="1"/>
    <col min="10257" max="10257" width="8.85546875" style="605" customWidth="1"/>
    <col min="10258" max="10261" width="7.7109375" style="605" customWidth="1"/>
    <col min="10262" max="10262" width="8.85546875" style="605" customWidth="1"/>
    <col min="10263" max="10265" width="7.7109375" style="605" customWidth="1"/>
    <col min="10266" max="10266" width="9.5703125" style="605" customWidth="1"/>
    <col min="10267" max="10267" width="8.85546875" style="605" customWidth="1"/>
    <col min="10268" max="10271" width="7.7109375" style="605" customWidth="1"/>
    <col min="10272" max="10272" width="9" style="605" bestFit="1" customWidth="1"/>
    <col min="10273" max="10501" width="16.5703125" style="605"/>
    <col min="10502" max="10502" width="3.7109375" style="605" customWidth="1"/>
    <col min="10503" max="10503" width="20.7109375" style="605" bestFit="1" customWidth="1"/>
    <col min="10504" max="10504" width="27.5703125" style="605" bestFit="1" customWidth="1"/>
    <col min="10505" max="10505" width="13" style="605" bestFit="1" customWidth="1"/>
    <col min="10506" max="10506" width="12.85546875" style="605" customWidth="1"/>
    <col min="10507" max="10507" width="15" style="605" bestFit="1" customWidth="1"/>
    <col min="10508" max="10508" width="15.28515625" style="605" bestFit="1" customWidth="1"/>
    <col min="10509" max="10509" width="13.85546875" style="605" bestFit="1" customWidth="1"/>
    <col min="10510" max="10512" width="7.7109375" style="605" customWidth="1"/>
    <col min="10513" max="10513" width="8.85546875" style="605" customWidth="1"/>
    <col min="10514" max="10517" width="7.7109375" style="605" customWidth="1"/>
    <col min="10518" max="10518" width="8.85546875" style="605" customWidth="1"/>
    <col min="10519" max="10521" width="7.7109375" style="605" customWidth="1"/>
    <col min="10522" max="10522" width="9.5703125" style="605" customWidth="1"/>
    <col min="10523" max="10523" width="8.85546875" style="605" customWidth="1"/>
    <col min="10524" max="10527" width="7.7109375" style="605" customWidth="1"/>
    <col min="10528" max="10528" width="9" style="605" bestFit="1" customWidth="1"/>
    <col min="10529" max="10757" width="16.5703125" style="605"/>
    <col min="10758" max="10758" width="3.7109375" style="605" customWidth="1"/>
    <col min="10759" max="10759" width="20.7109375" style="605" bestFit="1" customWidth="1"/>
    <col min="10760" max="10760" width="27.5703125" style="605" bestFit="1" customWidth="1"/>
    <col min="10761" max="10761" width="13" style="605" bestFit="1" customWidth="1"/>
    <col min="10762" max="10762" width="12.85546875" style="605" customWidth="1"/>
    <col min="10763" max="10763" width="15" style="605" bestFit="1" customWidth="1"/>
    <col min="10764" max="10764" width="15.28515625" style="605" bestFit="1" customWidth="1"/>
    <col min="10765" max="10765" width="13.85546875" style="605" bestFit="1" customWidth="1"/>
    <col min="10766" max="10768" width="7.7109375" style="605" customWidth="1"/>
    <col min="10769" max="10769" width="8.85546875" style="605" customWidth="1"/>
    <col min="10770" max="10773" width="7.7109375" style="605" customWidth="1"/>
    <col min="10774" max="10774" width="8.85546875" style="605" customWidth="1"/>
    <col min="10775" max="10777" width="7.7109375" style="605" customWidth="1"/>
    <col min="10778" max="10778" width="9.5703125" style="605" customWidth="1"/>
    <col min="10779" max="10779" width="8.85546875" style="605" customWidth="1"/>
    <col min="10780" max="10783" width="7.7109375" style="605" customWidth="1"/>
    <col min="10784" max="10784" width="9" style="605" bestFit="1" customWidth="1"/>
    <col min="10785" max="11013" width="16.5703125" style="605"/>
    <col min="11014" max="11014" width="3.7109375" style="605" customWidth="1"/>
    <col min="11015" max="11015" width="20.7109375" style="605" bestFit="1" customWidth="1"/>
    <col min="11016" max="11016" width="27.5703125" style="605" bestFit="1" customWidth="1"/>
    <col min="11017" max="11017" width="13" style="605" bestFit="1" customWidth="1"/>
    <col min="11018" max="11018" width="12.85546875" style="605" customWidth="1"/>
    <col min="11019" max="11019" width="15" style="605" bestFit="1" customWidth="1"/>
    <col min="11020" max="11020" width="15.28515625" style="605" bestFit="1" customWidth="1"/>
    <col min="11021" max="11021" width="13.85546875" style="605" bestFit="1" customWidth="1"/>
    <col min="11022" max="11024" width="7.7109375" style="605" customWidth="1"/>
    <col min="11025" max="11025" width="8.85546875" style="605" customWidth="1"/>
    <col min="11026" max="11029" width="7.7109375" style="605" customWidth="1"/>
    <col min="11030" max="11030" width="8.85546875" style="605" customWidth="1"/>
    <col min="11031" max="11033" width="7.7109375" style="605" customWidth="1"/>
    <col min="11034" max="11034" width="9.5703125" style="605" customWidth="1"/>
    <col min="11035" max="11035" width="8.85546875" style="605" customWidth="1"/>
    <col min="11036" max="11039" width="7.7109375" style="605" customWidth="1"/>
    <col min="11040" max="11040" width="9" style="605" bestFit="1" customWidth="1"/>
    <col min="11041" max="11269" width="16.5703125" style="605"/>
    <col min="11270" max="11270" width="3.7109375" style="605" customWidth="1"/>
    <col min="11271" max="11271" width="20.7109375" style="605" bestFit="1" customWidth="1"/>
    <col min="11272" max="11272" width="27.5703125" style="605" bestFit="1" customWidth="1"/>
    <col min="11273" max="11273" width="13" style="605" bestFit="1" customWidth="1"/>
    <col min="11274" max="11274" width="12.85546875" style="605" customWidth="1"/>
    <col min="11275" max="11275" width="15" style="605" bestFit="1" customWidth="1"/>
    <col min="11276" max="11276" width="15.28515625" style="605" bestFit="1" customWidth="1"/>
    <col min="11277" max="11277" width="13.85546875" style="605" bestFit="1" customWidth="1"/>
    <col min="11278" max="11280" width="7.7109375" style="605" customWidth="1"/>
    <col min="11281" max="11281" width="8.85546875" style="605" customWidth="1"/>
    <col min="11282" max="11285" width="7.7109375" style="605" customWidth="1"/>
    <col min="11286" max="11286" width="8.85546875" style="605" customWidth="1"/>
    <col min="11287" max="11289" width="7.7109375" style="605" customWidth="1"/>
    <col min="11290" max="11290" width="9.5703125" style="605" customWidth="1"/>
    <col min="11291" max="11291" width="8.85546875" style="605" customWidth="1"/>
    <col min="11292" max="11295" width="7.7109375" style="605" customWidth="1"/>
    <col min="11296" max="11296" width="9" style="605" bestFit="1" customWidth="1"/>
    <col min="11297" max="11525" width="16.5703125" style="605"/>
    <col min="11526" max="11526" width="3.7109375" style="605" customWidth="1"/>
    <col min="11527" max="11527" width="20.7109375" style="605" bestFit="1" customWidth="1"/>
    <col min="11528" max="11528" width="27.5703125" style="605" bestFit="1" customWidth="1"/>
    <col min="11529" max="11529" width="13" style="605" bestFit="1" customWidth="1"/>
    <col min="11530" max="11530" width="12.85546875" style="605" customWidth="1"/>
    <col min="11531" max="11531" width="15" style="605" bestFit="1" customWidth="1"/>
    <col min="11532" max="11532" width="15.28515625" style="605" bestFit="1" customWidth="1"/>
    <col min="11533" max="11533" width="13.85546875" style="605" bestFit="1" customWidth="1"/>
    <col min="11534" max="11536" width="7.7109375" style="605" customWidth="1"/>
    <col min="11537" max="11537" width="8.85546875" style="605" customWidth="1"/>
    <col min="11538" max="11541" width="7.7109375" style="605" customWidth="1"/>
    <col min="11542" max="11542" width="8.85546875" style="605" customWidth="1"/>
    <col min="11543" max="11545" width="7.7109375" style="605" customWidth="1"/>
    <col min="11546" max="11546" width="9.5703125" style="605" customWidth="1"/>
    <col min="11547" max="11547" width="8.85546875" style="605" customWidth="1"/>
    <col min="11548" max="11551" width="7.7109375" style="605" customWidth="1"/>
    <col min="11552" max="11552" width="9" style="605" bestFit="1" customWidth="1"/>
    <col min="11553" max="11781" width="16.5703125" style="605"/>
    <col min="11782" max="11782" width="3.7109375" style="605" customWidth="1"/>
    <col min="11783" max="11783" width="20.7109375" style="605" bestFit="1" customWidth="1"/>
    <col min="11784" max="11784" width="27.5703125" style="605" bestFit="1" customWidth="1"/>
    <col min="11785" max="11785" width="13" style="605" bestFit="1" customWidth="1"/>
    <col min="11786" max="11786" width="12.85546875" style="605" customWidth="1"/>
    <col min="11787" max="11787" width="15" style="605" bestFit="1" customWidth="1"/>
    <col min="11788" max="11788" width="15.28515625" style="605" bestFit="1" customWidth="1"/>
    <col min="11789" max="11789" width="13.85546875" style="605" bestFit="1" customWidth="1"/>
    <col min="11790" max="11792" width="7.7109375" style="605" customWidth="1"/>
    <col min="11793" max="11793" width="8.85546875" style="605" customWidth="1"/>
    <col min="11794" max="11797" width="7.7109375" style="605" customWidth="1"/>
    <col min="11798" max="11798" width="8.85546875" style="605" customWidth="1"/>
    <col min="11799" max="11801" width="7.7109375" style="605" customWidth="1"/>
    <col min="11802" max="11802" width="9.5703125" style="605" customWidth="1"/>
    <col min="11803" max="11803" width="8.85546875" style="605" customWidth="1"/>
    <col min="11804" max="11807" width="7.7109375" style="605" customWidth="1"/>
    <col min="11808" max="11808" width="9" style="605" bestFit="1" customWidth="1"/>
    <col min="11809" max="12037" width="16.5703125" style="605"/>
    <col min="12038" max="12038" width="3.7109375" style="605" customWidth="1"/>
    <col min="12039" max="12039" width="20.7109375" style="605" bestFit="1" customWidth="1"/>
    <col min="12040" max="12040" width="27.5703125" style="605" bestFit="1" customWidth="1"/>
    <col min="12041" max="12041" width="13" style="605" bestFit="1" customWidth="1"/>
    <col min="12042" max="12042" width="12.85546875" style="605" customWidth="1"/>
    <col min="12043" max="12043" width="15" style="605" bestFit="1" customWidth="1"/>
    <col min="12044" max="12044" width="15.28515625" style="605" bestFit="1" customWidth="1"/>
    <col min="12045" max="12045" width="13.85546875" style="605" bestFit="1" customWidth="1"/>
    <col min="12046" max="12048" width="7.7109375" style="605" customWidth="1"/>
    <col min="12049" max="12049" width="8.85546875" style="605" customWidth="1"/>
    <col min="12050" max="12053" width="7.7109375" style="605" customWidth="1"/>
    <col min="12054" max="12054" width="8.85546875" style="605" customWidth="1"/>
    <col min="12055" max="12057" width="7.7109375" style="605" customWidth="1"/>
    <col min="12058" max="12058" width="9.5703125" style="605" customWidth="1"/>
    <col min="12059" max="12059" width="8.85546875" style="605" customWidth="1"/>
    <col min="12060" max="12063" width="7.7109375" style="605" customWidth="1"/>
    <col min="12064" max="12064" width="9" style="605" bestFit="1" customWidth="1"/>
    <col min="12065" max="12293" width="16.5703125" style="605"/>
    <col min="12294" max="12294" width="3.7109375" style="605" customWidth="1"/>
    <col min="12295" max="12295" width="20.7109375" style="605" bestFit="1" customWidth="1"/>
    <col min="12296" max="12296" width="27.5703125" style="605" bestFit="1" customWidth="1"/>
    <col min="12297" max="12297" width="13" style="605" bestFit="1" customWidth="1"/>
    <col min="12298" max="12298" width="12.85546875" style="605" customWidth="1"/>
    <col min="12299" max="12299" width="15" style="605" bestFit="1" customWidth="1"/>
    <col min="12300" max="12300" width="15.28515625" style="605" bestFit="1" customWidth="1"/>
    <col min="12301" max="12301" width="13.85546875" style="605" bestFit="1" customWidth="1"/>
    <col min="12302" max="12304" width="7.7109375" style="605" customWidth="1"/>
    <col min="12305" max="12305" width="8.85546875" style="605" customWidth="1"/>
    <col min="12306" max="12309" width="7.7109375" style="605" customWidth="1"/>
    <col min="12310" max="12310" width="8.85546875" style="605" customWidth="1"/>
    <col min="12311" max="12313" width="7.7109375" style="605" customWidth="1"/>
    <col min="12314" max="12314" width="9.5703125" style="605" customWidth="1"/>
    <col min="12315" max="12315" width="8.85546875" style="605" customWidth="1"/>
    <col min="12316" max="12319" width="7.7109375" style="605" customWidth="1"/>
    <col min="12320" max="12320" width="9" style="605" bestFit="1" customWidth="1"/>
    <col min="12321" max="12549" width="16.5703125" style="605"/>
    <col min="12550" max="12550" width="3.7109375" style="605" customWidth="1"/>
    <col min="12551" max="12551" width="20.7109375" style="605" bestFit="1" customWidth="1"/>
    <col min="12552" max="12552" width="27.5703125" style="605" bestFit="1" customWidth="1"/>
    <col min="12553" max="12553" width="13" style="605" bestFit="1" customWidth="1"/>
    <col min="12554" max="12554" width="12.85546875" style="605" customWidth="1"/>
    <col min="12555" max="12555" width="15" style="605" bestFit="1" customWidth="1"/>
    <col min="12556" max="12556" width="15.28515625" style="605" bestFit="1" customWidth="1"/>
    <col min="12557" max="12557" width="13.85546875" style="605" bestFit="1" customWidth="1"/>
    <col min="12558" max="12560" width="7.7109375" style="605" customWidth="1"/>
    <col min="12561" max="12561" width="8.85546875" style="605" customWidth="1"/>
    <col min="12562" max="12565" width="7.7109375" style="605" customWidth="1"/>
    <col min="12566" max="12566" width="8.85546875" style="605" customWidth="1"/>
    <col min="12567" max="12569" width="7.7109375" style="605" customWidth="1"/>
    <col min="12570" max="12570" width="9.5703125" style="605" customWidth="1"/>
    <col min="12571" max="12571" width="8.85546875" style="605" customWidth="1"/>
    <col min="12572" max="12575" width="7.7109375" style="605" customWidth="1"/>
    <col min="12576" max="12576" width="9" style="605" bestFit="1" customWidth="1"/>
    <col min="12577" max="12805" width="16.5703125" style="605"/>
    <col min="12806" max="12806" width="3.7109375" style="605" customWidth="1"/>
    <col min="12807" max="12807" width="20.7109375" style="605" bestFit="1" customWidth="1"/>
    <col min="12808" max="12808" width="27.5703125" style="605" bestFit="1" customWidth="1"/>
    <col min="12809" max="12809" width="13" style="605" bestFit="1" customWidth="1"/>
    <col min="12810" max="12810" width="12.85546875" style="605" customWidth="1"/>
    <col min="12811" max="12811" width="15" style="605" bestFit="1" customWidth="1"/>
    <col min="12812" max="12812" width="15.28515625" style="605" bestFit="1" customWidth="1"/>
    <col min="12813" max="12813" width="13.85546875" style="605" bestFit="1" customWidth="1"/>
    <col min="12814" max="12816" width="7.7109375" style="605" customWidth="1"/>
    <col min="12817" max="12817" width="8.85546875" style="605" customWidth="1"/>
    <col min="12818" max="12821" width="7.7109375" style="605" customWidth="1"/>
    <col min="12822" max="12822" width="8.85546875" style="605" customWidth="1"/>
    <col min="12823" max="12825" width="7.7109375" style="605" customWidth="1"/>
    <col min="12826" max="12826" width="9.5703125" style="605" customWidth="1"/>
    <col min="12827" max="12827" width="8.85546875" style="605" customWidth="1"/>
    <col min="12828" max="12831" width="7.7109375" style="605" customWidth="1"/>
    <col min="12832" max="12832" width="9" style="605" bestFit="1" customWidth="1"/>
    <col min="12833" max="13061" width="16.5703125" style="605"/>
    <col min="13062" max="13062" width="3.7109375" style="605" customWidth="1"/>
    <col min="13063" max="13063" width="20.7109375" style="605" bestFit="1" customWidth="1"/>
    <col min="13064" max="13064" width="27.5703125" style="605" bestFit="1" customWidth="1"/>
    <col min="13065" max="13065" width="13" style="605" bestFit="1" customWidth="1"/>
    <col min="13066" max="13066" width="12.85546875" style="605" customWidth="1"/>
    <col min="13067" max="13067" width="15" style="605" bestFit="1" customWidth="1"/>
    <col min="13068" max="13068" width="15.28515625" style="605" bestFit="1" customWidth="1"/>
    <col min="13069" max="13069" width="13.85546875" style="605" bestFit="1" customWidth="1"/>
    <col min="13070" max="13072" width="7.7109375" style="605" customWidth="1"/>
    <col min="13073" max="13073" width="8.85546875" style="605" customWidth="1"/>
    <col min="13074" max="13077" width="7.7109375" style="605" customWidth="1"/>
    <col min="13078" max="13078" width="8.85546875" style="605" customWidth="1"/>
    <col min="13079" max="13081" width="7.7109375" style="605" customWidth="1"/>
    <col min="13082" max="13082" width="9.5703125" style="605" customWidth="1"/>
    <col min="13083" max="13083" width="8.85546875" style="605" customWidth="1"/>
    <col min="13084" max="13087" width="7.7109375" style="605" customWidth="1"/>
    <col min="13088" max="13088" width="9" style="605" bestFit="1" customWidth="1"/>
    <col min="13089" max="13317" width="16.5703125" style="605"/>
    <col min="13318" max="13318" width="3.7109375" style="605" customWidth="1"/>
    <col min="13319" max="13319" width="20.7109375" style="605" bestFit="1" customWidth="1"/>
    <col min="13320" max="13320" width="27.5703125" style="605" bestFit="1" customWidth="1"/>
    <col min="13321" max="13321" width="13" style="605" bestFit="1" customWidth="1"/>
    <col min="13322" max="13322" width="12.85546875" style="605" customWidth="1"/>
    <col min="13323" max="13323" width="15" style="605" bestFit="1" customWidth="1"/>
    <col min="13324" max="13324" width="15.28515625" style="605" bestFit="1" customWidth="1"/>
    <col min="13325" max="13325" width="13.85546875" style="605" bestFit="1" customWidth="1"/>
    <col min="13326" max="13328" width="7.7109375" style="605" customWidth="1"/>
    <col min="13329" max="13329" width="8.85546875" style="605" customWidth="1"/>
    <col min="13330" max="13333" width="7.7109375" style="605" customWidth="1"/>
    <col min="13334" max="13334" width="8.85546875" style="605" customWidth="1"/>
    <col min="13335" max="13337" width="7.7109375" style="605" customWidth="1"/>
    <col min="13338" max="13338" width="9.5703125" style="605" customWidth="1"/>
    <col min="13339" max="13339" width="8.85546875" style="605" customWidth="1"/>
    <col min="13340" max="13343" width="7.7109375" style="605" customWidth="1"/>
    <col min="13344" max="13344" width="9" style="605" bestFit="1" customWidth="1"/>
    <col min="13345" max="13573" width="16.5703125" style="605"/>
    <col min="13574" max="13574" width="3.7109375" style="605" customWidth="1"/>
    <col min="13575" max="13575" width="20.7109375" style="605" bestFit="1" customWidth="1"/>
    <col min="13576" max="13576" width="27.5703125" style="605" bestFit="1" customWidth="1"/>
    <col min="13577" max="13577" width="13" style="605" bestFit="1" customWidth="1"/>
    <col min="13578" max="13578" width="12.85546875" style="605" customWidth="1"/>
    <col min="13579" max="13579" width="15" style="605" bestFit="1" customWidth="1"/>
    <col min="13580" max="13580" width="15.28515625" style="605" bestFit="1" customWidth="1"/>
    <col min="13581" max="13581" width="13.85546875" style="605" bestFit="1" customWidth="1"/>
    <col min="13582" max="13584" width="7.7109375" style="605" customWidth="1"/>
    <col min="13585" max="13585" width="8.85546875" style="605" customWidth="1"/>
    <col min="13586" max="13589" width="7.7109375" style="605" customWidth="1"/>
    <col min="13590" max="13590" width="8.85546875" style="605" customWidth="1"/>
    <col min="13591" max="13593" width="7.7109375" style="605" customWidth="1"/>
    <col min="13594" max="13594" width="9.5703125" style="605" customWidth="1"/>
    <col min="13595" max="13595" width="8.85546875" style="605" customWidth="1"/>
    <col min="13596" max="13599" width="7.7109375" style="605" customWidth="1"/>
    <col min="13600" max="13600" width="9" style="605" bestFit="1" customWidth="1"/>
    <col min="13601" max="13829" width="16.5703125" style="605"/>
    <col min="13830" max="13830" width="3.7109375" style="605" customWidth="1"/>
    <col min="13831" max="13831" width="20.7109375" style="605" bestFit="1" customWidth="1"/>
    <col min="13832" max="13832" width="27.5703125" style="605" bestFit="1" customWidth="1"/>
    <col min="13833" max="13833" width="13" style="605" bestFit="1" customWidth="1"/>
    <col min="13834" max="13834" width="12.85546875" style="605" customWidth="1"/>
    <col min="13835" max="13835" width="15" style="605" bestFit="1" customWidth="1"/>
    <col min="13836" max="13836" width="15.28515625" style="605" bestFit="1" customWidth="1"/>
    <col min="13837" max="13837" width="13.85546875" style="605" bestFit="1" customWidth="1"/>
    <col min="13838" max="13840" width="7.7109375" style="605" customWidth="1"/>
    <col min="13841" max="13841" width="8.85546875" style="605" customWidth="1"/>
    <col min="13842" max="13845" width="7.7109375" style="605" customWidth="1"/>
    <col min="13846" max="13846" width="8.85546875" style="605" customWidth="1"/>
    <col min="13847" max="13849" width="7.7109375" style="605" customWidth="1"/>
    <col min="13850" max="13850" width="9.5703125" style="605" customWidth="1"/>
    <col min="13851" max="13851" width="8.85546875" style="605" customWidth="1"/>
    <col min="13852" max="13855" width="7.7109375" style="605" customWidth="1"/>
    <col min="13856" max="13856" width="9" style="605" bestFit="1" customWidth="1"/>
    <col min="13857" max="14085" width="16.5703125" style="605"/>
    <col min="14086" max="14086" width="3.7109375" style="605" customWidth="1"/>
    <col min="14087" max="14087" width="20.7109375" style="605" bestFit="1" customWidth="1"/>
    <col min="14088" max="14088" width="27.5703125" style="605" bestFit="1" customWidth="1"/>
    <col min="14089" max="14089" width="13" style="605" bestFit="1" customWidth="1"/>
    <col min="14090" max="14090" width="12.85546875" style="605" customWidth="1"/>
    <col min="14091" max="14091" width="15" style="605" bestFit="1" customWidth="1"/>
    <col min="14092" max="14092" width="15.28515625" style="605" bestFit="1" customWidth="1"/>
    <col min="14093" max="14093" width="13.85546875" style="605" bestFit="1" customWidth="1"/>
    <col min="14094" max="14096" width="7.7109375" style="605" customWidth="1"/>
    <col min="14097" max="14097" width="8.85546875" style="605" customWidth="1"/>
    <col min="14098" max="14101" width="7.7109375" style="605" customWidth="1"/>
    <col min="14102" max="14102" width="8.85546875" style="605" customWidth="1"/>
    <col min="14103" max="14105" width="7.7109375" style="605" customWidth="1"/>
    <col min="14106" max="14106" width="9.5703125" style="605" customWidth="1"/>
    <col min="14107" max="14107" width="8.85546875" style="605" customWidth="1"/>
    <col min="14108" max="14111" width="7.7109375" style="605" customWidth="1"/>
    <col min="14112" max="14112" width="9" style="605" bestFit="1" customWidth="1"/>
    <col min="14113" max="14341" width="16.5703125" style="605"/>
    <col min="14342" max="14342" width="3.7109375" style="605" customWidth="1"/>
    <col min="14343" max="14343" width="20.7109375" style="605" bestFit="1" customWidth="1"/>
    <col min="14344" max="14344" width="27.5703125" style="605" bestFit="1" customWidth="1"/>
    <col min="14345" max="14345" width="13" style="605" bestFit="1" customWidth="1"/>
    <col min="14346" max="14346" width="12.85546875" style="605" customWidth="1"/>
    <col min="14347" max="14347" width="15" style="605" bestFit="1" customWidth="1"/>
    <col min="14348" max="14348" width="15.28515625" style="605" bestFit="1" customWidth="1"/>
    <col min="14349" max="14349" width="13.85546875" style="605" bestFit="1" customWidth="1"/>
    <col min="14350" max="14352" width="7.7109375" style="605" customWidth="1"/>
    <col min="14353" max="14353" width="8.85546875" style="605" customWidth="1"/>
    <col min="14354" max="14357" width="7.7109375" style="605" customWidth="1"/>
    <col min="14358" max="14358" width="8.85546875" style="605" customWidth="1"/>
    <col min="14359" max="14361" width="7.7109375" style="605" customWidth="1"/>
    <col min="14362" max="14362" width="9.5703125" style="605" customWidth="1"/>
    <col min="14363" max="14363" width="8.85546875" style="605" customWidth="1"/>
    <col min="14364" max="14367" width="7.7109375" style="605" customWidth="1"/>
    <col min="14368" max="14368" width="9" style="605" bestFit="1" customWidth="1"/>
    <col min="14369" max="14597" width="16.5703125" style="605"/>
    <col min="14598" max="14598" width="3.7109375" style="605" customWidth="1"/>
    <col min="14599" max="14599" width="20.7109375" style="605" bestFit="1" customWidth="1"/>
    <col min="14600" max="14600" width="27.5703125" style="605" bestFit="1" customWidth="1"/>
    <col min="14601" max="14601" width="13" style="605" bestFit="1" customWidth="1"/>
    <col min="14602" max="14602" width="12.85546875" style="605" customWidth="1"/>
    <col min="14603" max="14603" width="15" style="605" bestFit="1" customWidth="1"/>
    <col min="14604" max="14604" width="15.28515625" style="605" bestFit="1" customWidth="1"/>
    <col min="14605" max="14605" width="13.85546875" style="605" bestFit="1" customWidth="1"/>
    <col min="14606" max="14608" width="7.7109375" style="605" customWidth="1"/>
    <col min="14609" max="14609" width="8.85546875" style="605" customWidth="1"/>
    <col min="14610" max="14613" width="7.7109375" style="605" customWidth="1"/>
    <col min="14614" max="14614" width="8.85546875" style="605" customWidth="1"/>
    <col min="14615" max="14617" width="7.7109375" style="605" customWidth="1"/>
    <col min="14618" max="14618" width="9.5703125" style="605" customWidth="1"/>
    <col min="14619" max="14619" width="8.85546875" style="605" customWidth="1"/>
    <col min="14620" max="14623" width="7.7109375" style="605" customWidth="1"/>
    <col min="14624" max="14624" width="9" style="605" bestFit="1" customWidth="1"/>
    <col min="14625" max="14853" width="16.5703125" style="605"/>
    <col min="14854" max="14854" width="3.7109375" style="605" customWidth="1"/>
    <col min="14855" max="14855" width="20.7109375" style="605" bestFit="1" customWidth="1"/>
    <col min="14856" max="14856" width="27.5703125" style="605" bestFit="1" customWidth="1"/>
    <col min="14857" max="14857" width="13" style="605" bestFit="1" customWidth="1"/>
    <col min="14858" max="14858" width="12.85546875" style="605" customWidth="1"/>
    <col min="14859" max="14859" width="15" style="605" bestFit="1" customWidth="1"/>
    <col min="14860" max="14860" width="15.28515625" style="605" bestFit="1" customWidth="1"/>
    <col min="14861" max="14861" width="13.85546875" style="605" bestFit="1" customWidth="1"/>
    <col min="14862" max="14864" width="7.7109375" style="605" customWidth="1"/>
    <col min="14865" max="14865" width="8.85546875" style="605" customWidth="1"/>
    <col min="14866" max="14869" width="7.7109375" style="605" customWidth="1"/>
    <col min="14870" max="14870" width="8.85546875" style="605" customWidth="1"/>
    <col min="14871" max="14873" width="7.7109375" style="605" customWidth="1"/>
    <col min="14874" max="14874" width="9.5703125" style="605" customWidth="1"/>
    <col min="14875" max="14875" width="8.85546875" style="605" customWidth="1"/>
    <col min="14876" max="14879" width="7.7109375" style="605" customWidth="1"/>
    <col min="14880" max="14880" width="9" style="605" bestFit="1" customWidth="1"/>
    <col min="14881" max="15109" width="16.5703125" style="605"/>
    <col min="15110" max="15110" width="3.7109375" style="605" customWidth="1"/>
    <col min="15111" max="15111" width="20.7109375" style="605" bestFit="1" customWidth="1"/>
    <col min="15112" max="15112" width="27.5703125" style="605" bestFit="1" customWidth="1"/>
    <col min="15113" max="15113" width="13" style="605" bestFit="1" customWidth="1"/>
    <col min="15114" max="15114" width="12.85546875" style="605" customWidth="1"/>
    <col min="15115" max="15115" width="15" style="605" bestFit="1" customWidth="1"/>
    <col min="15116" max="15116" width="15.28515625" style="605" bestFit="1" customWidth="1"/>
    <col min="15117" max="15117" width="13.85546875" style="605" bestFit="1" customWidth="1"/>
    <col min="15118" max="15120" width="7.7109375" style="605" customWidth="1"/>
    <col min="15121" max="15121" width="8.85546875" style="605" customWidth="1"/>
    <col min="15122" max="15125" width="7.7109375" style="605" customWidth="1"/>
    <col min="15126" max="15126" width="8.85546875" style="605" customWidth="1"/>
    <col min="15127" max="15129" width="7.7109375" style="605" customWidth="1"/>
    <col min="15130" max="15130" width="9.5703125" style="605" customWidth="1"/>
    <col min="15131" max="15131" width="8.85546875" style="605" customWidth="1"/>
    <col min="15132" max="15135" width="7.7109375" style="605" customWidth="1"/>
    <col min="15136" max="15136" width="9" style="605" bestFit="1" customWidth="1"/>
    <col min="15137" max="15365" width="16.5703125" style="605"/>
    <col min="15366" max="15366" width="3.7109375" style="605" customWidth="1"/>
    <col min="15367" max="15367" width="20.7109375" style="605" bestFit="1" customWidth="1"/>
    <col min="15368" max="15368" width="27.5703125" style="605" bestFit="1" customWidth="1"/>
    <col min="15369" max="15369" width="13" style="605" bestFit="1" customWidth="1"/>
    <col min="15370" max="15370" width="12.85546875" style="605" customWidth="1"/>
    <col min="15371" max="15371" width="15" style="605" bestFit="1" customWidth="1"/>
    <col min="15372" max="15372" width="15.28515625" style="605" bestFit="1" customWidth="1"/>
    <col min="15373" max="15373" width="13.85546875" style="605" bestFit="1" customWidth="1"/>
    <col min="15374" max="15376" width="7.7109375" style="605" customWidth="1"/>
    <col min="15377" max="15377" width="8.85546875" style="605" customWidth="1"/>
    <col min="15378" max="15381" width="7.7109375" style="605" customWidth="1"/>
    <col min="15382" max="15382" width="8.85546875" style="605" customWidth="1"/>
    <col min="15383" max="15385" width="7.7109375" style="605" customWidth="1"/>
    <col min="15386" max="15386" width="9.5703125" style="605" customWidth="1"/>
    <col min="15387" max="15387" width="8.85546875" style="605" customWidth="1"/>
    <col min="15388" max="15391" width="7.7109375" style="605" customWidth="1"/>
    <col min="15392" max="15392" width="9" style="605" bestFit="1" customWidth="1"/>
    <col min="15393" max="15621" width="16.5703125" style="605"/>
    <col min="15622" max="15622" width="3.7109375" style="605" customWidth="1"/>
    <col min="15623" max="15623" width="20.7109375" style="605" bestFit="1" customWidth="1"/>
    <col min="15624" max="15624" width="27.5703125" style="605" bestFit="1" customWidth="1"/>
    <col min="15625" max="15625" width="13" style="605" bestFit="1" customWidth="1"/>
    <col min="15626" max="15626" width="12.85546875" style="605" customWidth="1"/>
    <col min="15627" max="15627" width="15" style="605" bestFit="1" customWidth="1"/>
    <col min="15628" max="15628" width="15.28515625" style="605" bestFit="1" customWidth="1"/>
    <col min="15629" max="15629" width="13.85546875" style="605" bestFit="1" customWidth="1"/>
    <col min="15630" max="15632" width="7.7109375" style="605" customWidth="1"/>
    <col min="15633" max="15633" width="8.85546875" style="605" customWidth="1"/>
    <col min="15634" max="15637" width="7.7109375" style="605" customWidth="1"/>
    <col min="15638" max="15638" width="8.85546875" style="605" customWidth="1"/>
    <col min="15639" max="15641" width="7.7109375" style="605" customWidth="1"/>
    <col min="15642" max="15642" width="9.5703125" style="605" customWidth="1"/>
    <col min="15643" max="15643" width="8.85546875" style="605" customWidth="1"/>
    <col min="15644" max="15647" width="7.7109375" style="605" customWidth="1"/>
    <col min="15648" max="15648" width="9" style="605" bestFit="1" customWidth="1"/>
    <col min="15649" max="15877" width="16.5703125" style="605"/>
    <col min="15878" max="15878" width="3.7109375" style="605" customWidth="1"/>
    <col min="15879" max="15879" width="20.7109375" style="605" bestFit="1" customWidth="1"/>
    <col min="15880" max="15880" width="27.5703125" style="605" bestFit="1" customWidth="1"/>
    <col min="15881" max="15881" width="13" style="605" bestFit="1" customWidth="1"/>
    <col min="15882" max="15882" width="12.85546875" style="605" customWidth="1"/>
    <col min="15883" max="15883" width="15" style="605" bestFit="1" customWidth="1"/>
    <col min="15884" max="15884" width="15.28515625" style="605" bestFit="1" customWidth="1"/>
    <col min="15885" max="15885" width="13.85546875" style="605" bestFit="1" customWidth="1"/>
    <col min="15886" max="15888" width="7.7109375" style="605" customWidth="1"/>
    <col min="15889" max="15889" width="8.85546875" style="605" customWidth="1"/>
    <col min="15890" max="15893" width="7.7109375" style="605" customWidth="1"/>
    <col min="15894" max="15894" width="8.85546875" style="605" customWidth="1"/>
    <col min="15895" max="15897" width="7.7109375" style="605" customWidth="1"/>
    <col min="15898" max="15898" width="9.5703125" style="605" customWidth="1"/>
    <col min="15899" max="15899" width="8.85546875" style="605" customWidth="1"/>
    <col min="15900" max="15903" width="7.7109375" style="605" customWidth="1"/>
    <col min="15904" max="15904" width="9" style="605" bestFit="1" customWidth="1"/>
    <col min="15905" max="16133" width="16.5703125" style="605"/>
    <col min="16134" max="16134" width="3.7109375" style="605" customWidth="1"/>
    <col min="16135" max="16135" width="20.7109375" style="605" bestFit="1" customWidth="1"/>
    <col min="16136" max="16136" width="27.5703125" style="605" bestFit="1" customWidth="1"/>
    <col min="16137" max="16137" width="13" style="605" bestFit="1" customWidth="1"/>
    <col min="16138" max="16138" width="12.85546875" style="605" customWidth="1"/>
    <col min="16139" max="16139" width="15" style="605" bestFit="1" customWidth="1"/>
    <col min="16140" max="16140" width="15.28515625" style="605" bestFit="1" customWidth="1"/>
    <col min="16141" max="16141" width="13.85546875" style="605" bestFit="1" customWidth="1"/>
    <col min="16142" max="16144" width="7.7109375" style="605" customWidth="1"/>
    <col min="16145" max="16145" width="8.85546875" style="605" customWidth="1"/>
    <col min="16146" max="16149" width="7.7109375" style="605" customWidth="1"/>
    <col min="16150" max="16150" width="8.85546875" style="605" customWidth="1"/>
    <col min="16151" max="16153" width="7.7109375" style="605" customWidth="1"/>
    <col min="16154" max="16154" width="9.5703125" style="605" customWidth="1"/>
    <col min="16155" max="16155" width="8.85546875" style="605" customWidth="1"/>
    <col min="16156" max="16159" width="7.7109375" style="605" customWidth="1"/>
    <col min="16160" max="16160" width="9" style="605" bestFit="1" customWidth="1"/>
    <col min="16161" max="16384" width="16.5703125" style="605"/>
  </cols>
  <sheetData>
    <row r="2" spans="2:32" s="606" customFormat="1" ht="19.5" customHeight="1">
      <c r="B2" s="605"/>
      <c r="C2" s="605"/>
      <c r="D2" s="605"/>
      <c r="E2" s="605"/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5"/>
      <c r="V2" s="605"/>
      <c r="W2" s="605"/>
      <c r="X2" s="605"/>
      <c r="Y2" s="605"/>
      <c r="Z2" s="605"/>
      <c r="AA2" s="605"/>
      <c r="AB2" s="605"/>
      <c r="AC2" s="605"/>
      <c r="AD2" s="605"/>
      <c r="AE2" s="605"/>
      <c r="AF2" s="605"/>
    </row>
    <row r="3" spans="2:32" s="606" customFormat="1" ht="19.5" customHeight="1"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</row>
    <row r="4" spans="2:32" s="606" customFormat="1" ht="38.25" customHeight="1">
      <c r="B4" s="605"/>
      <c r="C4" s="607" t="s">
        <v>371</v>
      </c>
      <c r="D4" s="608"/>
      <c r="E4" s="608"/>
      <c r="F4" s="608"/>
      <c r="G4" s="608"/>
      <c r="H4" s="608"/>
      <c r="I4" s="608"/>
      <c r="J4" s="608"/>
      <c r="K4" s="608"/>
      <c r="L4" s="608"/>
      <c r="M4" s="609"/>
      <c r="N4" s="605"/>
      <c r="O4" s="605"/>
      <c r="P4" s="605"/>
      <c r="Q4" s="605"/>
      <c r="R4" s="605"/>
      <c r="S4" s="605"/>
      <c r="T4" s="605"/>
      <c r="U4" s="605"/>
      <c r="V4" s="605"/>
      <c r="W4" s="605"/>
      <c r="X4" s="605"/>
      <c r="Y4" s="605"/>
      <c r="Z4" s="605"/>
      <c r="AA4" s="605"/>
      <c r="AB4" s="605"/>
      <c r="AC4" s="605"/>
      <c r="AD4" s="605"/>
      <c r="AE4" s="605"/>
      <c r="AF4" s="605"/>
    </row>
    <row r="5" spans="2:32" s="606" customFormat="1" ht="16.5" customHeight="1">
      <c r="B5" s="605"/>
      <c r="C5" s="610" t="s">
        <v>372</v>
      </c>
      <c r="D5" s="611"/>
      <c r="E5" s="611"/>
      <c r="F5" s="611"/>
      <c r="G5" s="611"/>
      <c r="H5" s="611"/>
      <c r="I5" s="611"/>
      <c r="J5" s="611"/>
      <c r="K5" s="611"/>
      <c r="L5" s="611"/>
      <c r="M5" s="612"/>
      <c r="N5" s="605"/>
      <c r="O5" s="605"/>
      <c r="P5" s="605"/>
      <c r="Q5" s="605"/>
      <c r="R5" s="605"/>
      <c r="S5" s="605"/>
      <c r="T5" s="605"/>
      <c r="U5" s="605"/>
      <c r="V5" s="605"/>
      <c r="W5" s="605"/>
      <c r="X5" s="605"/>
      <c r="Y5" s="605"/>
      <c r="Z5" s="605"/>
      <c r="AA5" s="605"/>
      <c r="AB5" s="605"/>
      <c r="AC5" s="605"/>
      <c r="AD5" s="605"/>
      <c r="AE5" s="605"/>
      <c r="AF5" s="605"/>
    </row>
    <row r="6" spans="2:32" ht="18" customHeight="1">
      <c r="C6" s="613" t="s">
        <v>373</v>
      </c>
      <c r="D6" s="614" t="s">
        <v>352</v>
      </c>
      <c r="E6" s="614"/>
      <c r="F6" s="614" t="s">
        <v>374</v>
      </c>
      <c r="G6" s="614"/>
      <c r="H6" s="614" t="s">
        <v>375</v>
      </c>
      <c r="I6" s="614"/>
      <c r="J6" s="614" t="s">
        <v>376</v>
      </c>
      <c r="K6" s="614"/>
      <c r="L6" s="614" t="s">
        <v>377</v>
      </c>
      <c r="M6" s="614"/>
    </row>
    <row r="7" spans="2:32" ht="18" customHeight="1">
      <c r="C7" s="615"/>
      <c r="D7" s="616" t="s">
        <v>378</v>
      </c>
      <c r="E7" s="616" t="s">
        <v>379</v>
      </c>
      <c r="F7" s="616" t="s">
        <v>378</v>
      </c>
      <c r="G7" s="616" t="s">
        <v>379</v>
      </c>
      <c r="H7" s="616" t="s">
        <v>378</v>
      </c>
      <c r="I7" s="616" t="s">
        <v>379</v>
      </c>
      <c r="J7" s="616" t="s">
        <v>378</v>
      </c>
      <c r="K7" s="616" t="s">
        <v>379</v>
      </c>
      <c r="L7" s="616" t="s">
        <v>378</v>
      </c>
      <c r="M7" s="616" t="s">
        <v>379</v>
      </c>
    </row>
    <row r="8" spans="2:32" ht="14.25" customHeight="1">
      <c r="C8" s="617" t="s">
        <v>301</v>
      </c>
      <c r="D8" s="202">
        <f t="shared" ref="D8:E23" si="0">F8+H8+J8+L8</f>
        <v>47298</v>
      </c>
      <c r="E8" s="202">
        <f>G8+I8+K8+M8</f>
        <v>5201</v>
      </c>
      <c r="F8" s="202">
        <f>GETPIVOTDATA("Suma de Plazas",'[1]tabla dinámica plazas auto'!$A$3,"NombreMunicipio","ADEJE","Actividad","HOTELES","Alta_Baja","A")</f>
        <v>33818</v>
      </c>
      <c r="G8" s="202">
        <f>GETPIVOTDATA("Suma de Plazas",'[1]tabla dinámica plazas auto'!$A$3,"NombreMunicipio","ADEJE","Actividad","HOTELES","Alta_Baja","T")</f>
        <v>3817</v>
      </c>
      <c r="H8" s="202">
        <f>GETPIVOTDATA("Suma de Plazas",'[1]tabla dinámica plazas auto'!$A$3,"NombreMunicipio","ADEJE","Actividad","APARTAMENTOS","Alta_Baja","A")</f>
        <v>13444</v>
      </c>
      <c r="I8" s="202">
        <f>GETPIVOTDATA("Suma de Plazas",'[1]tabla dinámica plazas auto'!$A$3,"NombreMunicipio","ADEJE","Actividad","APARTAMENTOS","Alta_Baja","T")</f>
        <v>1376</v>
      </c>
      <c r="J8" s="202">
        <f>GETPIVOTDATA("Suma de Plazas",'[1]tabla dinámica plazas auto'!$A$3,"NombreMunicipio","ADEJE","Actividad","HOTELES RURALES","Alta_Baja","A")</f>
        <v>22</v>
      </c>
      <c r="K8" s="202">
        <f>GETPIVOTDATA("Suma de Plazas",'[1]tabla dinámica plazas auto'!$A$3,"NombreMunicipio","ADEJE","Actividad","HOTELES RURALES","Alta_Baja","T")</f>
        <v>0</v>
      </c>
      <c r="L8" s="202">
        <f>GETPIVOTDATA("Suma de Plazas",'[1]tabla dinámica plazas auto'!$A$3,"NombreMunicipio","ADEJE","Actividad","CASAS RURALES","Alta_Baja","A")</f>
        <v>14</v>
      </c>
      <c r="M8" s="202">
        <f>GETPIVOTDATA("Suma de Plazas",'[1]tabla dinámica plazas auto'!$A$3,"NombreMunicipio","ADEJE","Actividad","CASAS RURALES","Alta_Baja","T")</f>
        <v>8</v>
      </c>
    </row>
    <row r="9" spans="2:32" ht="12.75" customHeight="1">
      <c r="C9" s="618" t="s">
        <v>380</v>
      </c>
      <c r="D9" s="202">
        <f t="shared" si="0"/>
        <v>17</v>
      </c>
      <c r="E9" s="202">
        <f t="shared" si="0"/>
        <v>0</v>
      </c>
      <c r="F9" s="202">
        <f>GETPIVOTDATA("Suma de Plazas",'[1]tabla dinámica plazas auto'!$A$3,"NombreMunicipio","ARAFO","Actividad","HOTELES","Alta_Baja","A")</f>
        <v>0</v>
      </c>
      <c r="G9" s="202">
        <f>GETPIVOTDATA("Suma de Plazas",'[1]tabla dinámica plazas auto'!$A$3,"NombreMunicipio","ARAFO","Actividad","HOTELES","Alta_Baja","T")</f>
        <v>0</v>
      </c>
      <c r="H9" s="202">
        <f>GETPIVOTDATA("Suma de Plazas",'[1]tabla dinámica plazas auto'!$A$3,"NombreMunicipio","ARAFO","Actividad","APARTAMENTOS","Alta_Baja","A")</f>
        <v>0</v>
      </c>
      <c r="I9" s="202">
        <f>GETPIVOTDATA("Suma de Plazas",'[1]tabla dinámica plazas auto'!$A$3,"NombreMunicipio","ARAFO","Actividad","APARTAMENTOS","Alta_Baja","T")</f>
        <v>0</v>
      </c>
      <c r="J9" s="202">
        <f>GETPIVOTDATA("Suma de Plazas",'[1]tabla dinámica plazas auto'!$A$3,"NombreMunicipio","ARAFO","Actividad","HOTELES RURALES","Alta_Baja","A")</f>
        <v>0</v>
      </c>
      <c r="K9" s="202">
        <f>GETPIVOTDATA("Suma de Plazas",'[1]tabla dinámica plazas auto'!$A$3,"NombreMunicipio","ARAFO","Actividad","HOTELES RURALES","Alta_Baja","T")</f>
        <v>0</v>
      </c>
      <c r="L9" s="202">
        <f>GETPIVOTDATA("Suma de Plazas",'[1]tabla dinámica plazas auto'!$A$3,"NombreMunicipio","ARAFO","Actividad","CASAS RURALES","Alta_Baja","A")</f>
        <v>17</v>
      </c>
      <c r="M9" s="202">
        <f>GETPIVOTDATA("Suma de Plazas",'[1]tabla dinámica plazas auto'!$A$3,"NombreMunicipio","ARAFO","Actividad","CASAS RURALES","Alta_Baja","T")</f>
        <v>0</v>
      </c>
    </row>
    <row r="10" spans="2:32">
      <c r="C10" s="618" t="s">
        <v>381</v>
      </c>
      <c r="D10" s="202">
        <f t="shared" si="0"/>
        <v>111</v>
      </c>
      <c r="E10" s="202">
        <f t="shared" si="0"/>
        <v>36</v>
      </c>
      <c r="F10" s="202">
        <f>GETPIVOTDATA("Suma de Plazas",'[1]tabla dinámica plazas auto'!$A$3,"NombreMunicipio","ARICO","Actividad","HOTELES","Alta_Baja","A")</f>
        <v>18</v>
      </c>
      <c r="G10" s="202">
        <f>GETPIVOTDATA("Suma de Plazas",'[1]tabla dinámica plazas auto'!$A$3,"NombreMunicipio","ARICO","Actividad","HOTELES","Alta_Baja","T")</f>
        <v>0</v>
      </c>
      <c r="H10" s="202">
        <f>GETPIVOTDATA("Suma de Plazas",'[1]tabla dinámica plazas auto'!$A$3,"NombreMunicipio","ARICO","Actividad","APARTAMENTOS","Alta_Baja","A")</f>
        <v>20</v>
      </c>
      <c r="I10" s="202">
        <f>GETPIVOTDATA("Suma de Plazas",'[1]tabla dinámica plazas auto'!$A$3,"NombreMunicipio","ARICO","Actividad","APARTAMENTOS","Alta_Baja","T")</f>
        <v>0</v>
      </c>
      <c r="J10" s="202">
        <f>GETPIVOTDATA("Suma de Plazas",'[1]tabla dinámica plazas auto'!$A$3,"NombreMunicipio","ARICO","Actividad","HOTELES RURALES","Alta_Baja","A")</f>
        <v>0</v>
      </c>
      <c r="K10" s="202">
        <f>GETPIVOTDATA("Suma de Plazas",'[1]tabla dinámica plazas auto'!$A$3,"NombreMunicipio","ARICO","Actividad","HOTELES RURALES","Alta_Baja","T")</f>
        <v>18</v>
      </c>
      <c r="L10" s="202">
        <f>GETPIVOTDATA("Suma de Plazas",'[1]tabla dinámica plazas auto'!$A$3,"NombreMunicipio","ARICO","Actividad","CASAS RURALES","Alta_Baja","A")</f>
        <v>73</v>
      </c>
      <c r="M10" s="202">
        <f>GETPIVOTDATA("Suma de Plazas",'[1]tabla dinámica plazas auto'!$A$3,"NombreMunicipio","ARICO","Actividad","CASAS RURALES","Alta_Baja","T")</f>
        <v>18</v>
      </c>
    </row>
    <row r="11" spans="2:32">
      <c r="C11" s="618" t="s">
        <v>302</v>
      </c>
      <c r="D11" s="202">
        <f t="shared" si="0"/>
        <v>39569</v>
      </c>
      <c r="E11" s="202">
        <f t="shared" si="0"/>
        <v>338</v>
      </c>
      <c r="F11" s="202">
        <f>GETPIVOTDATA("Suma de Plazas",'[1]tabla dinámica plazas auto'!$A$3,"NombreMunicipio","arona","Actividad","HOTELES","Alta_Baja","A")</f>
        <v>16604</v>
      </c>
      <c r="G11" s="202">
        <f>GETPIVOTDATA("Suma de Plazas",'[1]tabla dinámica plazas auto'!$A$3,"NombreMunicipio","arona","Actividad","HOTELES","Alta_Baja","T")</f>
        <v>306</v>
      </c>
      <c r="H11" s="202">
        <f>GETPIVOTDATA("Suma de Plazas",'[1]tabla dinámica plazas auto'!$A$3,"NombreMunicipio","arona","Actividad","APARTAMENTOS","Alta_Baja","A")</f>
        <v>22945</v>
      </c>
      <c r="I11" s="202">
        <f>GETPIVOTDATA("Suma de Plazas",'[1]tabla dinámica plazas auto'!$A$3,"NombreMunicipio","arona","Actividad","APARTAMENTOS","Alta_Baja","T")</f>
        <v>0</v>
      </c>
      <c r="J11" s="202">
        <f>GETPIVOTDATA("Suma de Plazas",'[1]tabla dinámica plazas auto'!$A$3,"NombreMunicipio","arona","Actividad","HOTELES RURALES","Alta_Baja","A")</f>
        <v>0</v>
      </c>
      <c r="K11" s="202">
        <f>GETPIVOTDATA("Suma de Plazas",'[1]tabla dinámica plazas auto'!$A$3,"NombreMunicipio","arona","Actividad","HOTELES RURALES","Alta_Baja","T")</f>
        <v>0</v>
      </c>
      <c r="L11" s="202">
        <f>GETPIVOTDATA("Suma de Plazas",'[1]tabla dinámica plazas auto'!$A$3,"NombreMunicipio","arona","Actividad","CASAS RURALES","Alta_Baja","A")</f>
        <v>20</v>
      </c>
      <c r="M11" s="202">
        <f>GETPIVOTDATA("Suma de Plazas",'[1]tabla dinámica plazas auto'!$A$3,"NombreMunicipio","arona","Actividad","CASAS RURALES","Alta_Baja","T")</f>
        <v>32</v>
      </c>
      <c r="N11" s="619"/>
      <c r="O11" s="619"/>
      <c r="P11" s="619"/>
      <c r="Q11" s="619"/>
      <c r="R11" s="619"/>
      <c r="S11" s="619"/>
      <c r="T11" s="619"/>
      <c r="U11" s="619"/>
    </row>
    <row r="12" spans="2:32">
      <c r="C12" s="618" t="s">
        <v>382</v>
      </c>
      <c r="D12" s="202">
        <f t="shared" si="0"/>
        <v>30</v>
      </c>
      <c r="E12" s="202">
        <f t="shared" si="0"/>
        <v>309</v>
      </c>
      <c r="F12" s="202">
        <f>GETPIVOTDATA("Suma de Plazas",'[1]tabla dinámica plazas auto'!$A$3,"NombreMunicipio","buenavista del norte","Actividad","HOTELES","Alta_Baja","A")</f>
        <v>0</v>
      </c>
      <c r="G12" s="202">
        <f>GETPIVOTDATA("Suma de Plazas",'[1]tabla dinámica plazas auto'!$A$3,"NombreMunicipio","buenavista del norte","Actividad","HOTELES","Alta_Baja","T")</f>
        <v>240</v>
      </c>
      <c r="H12" s="202">
        <f>GETPIVOTDATA("Suma de Plazas",'[1]tabla dinámica plazas auto'!$A$3,"NombreMunicipio","buenavista del norte","Actividad","APARTAMENTOS","Alta_Baja","A")</f>
        <v>0</v>
      </c>
      <c r="I12" s="202">
        <f>GETPIVOTDATA("Suma de Plazas",'[1]tabla dinámica plazas auto'!$A$3,"NombreMunicipio","buenavista del norte","Actividad","APARTAMENTOS","Alta_Baja","T")</f>
        <v>0</v>
      </c>
      <c r="J12" s="202">
        <f>GETPIVOTDATA("Suma de Plazas",'[1]tabla dinámica plazas auto'!$A$3,"NombreMunicipio","buenavista del norte","Actividad","HOTELES RURALES","Alta_Baja","A")</f>
        <v>0</v>
      </c>
      <c r="K12" s="202">
        <f>GETPIVOTDATA("Suma de Plazas",'[1]tabla dinámica plazas auto'!$A$3,"NombreMunicipio","buenavista del norte","Actividad","HOTELES RURALES","Alta_Baja","T")</f>
        <v>32</v>
      </c>
      <c r="L12" s="202">
        <f>GETPIVOTDATA("Suma de Plazas",'[1]tabla dinámica plazas auto'!$A$3,"NombreMunicipio","buenavista del norte","Actividad","CASAS RURALES","Alta_Baja","A")</f>
        <v>30</v>
      </c>
      <c r="M12" s="202">
        <f>GETPIVOTDATA("Suma de Plazas",'[1]tabla dinámica plazas auto'!$A$3,"NombreMunicipio","buenavista del norte","Actividad","CASAS RURALES","Alta_Baja","T")</f>
        <v>37</v>
      </c>
      <c r="N12" s="619"/>
      <c r="O12" s="619"/>
      <c r="P12" s="619"/>
      <c r="Q12" s="619"/>
      <c r="R12" s="619"/>
      <c r="S12" s="619"/>
      <c r="T12" s="619"/>
      <c r="U12" s="619"/>
    </row>
    <row r="13" spans="2:32">
      <c r="C13" s="618" t="s">
        <v>383</v>
      </c>
      <c r="D13" s="202">
        <f t="shared" si="0"/>
        <v>1026</v>
      </c>
      <c r="E13" s="202">
        <f t="shared" si="0"/>
        <v>6</v>
      </c>
      <c r="F13" s="202">
        <f>GETPIVOTDATA("Suma de Plazas",'[1]tabla dinámica plazas auto'!$A$3,"NombreMunicipio","candelaria","Actividad","HOTELES","Alta_Baja","A")</f>
        <v>986</v>
      </c>
      <c r="G13" s="202">
        <f>GETPIVOTDATA("Suma de Plazas",'[1]tabla dinámica plazas auto'!$A$3,"NombreMunicipio","candelaria","Actividad","HOTELES","Alta_Baja","T")</f>
        <v>0</v>
      </c>
      <c r="H13" s="202">
        <f>GETPIVOTDATA("Suma de Plazas",'[1]tabla dinámica plazas auto'!$A$3,"NombreMunicipio","candelaria","Actividad","APARTAMENTOS","Alta_Baja","A")</f>
        <v>28</v>
      </c>
      <c r="I13" s="202">
        <f>GETPIVOTDATA("Suma de Plazas",'[1]tabla dinámica plazas auto'!$A$3,"NombreMunicipio","candelaria","Actividad","APARTAMENTOS","Alta_Baja","T")</f>
        <v>0</v>
      </c>
      <c r="J13" s="202">
        <f>GETPIVOTDATA("Suma de Plazas",'[1]tabla dinámica plazas auto'!$A$3,"NombreMunicipio","candelaria","Actividad","HOTELES RURALES","Alta_Baja","A")</f>
        <v>0</v>
      </c>
      <c r="K13" s="202">
        <f>GETPIVOTDATA("Suma de Plazas",'[1]tabla dinámica plazas auto'!$A$3,"NombreMunicipio","candelaria","Actividad","HOTELES RURALES","Alta_Baja","T")</f>
        <v>0</v>
      </c>
      <c r="L13" s="202">
        <f>GETPIVOTDATA("Suma de Plazas",'[1]tabla dinámica plazas auto'!$A$3,"NombreMunicipio","candelaria","Actividad","CASAS RURALES","Alta_Baja","A")</f>
        <v>12</v>
      </c>
      <c r="M13" s="202">
        <f>GETPIVOTDATA("Suma de Plazas",'[1]tabla dinámica plazas auto'!$A$3,"NombreMunicipio","candelaria","Actividad","CASAS RURALES","Alta_Baja","T")</f>
        <v>6</v>
      </c>
      <c r="N13" s="620"/>
      <c r="O13" s="620"/>
      <c r="P13" s="620"/>
      <c r="Q13" s="620"/>
      <c r="R13" s="620"/>
      <c r="S13" s="620"/>
      <c r="T13" s="620"/>
      <c r="U13" s="620"/>
    </row>
    <row r="14" spans="2:32">
      <c r="C14" s="618" t="s">
        <v>384</v>
      </c>
      <c r="D14" s="202">
        <f t="shared" si="0"/>
        <v>20</v>
      </c>
      <c r="E14" s="202">
        <f t="shared" si="0"/>
        <v>4</v>
      </c>
      <c r="F14" s="202">
        <f>GETPIVOTDATA("Suma de Plazas",'[1]tabla dinámica plazas auto'!$A$3,"NombreMunicipio","fasnia","Actividad","HOTELES","Alta_Baja","A")</f>
        <v>0</v>
      </c>
      <c r="G14" s="202">
        <f>GETPIVOTDATA("Suma de Plazas",'[1]tabla dinámica plazas auto'!$A$3,"NombreMunicipio","fasnia","Actividad","HOTELES","Alta_Baja","T")</f>
        <v>0</v>
      </c>
      <c r="H14" s="202">
        <f>GETPIVOTDATA("Suma de Plazas",'[1]tabla dinámica plazas auto'!$A$3,"NombreMunicipio","fasnia","Actividad","APARTAMENTOS","Alta_Baja","A")</f>
        <v>0</v>
      </c>
      <c r="I14" s="202">
        <f>GETPIVOTDATA("Suma de Plazas",'[1]tabla dinámica plazas auto'!$A$3,"NombreMunicipio","fasnia","Actividad","APARTAMENTOS","Alta_Baja","T")</f>
        <v>0</v>
      </c>
      <c r="J14" s="202">
        <f>GETPIVOTDATA("Suma de Plazas",'[1]tabla dinámica plazas auto'!$A$3,"NombreMunicipio","fasnia","Actividad","HOTELES RURALES","Alta_Baja","A")</f>
        <v>0</v>
      </c>
      <c r="K14" s="202">
        <f>GETPIVOTDATA("Suma de Plazas",'[1]tabla dinámica plazas auto'!$A$3,"NombreMunicipio","fasnia","Actividad","HOTELES RURALES","Alta_Baja","T")</f>
        <v>0</v>
      </c>
      <c r="L14" s="202">
        <f>GETPIVOTDATA("Suma de Plazas",'[1]tabla dinámica plazas auto'!$A$3,"NombreMunicipio","fasnia","Actividad","CASAS RURALES","Alta_Baja","A")</f>
        <v>20</v>
      </c>
      <c r="M14" s="202">
        <f>GETPIVOTDATA("Suma de Plazas",'[1]tabla dinámica plazas auto'!$A$3,"NombreMunicipio","fasnia","Actividad","CASAS RURALES","Alta_Baja","T")</f>
        <v>4</v>
      </c>
      <c r="N14" s="621"/>
      <c r="O14" s="621"/>
      <c r="P14" s="621"/>
      <c r="Q14" s="621"/>
      <c r="R14" s="621"/>
      <c r="S14" s="621"/>
      <c r="T14" s="621"/>
      <c r="U14" s="621"/>
    </row>
    <row r="15" spans="2:32">
      <c r="C15" s="618" t="s">
        <v>385</v>
      </c>
      <c r="D15" s="202">
        <f t="shared" si="0"/>
        <v>163</v>
      </c>
      <c r="E15" s="202">
        <f t="shared" si="0"/>
        <v>30</v>
      </c>
      <c r="F15" s="202">
        <f>GETPIVOTDATA("Suma de Plazas",'[1]tabla dinámica plazas auto'!$A$3,"NombreMunicipio","garachico","Actividad","HOTELES","Alta_Baja","A")</f>
        <v>46</v>
      </c>
      <c r="G15" s="202">
        <f>GETPIVOTDATA("Suma de Plazas",'[1]tabla dinámica plazas auto'!$A$3,"NombreMunicipio","garachico","Actividad","HOTELES","Alta_Baja","T")</f>
        <v>0</v>
      </c>
      <c r="H15" s="202">
        <f>GETPIVOTDATA("Suma de Plazas",'[1]tabla dinámica plazas auto'!$A$3,"NombreMunicipio","garachico","Actividad","APARTAMENTOS","Alta_Baja","A")</f>
        <v>4</v>
      </c>
      <c r="I15" s="202">
        <f>GETPIVOTDATA("Suma de Plazas",'[1]tabla dinámica plazas auto'!$A$3,"NombreMunicipio","garachico","Actividad","APARTAMENTOS","Alta_Baja","T")</f>
        <v>0</v>
      </c>
      <c r="J15" s="202">
        <f>GETPIVOTDATA("Suma de Plazas",'[1]tabla dinámica plazas auto'!$A$3,"NombreMunicipio","garachico","Actividad","HOTELES RURALES","Alta_Baja","A")</f>
        <v>78</v>
      </c>
      <c r="K15" s="202">
        <f>GETPIVOTDATA("Suma de Plazas",'[1]tabla dinámica plazas auto'!$A$3,"NombreMunicipio","garachico","Actividad","HOTELES RURALES","Alta_Baja","T")</f>
        <v>0</v>
      </c>
      <c r="L15" s="202">
        <f>GETPIVOTDATA("Suma de Plazas",'[1]tabla dinámica plazas auto'!$A$3,"NombreMunicipio","garachico","Actividad","CASAS RURALES","Alta_Baja","A")</f>
        <v>35</v>
      </c>
      <c r="M15" s="202">
        <f>GETPIVOTDATA("Suma de Plazas",'[1]tabla dinámica plazas auto'!$A$3,"NombreMunicipio","garachico","Actividad","CASAS RURALES","Alta_Baja","T")</f>
        <v>30</v>
      </c>
      <c r="N15" s="621"/>
      <c r="O15" s="621"/>
      <c r="P15" s="621"/>
      <c r="Q15" s="621"/>
      <c r="R15" s="621"/>
      <c r="S15" s="621"/>
      <c r="T15" s="621"/>
      <c r="U15" s="621"/>
    </row>
    <row r="16" spans="2:32">
      <c r="C16" s="618" t="s">
        <v>386</v>
      </c>
      <c r="D16" s="202">
        <f t="shared" si="0"/>
        <v>1376</v>
      </c>
      <c r="E16" s="202">
        <f t="shared" si="0"/>
        <v>688</v>
      </c>
      <c r="F16" s="202">
        <f>GETPIVOTDATA("Suma de Plazas",'[1]tabla dinámica plazas auto'!$A$3,"NombreMunicipio","granadilla de abona","Actividad","HOTELES","Alta_Baja","A")</f>
        <v>930</v>
      </c>
      <c r="G16" s="202">
        <f>GETPIVOTDATA("Suma de Plazas",'[1]tabla dinámica plazas auto'!$A$3,"NombreMunicipio","granadilla de abona","Actividad","HOTELES","Alta_Baja","T")</f>
        <v>642</v>
      </c>
      <c r="H16" s="202">
        <f>GETPIVOTDATA("Suma de Plazas",'[1]tabla dinámica plazas auto'!$A$3,"NombreMunicipio","granadilla de abona","Actividad","APARTAMENTOS","Alta_Baja","A")</f>
        <v>383</v>
      </c>
      <c r="I16" s="202">
        <f>GETPIVOTDATA("Suma de Plazas",'[1]tabla dinámica plazas auto'!$A$3,"NombreMunicipio","granadilla de abona","Actividad","APARTAMENTOS","Alta_Baja","T")</f>
        <v>6</v>
      </c>
      <c r="J16" s="202">
        <f>GETPIVOTDATA("Suma de Plazas",'[1]tabla dinámica plazas auto'!$A$3,"NombreMunicipio","granadilla de abona","Actividad","HOTELES RURALES","Alta_Baja","A")</f>
        <v>0</v>
      </c>
      <c r="K16" s="202">
        <f>GETPIVOTDATA("Suma de Plazas",'[1]tabla dinámica plazas auto'!$A$3,"NombreMunicipio","granadilla de abona","Actividad","HOTELES RURALES","Alta_Baja","T")</f>
        <v>25</v>
      </c>
      <c r="L16" s="202">
        <f>GETPIVOTDATA("Suma de Plazas",'[1]tabla dinámica plazas auto'!$A$3,"NombreMunicipio","granadilla de abona","Actividad","CASAS RURALES","Alta_Baja","A")</f>
        <v>63</v>
      </c>
      <c r="M16" s="202">
        <f>GETPIVOTDATA("Suma de Plazas",'[1]tabla dinámica plazas auto'!$A$3,"NombreMunicipio","granadilla de abona","Actividad","CASAS RURALES","Alta_Baja","T")</f>
        <v>15</v>
      </c>
      <c r="N16" s="621"/>
      <c r="O16" s="621"/>
      <c r="P16" s="621"/>
      <c r="Q16" s="621"/>
      <c r="R16" s="621"/>
      <c r="S16" s="621"/>
      <c r="T16" s="621"/>
      <c r="U16" s="621"/>
    </row>
    <row r="17" spans="3:21">
      <c r="C17" s="618" t="s">
        <v>387</v>
      </c>
      <c r="D17" s="202">
        <f t="shared" si="0"/>
        <v>4</v>
      </c>
      <c r="E17" s="202">
        <f t="shared" si="0"/>
        <v>2</v>
      </c>
      <c r="F17" s="202">
        <f>GETPIVOTDATA("Suma de Plazas",'[1]tabla dinámica plazas auto'!$A$3,"NombreMunicipio","guancha (la)","Actividad","HOTELES","Alta_Baja","A")</f>
        <v>0</v>
      </c>
      <c r="G17" s="202">
        <f>GETPIVOTDATA("Suma de Plazas",'[1]tabla dinámica plazas auto'!$A$3,"NombreMunicipio","guancha (la)","Actividad","HOTELES","Alta_Baja","T")</f>
        <v>0</v>
      </c>
      <c r="H17" s="202">
        <f>GETPIVOTDATA("Suma de Plazas",'[1]tabla dinámica plazas auto'!$A$3,"NombreMunicipio","guancha (la)","Actividad","APARTAMENTOS","Alta_Baja","A")</f>
        <v>0</v>
      </c>
      <c r="I17" s="202">
        <f>GETPIVOTDATA("Suma de Plazas",'[1]tabla dinámica plazas auto'!$A$3,"NombreMunicipio","guancha (la)","Actividad","APARTAMENTOS","Alta_Baja","T")</f>
        <v>0</v>
      </c>
      <c r="J17" s="202">
        <f>GETPIVOTDATA("Suma de Plazas",'[1]tabla dinámica plazas auto'!$A$3,"NombreMunicipio","guancha (la)","Actividad","HOTELES RURALES","Alta_Baja","A")</f>
        <v>0</v>
      </c>
      <c r="K17" s="202">
        <f>GETPIVOTDATA("Suma de Plazas",'[1]tabla dinámica plazas auto'!$A$3,"NombreMunicipio","guancha (la)","Actividad","HOTELES RURALES","Alta_Baja","T")</f>
        <v>0</v>
      </c>
      <c r="L17" s="202">
        <f>GETPIVOTDATA("Suma de Plazas",'[1]tabla dinámica plazas auto'!$A$3,"NombreMunicipio","guancha (la)","Actividad","CASAS RURALES","Alta_Baja","A")</f>
        <v>4</v>
      </c>
      <c r="M17" s="202">
        <f>GETPIVOTDATA("Suma de Plazas",'[1]tabla dinámica plazas auto'!$A$3,"NombreMunicipio","guancha (la)","Actividad","CASAS RURALES","Alta_Baja","T")</f>
        <v>2</v>
      </c>
      <c r="N17" s="621"/>
      <c r="O17" s="621"/>
      <c r="P17" s="621"/>
      <c r="Q17" s="621"/>
      <c r="R17" s="621"/>
      <c r="S17" s="621"/>
      <c r="T17" s="621"/>
      <c r="U17" s="621"/>
    </row>
    <row r="18" spans="3:21">
      <c r="C18" s="618" t="s">
        <v>388</v>
      </c>
      <c r="D18" s="202">
        <f t="shared" si="0"/>
        <v>2339</v>
      </c>
      <c r="E18" s="202">
        <f t="shared" si="0"/>
        <v>2055</v>
      </c>
      <c r="F18" s="202">
        <f>GETPIVOTDATA("Suma de Plazas",'[1]tabla dinámica plazas auto'!$A$3,"NombreMunicipio","guia de isora","Actividad","HOTELES","Alta_Baja","A")</f>
        <v>2261</v>
      </c>
      <c r="G18" s="202">
        <f>GETPIVOTDATA("Suma de Plazas",'[1]tabla dinámica plazas auto'!$A$3,"NombreMunicipio","guia de isora","Actividad","HOTELES","Alta_Baja","T")</f>
        <v>1276</v>
      </c>
      <c r="H18" s="202">
        <f>GETPIVOTDATA("Suma de Plazas",'[1]tabla dinámica plazas auto'!$A$3,"NombreMunicipio","guia de isora","Actividad","APARTAMENTOS","Alta_Baja","A")</f>
        <v>30</v>
      </c>
      <c r="I18" s="202">
        <f>GETPIVOTDATA("Suma de Plazas",'[1]tabla dinámica plazas auto'!$A$3,"NombreMunicipio","guia de isora","Actividad","APARTAMENTOS","Alta_Baja","T")</f>
        <v>754</v>
      </c>
      <c r="J18" s="202">
        <f>GETPIVOTDATA("Suma de Plazas",'[1]tabla dinámica plazas auto'!$A$3,"NombreMunicipio","guia de isora","Actividad","HOTELES RURALES","Alta_Baja","A")</f>
        <v>15</v>
      </c>
      <c r="K18" s="202">
        <f>GETPIVOTDATA("Suma de Plazas",'[1]tabla dinámica plazas auto'!$A$3,"NombreMunicipio","guia de isora","Actividad","HOTELES RURALES","Alta_Baja","T")</f>
        <v>0</v>
      </c>
      <c r="L18" s="202">
        <f>GETPIVOTDATA("Suma de Plazas",'[1]tabla dinámica plazas auto'!$A$3,"NombreMunicipio","guia de isora","Actividad","CASAS RURALES","Alta_Baja","A")</f>
        <v>33</v>
      </c>
      <c r="M18" s="202">
        <f>GETPIVOTDATA("Suma de Plazas",'[1]tabla dinámica plazas auto'!$A$3,"NombreMunicipio","guia de isora","Actividad","CASAS RURALES","Alta_Baja","T")</f>
        <v>25</v>
      </c>
      <c r="N18" s="621"/>
      <c r="O18" s="621"/>
      <c r="P18" s="621"/>
      <c r="Q18" s="621"/>
      <c r="R18" s="621"/>
      <c r="S18" s="621"/>
      <c r="T18" s="621"/>
      <c r="U18" s="621"/>
    </row>
    <row r="19" spans="3:21">
      <c r="C19" s="618" t="s">
        <v>389</v>
      </c>
      <c r="D19" s="202">
        <f t="shared" si="0"/>
        <v>80</v>
      </c>
      <c r="E19" s="202">
        <f t="shared" si="0"/>
        <v>36</v>
      </c>
      <c r="F19" s="202">
        <f>GETPIVOTDATA("Suma de Plazas",'[1]tabla dinámica plazas auto'!$A$3,"NombreMunicipio","güimar","Actividad","HOTELES","Alta_Baja","A")</f>
        <v>0</v>
      </c>
      <c r="G19" s="202">
        <f>GETPIVOTDATA("Suma de Plazas",'[1]tabla dinámica plazas auto'!$A$3,"NombreMunicipio","güimar","Actividad","HOTELES","Alta_Baja","T")</f>
        <v>0</v>
      </c>
      <c r="H19" s="202">
        <f>GETPIVOTDATA("Suma de Plazas",'[1]tabla dinámica plazas auto'!$A$3,"NombreMunicipio","güimar","Actividad","APARTAMENTOS","Alta_Baja","A")</f>
        <v>0</v>
      </c>
      <c r="I19" s="202">
        <f>GETPIVOTDATA("Suma de Plazas",'[1]tabla dinámica plazas auto'!$A$3,"NombreMunicipio","güimar","Actividad","APARTAMENTOS","Alta_Baja","T")</f>
        <v>0</v>
      </c>
      <c r="J19" s="202">
        <f>GETPIVOTDATA("Suma de Plazas",'[1]tabla dinámica plazas auto'!$A$3,"NombreMunicipio","güimar","Actividad","HOTELES RURALES","Alta_Baja","A")</f>
        <v>65</v>
      </c>
      <c r="K19" s="202">
        <f>GETPIVOTDATA("Suma de Plazas",'[1]tabla dinámica plazas auto'!$A$3,"NombreMunicipio","güimar","Actividad","HOTELES RURALES","Alta_Baja","T")</f>
        <v>0</v>
      </c>
      <c r="L19" s="202">
        <f>GETPIVOTDATA("Suma de Plazas",'[1]tabla dinámica plazas auto'!$A$3,"NombreMunicipio","güimar","Actividad","CASAS RURALES","Alta_Baja","A")</f>
        <v>15</v>
      </c>
      <c r="M19" s="202">
        <f>GETPIVOTDATA("Suma de Plazas",'[1]tabla dinámica plazas auto'!$A$3,"NombreMunicipio","güimar","Actividad","CASAS RURALES","Alta_Baja","T")</f>
        <v>36</v>
      </c>
      <c r="N19" s="621"/>
      <c r="O19" s="621"/>
      <c r="P19" s="621"/>
      <c r="Q19" s="621"/>
      <c r="R19" s="621"/>
      <c r="S19" s="621"/>
      <c r="T19" s="621"/>
      <c r="U19" s="621"/>
    </row>
    <row r="20" spans="3:21">
      <c r="C20" s="618" t="s">
        <v>390</v>
      </c>
      <c r="D20" s="202">
        <f t="shared" si="0"/>
        <v>97</v>
      </c>
      <c r="E20" s="202">
        <f t="shared" si="0"/>
        <v>21</v>
      </c>
      <c r="F20" s="202">
        <f>GETPIVOTDATA("Suma de Plazas",'[1]tabla dinámica plazas auto'!$A$3,"NombreMunicipio","icod de los vinos","Actividad","HOTELES","Alta_Baja","A")</f>
        <v>0</v>
      </c>
      <c r="G20" s="202">
        <f>GETPIVOTDATA("Suma de Plazas",'[1]tabla dinámica plazas auto'!$A$3,"NombreMunicipio","icod de los vinos","Actividad","HOTELES","Alta_Baja","T")</f>
        <v>0</v>
      </c>
      <c r="H20" s="202">
        <f>GETPIVOTDATA("Suma de Plazas",'[1]tabla dinámica plazas auto'!$A$3,"NombreMunicipio","icod de los vinos","Actividad","APARTAMENTOS","Alta_Baja","A")</f>
        <v>0</v>
      </c>
      <c r="I20" s="202">
        <f>GETPIVOTDATA("Suma de Plazas",'[1]tabla dinámica plazas auto'!$A$3,"NombreMunicipio","icod de los vinos","Actividad","APARTAMENTOS","Alta_Baja","T")</f>
        <v>0</v>
      </c>
      <c r="J20" s="202">
        <f>GETPIVOTDATA("Suma de Plazas",'[1]tabla dinámica plazas auto'!$A$3,"NombreMunicipio","icod de los vinos","Actividad","HOTELES RURALES","Alta_Baja","A")</f>
        <v>0</v>
      </c>
      <c r="K20" s="202">
        <f>GETPIVOTDATA("Suma de Plazas",'[1]tabla dinámica plazas auto'!$A$3,"NombreMunicipio","icod de los vinos","Actividad","HOTELES RURALES","Alta_Baja","T")</f>
        <v>0</v>
      </c>
      <c r="L20" s="202">
        <f>GETPIVOTDATA("Suma de Plazas",'[1]tabla dinámica plazas auto'!$A$3,"NombreMunicipio","icod de los vinos","Actividad","CASAS RURALES","Alta_Baja","A")</f>
        <v>97</v>
      </c>
      <c r="M20" s="202">
        <f>GETPIVOTDATA("Suma de Plazas",'[1]tabla dinámica plazas auto'!$A$3,"NombreMunicipio","icod de los vinos","Actividad","CASAS RURALES","Alta_Baja","T")</f>
        <v>21</v>
      </c>
      <c r="N20" s="621"/>
      <c r="O20" s="621"/>
      <c r="P20" s="621"/>
      <c r="Q20" s="621"/>
      <c r="R20" s="621"/>
      <c r="S20" s="621"/>
      <c r="T20" s="621"/>
      <c r="U20" s="621"/>
    </row>
    <row r="21" spans="3:21">
      <c r="C21" s="618" t="s">
        <v>391</v>
      </c>
      <c r="D21" s="202">
        <f t="shared" si="0"/>
        <v>1173</v>
      </c>
      <c r="E21" s="202">
        <f t="shared" si="0"/>
        <v>263</v>
      </c>
      <c r="F21" s="202">
        <f>GETPIVOTDATA("Suma de Plazas",'[1]tabla dinámica plazas auto'!$A$3,"NombreMunicipio","LAGUNA (la)","Actividad","HOTELES","Alta_Baja","A")</f>
        <v>689</v>
      </c>
      <c r="G21" s="202">
        <f>GETPIVOTDATA("Suma de Plazas",'[1]tabla dinámica plazas auto'!$A$3,"NombreMunicipio","LAGUNA (la)","Actividad","HOTELES","Alta_Baja","T")</f>
        <v>234</v>
      </c>
      <c r="H21" s="202">
        <f>GETPIVOTDATA("Suma de Plazas",'[1]tabla dinámica plazas auto'!$A$3,"NombreMunicipio","LAGUNA (la)","Actividad","APARTAMENTOS","Alta_Baja","A")</f>
        <v>414</v>
      </c>
      <c r="I21" s="202">
        <f>GETPIVOTDATA("Suma de Plazas",'[1]tabla dinámica plazas auto'!$A$3,"NombreMunicipio","LAGUNA (la)","Actividad","APARTAMENTOS","Alta_Baja","T")</f>
        <v>0</v>
      </c>
      <c r="J21" s="202">
        <f>GETPIVOTDATA("Suma de Plazas",'[1]tabla dinámica plazas auto'!$A$3,"NombreMunicipio","LAGUNA (la)","Actividad","HOTELES RURALES","Alta_Baja","A")</f>
        <v>22</v>
      </c>
      <c r="K21" s="202">
        <f>GETPIVOTDATA("Suma de Plazas",'[1]tabla dinámica plazas auto'!$A$3,"NombreMunicipio","LAGUNA (la)","Actividad","HOTELES RURALES","Alta_Baja","T")</f>
        <v>0</v>
      </c>
      <c r="L21" s="202">
        <f>GETPIVOTDATA("Suma de Plazas",'[1]tabla dinámica plazas auto'!$A$3,"NombreMunicipio","LAGUNA (la)","Actividad","CASAS RURALES","Alta_Baja","A")</f>
        <v>48</v>
      </c>
      <c r="M21" s="202">
        <f>GETPIVOTDATA("Suma de Plazas",'[1]tabla dinámica plazas auto'!$A$3,"NombreMunicipio","LAGUNA (la)","Actividad","CASAS RURALES","Alta_Baja","T")</f>
        <v>29</v>
      </c>
      <c r="N21" s="621"/>
      <c r="O21" s="621"/>
      <c r="P21" s="621"/>
      <c r="Q21" s="621"/>
      <c r="R21" s="621"/>
      <c r="S21" s="621"/>
      <c r="T21" s="621"/>
      <c r="U21" s="621"/>
    </row>
    <row r="22" spans="3:21">
      <c r="C22" s="618" t="s">
        <v>392</v>
      </c>
      <c r="D22" s="202">
        <f t="shared" si="0"/>
        <v>24</v>
      </c>
      <c r="E22" s="202">
        <f t="shared" si="0"/>
        <v>0</v>
      </c>
      <c r="F22" s="202">
        <f>GETPIVOTDATA("Suma de Plazas",'[1]tabla dinámica plazas auto'!$A$3,"NombreMunicipio","matanza de acentejo (la)","Actividad","HOTELES","Alta_Baja","A")</f>
        <v>0</v>
      </c>
      <c r="G22" s="202">
        <f>GETPIVOTDATA("Suma de Plazas",'[1]tabla dinámica plazas auto'!$A$3,"NombreMunicipio","matanza de acentejo (la)","Actividad","HOTELES","Alta_Baja","T")</f>
        <v>0</v>
      </c>
      <c r="H22" s="202">
        <f>GETPIVOTDATA("Suma de Plazas",'[1]tabla dinámica plazas auto'!$A$3,"NombreMunicipio","matanza de acentejo (la)","Actividad","APARTAMENTOS","Alta_Baja","A")</f>
        <v>0</v>
      </c>
      <c r="I22" s="202">
        <f>GETPIVOTDATA("Suma de Plazas",'[1]tabla dinámica plazas auto'!$A$3,"NombreMunicipio","matanza de acentejo (la)","Actividad","APARTAMENTOS","Alta_Baja","T")</f>
        <v>0</v>
      </c>
      <c r="J22" s="202">
        <f>GETPIVOTDATA("Suma de Plazas",'[1]tabla dinámica plazas auto'!$A$3,"NombreMunicipio","matanza de acentejo (la)","Actividad","HOTELES RURALES","Alta_Baja","A")</f>
        <v>0</v>
      </c>
      <c r="K22" s="202">
        <f>GETPIVOTDATA("Suma de Plazas",'[1]tabla dinámica plazas auto'!$A$3,"NombreMunicipio","matanza de acentejo (la)","Actividad","HOTELES RURALES","Alta_Baja","T")</f>
        <v>0</v>
      </c>
      <c r="L22" s="202">
        <f>GETPIVOTDATA("Suma de Plazas",'[1]tabla dinámica plazas auto'!$A$3,"NombreMunicipio","matanza de acentejo (la)","Actividad","CASAS RURALES","Alta_Baja","A")</f>
        <v>24</v>
      </c>
      <c r="M22" s="202">
        <f>GETPIVOTDATA("Suma de Plazas",'[1]tabla dinámica plazas auto'!$A$3,"NombreMunicipio","matanza de acentejo (la)","Actividad","CASAS RURALES","Alta_Baja","T")</f>
        <v>0</v>
      </c>
      <c r="N22" s="621"/>
      <c r="O22" s="621"/>
      <c r="P22" s="621"/>
      <c r="Q22" s="621"/>
      <c r="R22" s="621"/>
      <c r="S22" s="621"/>
      <c r="T22" s="621"/>
      <c r="U22" s="621"/>
    </row>
    <row r="23" spans="3:21">
      <c r="C23" s="618" t="s">
        <v>393</v>
      </c>
      <c r="D23" s="202">
        <f t="shared" si="0"/>
        <v>158</v>
      </c>
      <c r="E23" s="202">
        <f t="shared" si="0"/>
        <v>57</v>
      </c>
      <c r="F23" s="202">
        <f>GETPIVOTDATA("Suma de Plazas",'[1]tabla dinámica plazas auto'!$A$3,"NombreMunicipio","orotava (la)","Actividad","HOTELES","Alta_Baja","A")</f>
        <v>67</v>
      </c>
      <c r="G23" s="202">
        <f>GETPIVOTDATA("Suma de Plazas",'[1]tabla dinámica plazas auto'!$A$3,"NombreMunicipio","orotava (la)","Actividad","HOTELES","Alta_Baja","T")</f>
        <v>10</v>
      </c>
      <c r="H23" s="202">
        <f>GETPIVOTDATA("Suma de Plazas",'[1]tabla dinámica plazas auto'!$A$3,"NombreMunicipio","orotava (la)","Actividad","APARTAMENTOS","Alta_Baja","A")</f>
        <v>34</v>
      </c>
      <c r="I23" s="202">
        <f>GETPIVOTDATA("Suma de Plazas",'[1]tabla dinámica plazas auto'!$A$3,"NombreMunicipio","orotava (la)","Actividad","APARTAMENTOS","Alta_Baja","T")</f>
        <v>0</v>
      </c>
      <c r="J23" s="202">
        <f>GETPIVOTDATA("Suma de Plazas",'[1]tabla dinámica plazas auto'!$A$3,"NombreMunicipio","orotava (la)","Actividad","HOTELES RURALES","Alta_Baja","A")</f>
        <v>28</v>
      </c>
      <c r="K23" s="202">
        <f>GETPIVOTDATA("Suma de Plazas",'[1]tabla dinámica plazas auto'!$A$3,"NombreMunicipio","orotava (la)","Actividad","HOTELES RURALES","Alta_Baja","T")</f>
        <v>35</v>
      </c>
      <c r="L23" s="202">
        <f>GETPIVOTDATA("Suma de Plazas",'[1]tabla dinámica plazas auto'!$A$3,"NombreMunicipio","orotava (la)","Actividad","CASAS RURALES","Alta_Baja","A")</f>
        <v>29</v>
      </c>
      <c r="M23" s="202">
        <f>GETPIVOTDATA("Suma de Plazas",'[1]tabla dinámica plazas auto'!$A$3,"NombreMunicipio","orotava (la)","Actividad","CASAS RURALES","Alta_Baja","T")</f>
        <v>12</v>
      </c>
      <c r="N23" s="621"/>
      <c r="O23" s="621"/>
      <c r="P23" s="621"/>
      <c r="Q23" s="621"/>
      <c r="R23" s="621"/>
      <c r="S23" s="621"/>
      <c r="T23" s="621"/>
      <c r="U23" s="621"/>
    </row>
    <row r="24" spans="3:21">
      <c r="C24" s="618" t="s">
        <v>303</v>
      </c>
      <c r="D24" s="202">
        <f t="shared" ref="D24:E39" si="1">F24+H24+J24+L24</f>
        <v>23028</v>
      </c>
      <c r="E24" s="202">
        <f t="shared" si="1"/>
        <v>781</v>
      </c>
      <c r="F24" s="202">
        <f>GETPIVOTDATA("Suma de Plazas",'[1]tabla dinámica plazas auto'!$A$3,"NombreMunicipio","puerto de la cruz","Actividad","HOTELES","Alta_Baja","A")</f>
        <v>16251</v>
      </c>
      <c r="G24" s="202">
        <f>GETPIVOTDATA("Suma de Plazas",'[1]tabla dinámica plazas auto'!$A$3,"NombreMunicipio","puerto de la cruz","Actividad","HOTELES","Alta_Baja","T")</f>
        <v>120</v>
      </c>
      <c r="H24" s="202">
        <f>GETPIVOTDATA("Suma de Plazas",'[1]tabla dinámica plazas auto'!$A$3,"NombreMunicipio","puerto de la cruz","Actividad","APARTAMENTOS","Alta_Baja","A")</f>
        <v>6777</v>
      </c>
      <c r="I24" s="202">
        <f>GETPIVOTDATA("Suma de Plazas",'[1]tabla dinámica plazas auto'!$A$3,"NombreMunicipio","puerto de la cruz","Actividad","APARTAMENTOS","Alta_Baja","T")</f>
        <v>661</v>
      </c>
      <c r="J24" s="202">
        <f>GETPIVOTDATA("Suma de Plazas",'[1]tabla dinámica plazas auto'!$A$3,"NombreMunicipio","puerto de la cruz","Actividad","HOTELES RURALES","Alta_Baja","A")</f>
        <v>0</v>
      </c>
      <c r="K24" s="202">
        <f>GETPIVOTDATA("Suma de Plazas",'[1]tabla dinámica plazas auto'!$A$3,"NombreMunicipio","puerto de la cruz","Actividad","HOTELES RURALES","Alta_Baja","T")</f>
        <v>0</v>
      </c>
      <c r="L24" s="202">
        <f>GETPIVOTDATA("Suma de Plazas",'[1]tabla dinámica plazas auto'!$A$3,"NombreMunicipio","puerto de la cruz","Actividad","CASAS RURALES","Alta_Baja","A")</f>
        <v>0</v>
      </c>
      <c r="M24" s="202">
        <f>GETPIVOTDATA("Suma de Plazas",'[1]tabla dinámica plazas auto'!$A$3,"NombreMunicipio","puerto de la cruz","Actividad","CASAS RURALES","Alta_Baja","T")</f>
        <v>0</v>
      </c>
      <c r="N24" s="621"/>
      <c r="O24" s="621"/>
      <c r="P24" s="621"/>
      <c r="Q24" s="621"/>
      <c r="R24" s="621"/>
      <c r="S24" s="621"/>
      <c r="T24" s="621"/>
      <c r="U24" s="621"/>
    </row>
    <row r="25" spans="3:21">
      <c r="C25" s="618" t="s">
        <v>394</v>
      </c>
      <c r="D25" s="202">
        <f t="shared" si="1"/>
        <v>1880</v>
      </c>
      <c r="E25" s="202">
        <f t="shared" si="1"/>
        <v>15</v>
      </c>
      <c r="F25" s="202">
        <f>GETPIVOTDATA("Suma de Plazas",'[1]tabla dinámica plazas auto'!$A$3,"NombreMunicipio","realejos (los)","Actividad","HOTELES","Alta_Baja","A")</f>
        <v>1355</v>
      </c>
      <c r="G25" s="202">
        <f>GETPIVOTDATA("Suma de Plazas",'[1]tabla dinámica plazas auto'!$A$3,"NombreMunicipio","realejos (los)","Actividad","HOTELES","Alta_Baja","T")</f>
        <v>0</v>
      </c>
      <c r="H25" s="202">
        <f>GETPIVOTDATA("Suma de Plazas",'[1]tabla dinámica plazas auto'!$A$3,"NombreMunicipio","realejos (los)","Actividad","APARTAMENTOS","Alta_Baja","A")</f>
        <v>342</v>
      </c>
      <c r="I25" s="202">
        <f>GETPIVOTDATA("Suma de Plazas",'[1]tabla dinámica plazas auto'!$A$3,"NombreMunicipio","realejos (los)","Actividad","APARTAMENTOS","Alta_Baja","T")</f>
        <v>0</v>
      </c>
      <c r="J25" s="202">
        <f>GETPIVOTDATA("Suma de Plazas",'[1]tabla dinámica plazas auto'!$A$3,"NombreMunicipio","realejos (los)","Actividad","HOTELES RURALES","Alta_Baja","A")</f>
        <v>90</v>
      </c>
      <c r="K25" s="202">
        <f>GETPIVOTDATA("Suma de Plazas",'[1]tabla dinámica plazas auto'!$A$3,"NombreMunicipio","realejos (los)","Actividad","HOTELES RURALES","Alta_Baja","T")</f>
        <v>0</v>
      </c>
      <c r="L25" s="202">
        <f>GETPIVOTDATA("Suma de Plazas",'[1]tabla dinámica plazas auto'!$A$3,"NombreMunicipio","realejos (los)","Actividad","CASAS RURALES","Alta_Baja","A")</f>
        <v>93</v>
      </c>
      <c r="M25" s="202">
        <f>GETPIVOTDATA("Suma de Plazas",'[1]tabla dinámica plazas auto'!$A$3,"NombreMunicipio","realejos (los)","Actividad","CASAS RURALES","Alta_Baja","T")</f>
        <v>15</v>
      </c>
      <c r="N25" s="621"/>
      <c r="O25" s="621"/>
      <c r="P25" s="621"/>
      <c r="Q25" s="621"/>
      <c r="R25" s="621"/>
      <c r="S25" s="621"/>
      <c r="T25" s="621"/>
      <c r="U25" s="621"/>
    </row>
    <row r="26" spans="3:21">
      <c r="C26" s="618" t="s">
        <v>395</v>
      </c>
      <c r="D26" s="202">
        <f t="shared" si="1"/>
        <v>77</v>
      </c>
      <c r="E26" s="202">
        <f t="shared" si="1"/>
        <v>7</v>
      </c>
      <c r="F26" s="202">
        <f>GETPIVOTDATA("Suma de Plazas",'[1]tabla dinámica plazas auto'!$A$3,"NombreMunicipio","rosario (el)","Actividad","HOTELES","Alta_Baja","A")</f>
        <v>21</v>
      </c>
      <c r="G26" s="202">
        <f>GETPIVOTDATA("Suma de Plazas",'[1]tabla dinámica plazas auto'!$A$3,"NombreMunicipio","rosario (el)","Actividad","HOTELES","Alta_Baja","T")</f>
        <v>0</v>
      </c>
      <c r="H26" s="202">
        <f>GETPIVOTDATA("Suma de Plazas",'[1]tabla dinámica plazas auto'!$A$3,"NombreMunicipio","rosario (el)","Actividad","APARTAMENTOS","Alta_Baja","A")</f>
        <v>7</v>
      </c>
      <c r="I26" s="202">
        <f>GETPIVOTDATA("Suma de Plazas",'[1]tabla dinámica plazas auto'!$A$3,"NombreMunicipio","rosario (el)","Actividad","APARTAMENTOS","Alta_Baja","T")</f>
        <v>0</v>
      </c>
      <c r="J26" s="202">
        <f>GETPIVOTDATA("Suma de Plazas",'[1]tabla dinámica plazas auto'!$A$3,"NombreMunicipio","rosario (el)","Actividad","HOTELES RURALES","Alta_Baja","A")</f>
        <v>20</v>
      </c>
      <c r="K26" s="202">
        <f>GETPIVOTDATA("Suma de Plazas",'[1]tabla dinámica plazas auto'!$A$3,"NombreMunicipio","rosario (el)","Actividad","HOTELES RURALES","Alta_Baja","T")</f>
        <v>0</v>
      </c>
      <c r="L26" s="202">
        <f>GETPIVOTDATA("Suma de Plazas",'[1]tabla dinámica plazas auto'!$A$3,"NombreMunicipio","rosario (el)","Actividad","CASAS RURALES","Alta_Baja","A")</f>
        <v>29</v>
      </c>
      <c r="M26" s="202">
        <f>GETPIVOTDATA("Suma de Plazas",'[1]tabla dinámica plazas auto'!$A$3,"NombreMunicipio","rosario (el)","Actividad","CASAS RURALES","Alta_Baja","T")</f>
        <v>7</v>
      </c>
      <c r="N26" s="621"/>
      <c r="O26" s="621"/>
      <c r="P26" s="621"/>
      <c r="Q26" s="621"/>
      <c r="R26" s="621"/>
      <c r="S26" s="621"/>
      <c r="T26" s="621"/>
      <c r="U26" s="621"/>
    </row>
    <row r="27" spans="3:21">
      <c r="C27" s="618" t="s">
        <v>396</v>
      </c>
      <c r="D27" s="202">
        <f t="shared" si="1"/>
        <v>23</v>
      </c>
      <c r="E27" s="202">
        <f t="shared" si="1"/>
        <v>3</v>
      </c>
      <c r="F27" s="202">
        <f>GETPIVOTDATA("Suma de Plazas",'[1]tabla dinámica plazas auto'!$A$3,"NombreMunicipio","san juan de la rambla","Actividad","HOTELES","Alta_Baja","A")</f>
        <v>0</v>
      </c>
      <c r="G27" s="202">
        <f>GETPIVOTDATA("Suma de Plazas",'[1]tabla dinámica plazas auto'!$A$3,"NombreMunicipio","san juan de la rambla","Actividad","HOTELES","Alta_Baja","T")</f>
        <v>0</v>
      </c>
      <c r="H27" s="202">
        <f>GETPIVOTDATA("Suma de Plazas",'[1]tabla dinámica plazas auto'!$A$3,"NombreMunicipio","san juan de la rambla","Actividad","APARTAMENTOS","Alta_Baja","A")</f>
        <v>0</v>
      </c>
      <c r="I27" s="202">
        <f>GETPIVOTDATA("Suma de Plazas",'[1]tabla dinámica plazas auto'!$A$3,"NombreMunicipio","san juan de la rambla","Actividad","APARTAMENTOS","Alta_Baja","T")</f>
        <v>0</v>
      </c>
      <c r="J27" s="202">
        <f>GETPIVOTDATA("Suma de Plazas",'[1]tabla dinámica plazas auto'!$A$3,"NombreMunicipio","san juan de la rambla","Actividad","HOTELES RURALES","Alta_Baja","A")</f>
        <v>16</v>
      </c>
      <c r="K27" s="202">
        <f>GETPIVOTDATA("Suma de Plazas",'[1]tabla dinámica plazas auto'!$A$3,"NombreMunicipio","san juan de la rambla","Actividad","HOTELES RURALES","Alta_Baja","T")</f>
        <v>0</v>
      </c>
      <c r="L27" s="202">
        <f>GETPIVOTDATA("Suma de Plazas",'[1]tabla dinámica plazas auto'!$A$3,"NombreMunicipio","san juan de la rambla","Actividad","CASAS RURALES","Alta_Baja","A")</f>
        <v>7</v>
      </c>
      <c r="M27" s="202">
        <f>GETPIVOTDATA("Suma de Plazas",'[1]tabla dinámica plazas auto'!$A$3,"NombreMunicipio","san juan de la rambla","Actividad","CASAS RURALES","Alta_Baja","T")</f>
        <v>3</v>
      </c>
      <c r="N27" s="621"/>
      <c r="O27" s="621"/>
      <c r="P27" s="621"/>
      <c r="Q27" s="621"/>
      <c r="R27" s="621"/>
      <c r="S27" s="621"/>
      <c r="T27" s="621"/>
      <c r="U27" s="621"/>
    </row>
    <row r="28" spans="3:21">
      <c r="C28" s="618" t="s">
        <v>397</v>
      </c>
      <c r="D28" s="202">
        <f t="shared" si="1"/>
        <v>4538</v>
      </c>
      <c r="E28" s="202">
        <f t="shared" si="1"/>
        <v>4315</v>
      </c>
      <c r="F28" s="202">
        <f>GETPIVOTDATA("Suma de Plazas",'[1]tabla dinámica plazas auto'!$A$3,"NombreMunicipio","San miguel de abona","Actividad","HOTELES","Alta_Baja","A")</f>
        <v>1688</v>
      </c>
      <c r="G28" s="202">
        <f>GETPIVOTDATA("Suma de Plazas",'[1]tabla dinámica plazas auto'!$A$3,"NombreMunicipio","San miguel de abona","Actividad","HOTELES","Alta_Baja","T")</f>
        <v>777</v>
      </c>
      <c r="H28" s="202">
        <f>GETPIVOTDATA("Suma de Plazas",'[1]tabla dinámica plazas auto'!$A$3,"NombreMunicipio","San miguel de abona","Actividad","APARTAMENTOS","Alta_Baja","A")</f>
        <v>2790</v>
      </c>
      <c r="I28" s="202">
        <f>GETPIVOTDATA("Suma de Plazas",'[1]tabla dinámica plazas auto'!$A$3,"NombreMunicipio","San miguel de abona","Actividad","APARTAMENTOS","Alta_Baja","T")</f>
        <v>3524</v>
      </c>
      <c r="J28" s="202">
        <f>GETPIVOTDATA("Suma de Plazas",'[1]tabla dinámica plazas auto'!$A$3,"NombreMunicipio","San miguel de abona","Actividad","HOTELES RURALES","Alta_Baja","A")</f>
        <v>32</v>
      </c>
      <c r="K28" s="202">
        <f>GETPIVOTDATA("Suma de Plazas",'[1]tabla dinámica plazas auto'!$A$3,"NombreMunicipio","San miguel de abona","Actividad","HOTELES RURALES","Alta_Baja","T")</f>
        <v>14</v>
      </c>
      <c r="L28" s="202">
        <f>GETPIVOTDATA("Suma de Plazas",'[1]tabla dinámica plazas auto'!$A$3,"NombreMunicipio","San miguel de abona","Actividad","CASAS RURALES","Alta_Baja","A")</f>
        <v>28</v>
      </c>
      <c r="M28" s="202">
        <f>GETPIVOTDATA("Suma de Plazas",'[1]tabla dinámica plazas auto'!$A$3,"NombreMunicipio","San miguel de abona","Actividad","CASAS RURALES","Alta_Baja","T")</f>
        <v>0</v>
      </c>
      <c r="N28" s="621"/>
      <c r="O28" s="621"/>
      <c r="P28" s="621"/>
      <c r="Q28" s="621"/>
      <c r="R28" s="621"/>
      <c r="S28" s="621"/>
      <c r="T28" s="621"/>
      <c r="U28" s="621"/>
    </row>
    <row r="29" spans="3:21">
      <c r="C29" s="618" t="s">
        <v>398</v>
      </c>
      <c r="D29" s="202">
        <f t="shared" si="1"/>
        <v>2687</v>
      </c>
      <c r="E29" s="202">
        <f t="shared" si="1"/>
        <v>405</v>
      </c>
      <c r="F29" s="202">
        <f>GETPIVOTDATA("Suma de Plazas",'[1]tabla dinámica plazas auto'!$A$3,"NombreMunicipio","santa cruz de tenerife","Actividad","HOTELES","Alta_Baja","A")</f>
        <v>2673</v>
      </c>
      <c r="G29" s="202">
        <f>GETPIVOTDATA("Suma de Plazas",'[1]tabla dinámica plazas auto'!$A$3,"NombreMunicipio","santa cruz de tenerife","Actividad","HOTELES","Alta_Baja","T")</f>
        <v>398</v>
      </c>
      <c r="H29" s="202">
        <f>GETPIVOTDATA("Suma de Plazas",'[1]tabla dinámica plazas auto'!$A$3,"NombreMunicipio","santa cruz de tenerife","Actividad","APARTAMENTOS","Alta_Baja","A")</f>
        <v>6</v>
      </c>
      <c r="I29" s="202">
        <f>GETPIVOTDATA("Suma de Plazas",'[1]tabla dinámica plazas auto'!$A$3,"NombreMunicipio","santa cruz de tenerife","Actividad","APARTAMENTOS","Alta_Baja","T")</f>
        <v>0</v>
      </c>
      <c r="J29" s="202">
        <f>GETPIVOTDATA("Suma de Plazas",'[1]tabla dinámica plazas auto'!$A$3,"NombreMunicipio","santa cruz de tenerife","Actividad","HOTELES RURALES","Alta_Baja","A")</f>
        <v>0</v>
      </c>
      <c r="K29" s="202">
        <f>GETPIVOTDATA("Suma de Plazas",'[1]tabla dinámica plazas auto'!$A$3,"NombreMunicipio","santa cruz de tenerife","Actividad","HOTELES RURALES","Alta_Baja","T")</f>
        <v>0</v>
      </c>
      <c r="L29" s="202">
        <f>GETPIVOTDATA("Suma de Plazas",'[1]tabla dinámica plazas auto'!$A$3,"NombreMunicipio","santa cruz de tenerife","Actividad","CASAS RURALES","Alta_Baja","A")</f>
        <v>8</v>
      </c>
      <c r="M29" s="202">
        <f>GETPIVOTDATA("Suma de Plazas",'[1]tabla dinámica plazas auto'!$A$3,"NombreMunicipio","santa cruz de tenerife","Actividad","CASAS RURALES","Alta_Baja","T")</f>
        <v>7</v>
      </c>
      <c r="N29" s="621"/>
      <c r="O29" s="621"/>
      <c r="P29" s="621"/>
      <c r="Q29" s="621"/>
      <c r="R29" s="621"/>
      <c r="S29" s="621"/>
      <c r="T29" s="621"/>
      <c r="U29" s="621"/>
    </row>
    <row r="30" spans="3:21">
      <c r="C30" s="618" t="s">
        <v>399</v>
      </c>
      <c r="D30" s="202">
        <f t="shared" si="1"/>
        <v>810</v>
      </c>
      <c r="E30" s="202">
        <f t="shared" si="1"/>
        <v>0</v>
      </c>
      <c r="F30" s="202">
        <f>GETPIVOTDATA("Suma de Plazas",'[1]tabla dinámica plazas auto'!$A$3,"NombreMunicipio","santa ursula","Actividad","HOTELES","Alta_Baja","A")</f>
        <v>804</v>
      </c>
      <c r="G30" s="202">
        <f>GETPIVOTDATA("Suma de Plazas",'[1]tabla dinámica plazas auto'!$A$3,"NombreMunicipio","santa ursula","Actividad","HOTELES","Alta_Baja","T")</f>
        <v>0</v>
      </c>
      <c r="H30" s="202">
        <f>GETPIVOTDATA("Suma de Plazas",'[1]tabla dinámica plazas auto'!$A$3,"NombreMunicipio","santa ursula","Actividad","APARTAMENTOS","Alta_Baja","A")</f>
        <v>6</v>
      </c>
      <c r="I30" s="202">
        <f>GETPIVOTDATA("Suma de Plazas",'[1]tabla dinámica plazas auto'!$A$3,"NombreMunicipio","santa ursula","Actividad","APARTAMENTOS","Alta_Baja","T")</f>
        <v>0</v>
      </c>
      <c r="J30" s="202">
        <f>GETPIVOTDATA("Suma de Plazas",'[1]tabla dinámica plazas auto'!$A$3,"NombreMunicipio","santa ursula","Actividad","HOTELES RURALES","Alta_Baja","A")</f>
        <v>0</v>
      </c>
      <c r="K30" s="202">
        <f>GETPIVOTDATA("Suma de Plazas",'[1]tabla dinámica plazas auto'!$A$3,"NombreMunicipio","santa ursula","Actividad","HOTELES RURALES","Alta_Baja","T")</f>
        <v>0</v>
      </c>
      <c r="L30" s="202">
        <f>GETPIVOTDATA("Suma de Plazas",'[1]tabla dinámica plazas auto'!$A$3,"NombreMunicipio","santa ursula","Actividad","CASAS RURALES","Alta_Baja","A")</f>
        <v>0</v>
      </c>
      <c r="M30" s="202">
        <f>GETPIVOTDATA("Suma de Plazas",'[1]tabla dinámica plazas auto'!$A$3,"NombreMunicipio","santa ursula","Actividad","CASAS RURALES","Alta_Baja","T")</f>
        <v>0</v>
      </c>
      <c r="N30" s="621"/>
      <c r="O30" s="621"/>
      <c r="P30" s="621"/>
      <c r="Q30" s="621"/>
      <c r="R30" s="621"/>
      <c r="S30" s="621"/>
      <c r="T30" s="621"/>
      <c r="U30" s="621"/>
    </row>
    <row r="31" spans="3:21">
      <c r="C31" s="618" t="s">
        <v>400</v>
      </c>
      <c r="D31" s="202">
        <f t="shared" si="1"/>
        <v>7277</v>
      </c>
      <c r="E31" s="202">
        <f t="shared" si="1"/>
        <v>240</v>
      </c>
      <c r="F31" s="202">
        <f>GETPIVOTDATA("Suma de Plazas",'[1]tabla dinámica plazas auto'!$A$3,"NombreMunicipio","santiago del teide","Actividad","HOTELES","Alta_Baja","A")</f>
        <v>3635</v>
      </c>
      <c r="G31" s="202">
        <f>GETPIVOTDATA("Suma de Plazas",'[1]tabla dinámica plazas auto'!$A$3,"NombreMunicipio","santiago del teide","Actividad","HOTELES","Alta_Baja","T")</f>
        <v>178</v>
      </c>
      <c r="H31" s="202">
        <f>GETPIVOTDATA("Suma de Plazas",'[1]tabla dinámica plazas auto'!$A$3,"NombreMunicipio","santiago del teide","Actividad","APARTAMENTOS","Alta_Baja","A")</f>
        <v>3642</v>
      </c>
      <c r="I31" s="202">
        <f>GETPIVOTDATA("Suma de Plazas",'[1]tabla dinámica plazas auto'!$A$3,"NombreMunicipio","santiago del teide","Actividad","APARTAMENTOS","Alta_Baja","T")</f>
        <v>58</v>
      </c>
      <c r="J31" s="202">
        <f>GETPIVOTDATA("Suma de Plazas",'[1]tabla dinámica plazas auto'!$A$3,"NombreMunicipio","santiago del teide","Actividad","HOTELES RURALES","Alta_Baja","A")</f>
        <v>0</v>
      </c>
      <c r="K31" s="202">
        <f>GETPIVOTDATA("Suma de Plazas",'[1]tabla dinámica plazas auto'!$A$3,"NombreMunicipio","santiago del teide","Actividad","HOTELES RURALES","Alta_Baja","T")</f>
        <v>0</v>
      </c>
      <c r="L31" s="202">
        <f>GETPIVOTDATA("Suma de Plazas",'[1]tabla dinámica plazas auto'!$A$3,"NombreMunicipio","santiago del teide","Actividad","CASAS RURALES","Alta_Baja","A")</f>
        <v>0</v>
      </c>
      <c r="M31" s="202">
        <f>GETPIVOTDATA("Suma de Plazas",'[1]tabla dinámica plazas auto'!$A$3,"NombreMunicipio","santiago del teide","Actividad","CASAS RURALES","Alta_Baja","T")</f>
        <v>4</v>
      </c>
      <c r="N31" s="621"/>
      <c r="O31" s="621"/>
      <c r="P31" s="621"/>
      <c r="Q31" s="621"/>
      <c r="R31" s="621"/>
      <c r="S31" s="621"/>
      <c r="T31" s="621"/>
      <c r="U31" s="621"/>
    </row>
    <row r="32" spans="3:21">
      <c r="C32" s="618" t="s">
        <v>401</v>
      </c>
      <c r="D32" s="202">
        <f t="shared" si="1"/>
        <v>18</v>
      </c>
      <c r="E32" s="202">
        <f t="shared" si="1"/>
        <v>0</v>
      </c>
      <c r="F32" s="202">
        <f>GETPIVOTDATA("Suma de Plazas",'[1]tabla dinámica plazas auto'!$A$3,"NombreMunicipio","sauzal (el)","Actividad","HOTELES","Alta_Baja","A")</f>
        <v>14</v>
      </c>
      <c r="G32" s="202">
        <f>GETPIVOTDATA("Suma de Plazas",'[1]tabla dinámica plazas auto'!$A$3,"NombreMunicipio","sauzal (el)","Actividad","HOTELES","Alta_Baja","T")</f>
        <v>0</v>
      </c>
      <c r="H32" s="202">
        <f>GETPIVOTDATA("Suma de Plazas",'[1]tabla dinámica plazas auto'!$A$3,"NombreMunicipio","sauzal (el)","Actividad","APARTAMENTOS","Alta_Baja","A")</f>
        <v>0</v>
      </c>
      <c r="I32" s="202">
        <f>GETPIVOTDATA("Suma de Plazas",'[1]tabla dinámica plazas auto'!$A$3,"NombreMunicipio","sauzal (el)","Actividad","APARTAMENTOS","Alta_Baja","T")</f>
        <v>0</v>
      </c>
      <c r="J32" s="202">
        <f>GETPIVOTDATA("Suma de Plazas",'[1]tabla dinámica plazas auto'!$A$3,"NombreMunicipio","sauzal (el)","Actividad","HOTELES RURALES","Alta_Baja","A")</f>
        <v>0</v>
      </c>
      <c r="K32" s="202">
        <f>GETPIVOTDATA("Suma de Plazas",'[1]tabla dinámica plazas auto'!$A$3,"NombreMunicipio","sauzal (el)","Actividad","HOTELES RURALES","Alta_Baja","T")</f>
        <v>0</v>
      </c>
      <c r="L32" s="202">
        <f>GETPIVOTDATA("Suma de Plazas",'[1]tabla dinámica plazas auto'!$A$3,"NombreMunicipio","sauzal (el)","Actividad","CASAS RURALES","Alta_Baja","A")</f>
        <v>4</v>
      </c>
      <c r="M32" s="202">
        <f>GETPIVOTDATA("Suma de Plazas",'[1]tabla dinámica plazas auto'!$A$3,"NombreMunicipio","sauzal (el)","Actividad","CASAS RURALES","Alta_Baja","T")</f>
        <v>0</v>
      </c>
      <c r="N32" s="621"/>
      <c r="O32" s="621"/>
      <c r="P32" s="621"/>
      <c r="Q32" s="621"/>
      <c r="R32" s="621"/>
      <c r="S32" s="621"/>
      <c r="T32" s="621"/>
      <c r="U32" s="621"/>
    </row>
    <row r="33" spans="2:32">
      <c r="C33" s="618" t="s">
        <v>402</v>
      </c>
      <c r="D33" s="202">
        <f t="shared" si="1"/>
        <v>45</v>
      </c>
      <c r="E33" s="202">
        <f t="shared" si="1"/>
        <v>98</v>
      </c>
      <c r="F33" s="202">
        <f>GETPIVOTDATA("Suma de Plazas",'[1]tabla dinámica plazas auto'!$A$3,"NombreMunicipio","silos (los)","Actividad","HOTELES","Alta_Baja","A")</f>
        <v>0</v>
      </c>
      <c r="G33" s="202">
        <f>GETPIVOTDATA("Suma de Plazas",'[1]tabla dinámica plazas auto'!$A$3,"NombreMunicipio","silos (los)","Actividad","HOTELES","Alta_Baja","T")</f>
        <v>98</v>
      </c>
      <c r="H33" s="202">
        <f>GETPIVOTDATA("Suma de Plazas",'[1]tabla dinámica plazas auto'!$A$3,"NombreMunicipio","silos (los)","Actividad","APARTAMENTOS","Alta_Baja","A")</f>
        <v>10</v>
      </c>
      <c r="I33" s="202">
        <f>GETPIVOTDATA("Suma de Plazas",'[1]tabla dinámica plazas auto'!$A$3,"NombreMunicipio","silos (los)","Actividad","APARTAMENTOS","Alta_Baja","T")</f>
        <v>0</v>
      </c>
      <c r="J33" s="202">
        <f>GETPIVOTDATA("Suma de Plazas",'[1]tabla dinámica plazas auto'!$A$3,"NombreMunicipio","silos (los)","Actividad","HOTELES RURALES","Alta_Baja","A")</f>
        <v>24</v>
      </c>
      <c r="K33" s="202">
        <f>GETPIVOTDATA("Suma de Plazas",'[1]tabla dinámica plazas auto'!$A$3,"NombreMunicipio","silos (los)","Actividad","HOTELES RURALES","Alta_Baja","T")</f>
        <v>0</v>
      </c>
      <c r="L33" s="202">
        <f>GETPIVOTDATA("Suma de Plazas",'[1]tabla dinámica plazas auto'!$A$3,"NombreMunicipio","silos (los)","Actividad","CASAS RURALES","Alta_Baja","A")</f>
        <v>11</v>
      </c>
      <c r="M33" s="202">
        <f>GETPIVOTDATA("Suma de Plazas",'[1]tabla dinámica plazas auto'!$A$3,"NombreMunicipio","silos (los)","Actividad","CASAS RURALES","Alta_Baja","T")</f>
        <v>0</v>
      </c>
      <c r="N33" s="621"/>
      <c r="O33" s="621"/>
      <c r="P33" s="621"/>
      <c r="Q33" s="621"/>
      <c r="R33" s="621"/>
      <c r="S33" s="621"/>
      <c r="T33" s="621"/>
      <c r="U33" s="621"/>
    </row>
    <row r="34" spans="2:32">
      <c r="C34" s="618" t="s">
        <v>403</v>
      </c>
      <c r="D34" s="202">
        <f t="shared" si="1"/>
        <v>296</v>
      </c>
      <c r="E34" s="202">
        <f t="shared" si="1"/>
        <v>29</v>
      </c>
      <c r="F34" s="202">
        <f>GETPIVOTDATA("Suma de Plazas",'[1]tabla dinámica plazas auto'!$A$3,"NombreMunicipio","tacoronte","Actividad","HOTELES","Alta_Baja","A")</f>
        <v>0</v>
      </c>
      <c r="G34" s="202">
        <f>GETPIVOTDATA("Suma de Plazas",'[1]tabla dinámica plazas auto'!$A$3,"NombreMunicipio","tacoronte","Actividad","HOTELES","Alta_Baja","T")</f>
        <v>0</v>
      </c>
      <c r="H34" s="202">
        <f>GETPIVOTDATA("Suma de Plazas",'[1]tabla dinámica plazas auto'!$A$3,"NombreMunicipio","tacoronte","Actividad","APARTAMENTOS","Alta_Baja","A")</f>
        <v>272</v>
      </c>
      <c r="I34" s="202">
        <f>GETPIVOTDATA("Suma de Plazas",'[1]tabla dinámica plazas auto'!$A$3,"NombreMunicipio","tacoronte","Actividad","APARTAMENTOS","Alta_Baja","T")</f>
        <v>0</v>
      </c>
      <c r="J34" s="202">
        <f>GETPIVOTDATA("Suma de Plazas",'[1]tabla dinámica plazas auto'!$A$3,"NombreMunicipio","tacoronte","Actividad","HOTELES RURALES","Alta_Baja","A")</f>
        <v>0</v>
      </c>
      <c r="K34" s="202">
        <f>GETPIVOTDATA("Suma de Plazas",'[1]tabla dinámica plazas auto'!$A$3,"NombreMunicipio","tacoronte","Actividad","HOTELES RURALES","Alta_Baja","T")</f>
        <v>29</v>
      </c>
      <c r="L34" s="202">
        <f>GETPIVOTDATA("Suma de Plazas",'[1]tabla dinámica plazas auto'!$A$3,"NombreMunicipio","tacoronte","Actividad","CASAS RURALES","Alta_Baja","A")</f>
        <v>24</v>
      </c>
      <c r="M34" s="202">
        <f>GETPIVOTDATA("Suma de Plazas",'[1]tabla dinámica plazas auto'!$A$3,"NombreMunicipio","tacoronte","Actividad","CASAS RURALES","Alta_Baja","T")</f>
        <v>0</v>
      </c>
      <c r="N34" s="621"/>
      <c r="O34" s="621"/>
      <c r="P34" s="621"/>
      <c r="Q34" s="621"/>
      <c r="R34" s="621"/>
      <c r="S34" s="621"/>
      <c r="T34" s="621"/>
      <c r="U34" s="621"/>
    </row>
    <row r="35" spans="2:32">
      <c r="C35" s="618" t="s">
        <v>404</v>
      </c>
      <c r="D35" s="202">
        <f t="shared" si="1"/>
        <v>24</v>
      </c>
      <c r="E35" s="202">
        <f t="shared" si="1"/>
        <v>27</v>
      </c>
      <c r="F35" s="202">
        <f>GETPIVOTDATA("Suma de Plazas",'[1]tabla dinámica plazas auto'!$A$3,"NombreMunicipio","tanque (el)","Actividad","HOTELES","Alta_Baja","A")</f>
        <v>0</v>
      </c>
      <c r="G35" s="202">
        <f>GETPIVOTDATA("Suma de Plazas",'[1]tabla dinámica plazas auto'!$A$3,"NombreMunicipio","tanque (el)","Actividad","HOTELES","Alta_Baja","T")</f>
        <v>0</v>
      </c>
      <c r="H35" s="202">
        <f>GETPIVOTDATA("Suma de Plazas",'[1]tabla dinámica plazas auto'!$A$3,"NombreMunicipio","tanque (el)","Actividad","APARTAMENTOS","Alta_Baja","A")</f>
        <v>0</v>
      </c>
      <c r="I35" s="202">
        <f>GETPIVOTDATA("Suma de Plazas",'[1]tabla dinámica plazas auto'!$A$3,"NombreMunicipio","tanque (el)","Actividad","APARTAMENTOS","Alta_Baja","T")</f>
        <v>0</v>
      </c>
      <c r="J35" s="202">
        <f>GETPIVOTDATA("Suma de Plazas",'[1]tabla dinámica plazas auto'!$A$3,"NombreMunicipio","tanque (el)","Actividad","HOTELES RURALES","Alta_Baja","A")</f>
        <v>21</v>
      </c>
      <c r="K35" s="202">
        <f>GETPIVOTDATA("Suma de Plazas",'[1]tabla dinámica plazas auto'!$A$3,"NombreMunicipio","tanque (el)","Actividad","HOTELES RURALES","Alta_Baja","T")</f>
        <v>0</v>
      </c>
      <c r="L35" s="202">
        <f>GETPIVOTDATA("Suma de Plazas",'[1]tabla dinámica plazas auto'!$A$3,"NombreMunicipio","tanque (el)","Actividad","CASAS RURALES","Alta_Baja","A")</f>
        <v>3</v>
      </c>
      <c r="M35" s="202">
        <f>GETPIVOTDATA("Suma de Plazas",'[1]tabla dinámica plazas auto'!$A$3,"NombreMunicipio","tanque (el)","Actividad","CASAS RURALES","Alta_Baja","T")</f>
        <v>27</v>
      </c>
      <c r="N35" s="621"/>
      <c r="O35" s="621"/>
      <c r="P35" s="621"/>
      <c r="Q35" s="621"/>
      <c r="R35" s="621"/>
      <c r="S35" s="621"/>
      <c r="T35" s="621"/>
      <c r="U35" s="621"/>
    </row>
    <row r="36" spans="2:32">
      <c r="C36" s="618" t="s">
        <v>405</v>
      </c>
      <c r="D36" s="202">
        <f t="shared" si="1"/>
        <v>16</v>
      </c>
      <c r="E36" s="202">
        <f t="shared" si="1"/>
        <v>16</v>
      </c>
      <c r="F36" s="202">
        <f>GETPIVOTDATA("Suma de Plazas",'[1]tabla dinámica plazas auto'!$A$3,"NombreMunicipio","tegueste","Actividad","HOTELES","Alta_Baja","A")</f>
        <v>0</v>
      </c>
      <c r="G36" s="202">
        <f>GETPIVOTDATA("Suma de Plazas",'[1]tabla dinámica plazas auto'!$A$3,"NombreMunicipio","tegueste","Actividad","HOTELES","Alta_Baja","T")</f>
        <v>0</v>
      </c>
      <c r="H36" s="202">
        <f>GETPIVOTDATA("Suma de Plazas",'[1]tabla dinámica plazas auto'!$A$3,"NombreMunicipio","tegueste","Actividad","APARTAMENTOS","Alta_Baja","A")</f>
        <v>7</v>
      </c>
      <c r="I36" s="202">
        <f>GETPIVOTDATA("Suma de Plazas",'[1]tabla dinámica plazas auto'!$A$3,"NombreMunicipio","tegueste","Actividad","APARTAMENTOS","Alta_Baja","T")</f>
        <v>0</v>
      </c>
      <c r="J36" s="202">
        <f>GETPIVOTDATA("Suma de Plazas",'[1]tabla dinámica plazas auto'!$A$3,"NombreMunicipio","tegueste","Actividad","HOTELES RURALES","Alta_Baja","A")</f>
        <v>0</v>
      </c>
      <c r="K36" s="202">
        <f>GETPIVOTDATA("Suma de Plazas",'[1]tabla dinámica plazas auto'!$A$3,"NombreMunicipio","tegueste","Actividad","HOTELES RURALES","Alta_Baja","T")</f>
        <v>0</v>
      </c>
      <c r="L36" s="202">
        <f>GETPIVOTDATA("Suma de Plazas",'[1]tabla dinámica plazas auto'!$A$3,"NombreMunicipio","tegueste","Actividad","CASAS RURALES","Alta_Baja","A")</f>
        <v>9</v>
      </c>
      <c r="M36" s="202">
        <f>GETPIVOTDATA("Suma de Plazas",'[1]tabla dinámica plazas auto'!$A$3,"NombreMunicipio","tegueste","Actividad","CASAS RURALES","Alta_Baja","T")</f>
        <v>16</v>
      </c>
      <c r="N36" s="621"/>
      <c r="O36" s="621"/>
      <c r="P36" s="621"/>
      <c r="Q36" s="621"/>
      <c r="R36" s="621"/>
      <c r="S36" s="621"/>
      <c r="T36" s="621"/>
      <c r="U36" s="621"/>
    </row>
    <row r="37" spans="2:32">
      <c r="C37" s="618" t="s">
        <v>406</v>
      </c>
      <c r="D37" s="202">
        <f t="shared" si="1"/>
        <v>12</v>
      </c>
      <c r="E37" s="202">
        <f t="shared" si="1"/>
        <v>0</v>
      </c>
      <c r="F37" s="202">
        <f>GETPIVOTDATA("Suma de Plazas",'[1]tabla dinámica plazas auto'!$A$3,"NombreMunicipio","victoria de acentejo (la)","Actividad","HOTELES","Alta_Baja","A")</f>
        <v>0</v>
      </c>
      <c r="G37" s="202">
        <f>GETPIVOTDATA("Suma de Plazas",'[1]tabla dinámica plazas auto'!$A$3,"NombreMunicipio","victoria de acentejo (la)","Actividad","HOTELES","Alta_Baja","T")</f>
        <v>0</v>
      </c>
      <c r="H37" s="202">
        <f>GETPIVOTDATA("Suma de Plazas",'[1]tabla dinámica plazas auto'!$A$3,"NombreMunicipio","victoria de acentejo (la)","Actividad","APARTAMENTOS","Alta_Baja","A")</f>
        <v>0</v>
      </c>
      <c r="I37" s="202">
        <f>GETPIVOTDATA("Suma de Plazas",'[1]tabla dinámica plazas auto'!$A$3,"NombreMunicipio","victoria de acentejo (la)","Actividad","APARTAMENTOS","Alta_Baja","T")</f>
        <v>0</v>
      </c>
      <c r="J37" s="202">
        <f>GETPIVOTDATA("Suma de Plazas",'[1]tabla dinámica plazas auto'!$A$3,"NombreMunicipio","victoria de acentejo (la)","Actividad","HOTELES RURALES","Alta_Baja","A")</f>
        <v>0</v>
      </c>
      <c r="K37" s="202">
        <f>GETPIVOTDATA("Suma de Plazas",'[1]tabla dinámica plazas auto'!$A$3,"NombreMunicipio","victoria de acentejo (la)","Actividad","HOTELES RURALES","Alta_Baja","T")</f>
        <v>0</v>
      </c>
      <c r="L37" s="202">
        <f>GETPIVOTDATA("Suma de Plazas",'[1]tabla dinámica plazas auto'!$A$3,"NombreMunicipio","victoria de acentejo (la)","Actividad","CASAS RURALES","Alta_Baja","A")</f>
        <v>12</v>
      </c>
      <c r="M37" s="202">
        <f>GETPIVOTDATA("Suma de Plazas",'[1]tabla dinámica plazas auto'!$A$3,"NombreMunicipio","victoria de acentejo (la)","Actividad","CASAS RURALES","Alta_Baja","T")</f>
        <v>0</v>
      </c>
      <c r="N37" s="621"/>
      <c r="O37" s="621"/>
      <c r="P37" s="621"/>
      <c r="Q37" s="621"/>
      <c r="R37" s="621"/>
      <c r="S37" s="621"/>
      <c r="T37" s="621"/>
      <c r="U37" s="621"/>
    </row>
    <row r="38" spans="2:32">
      <c r="C38" s="618" t="s">
        <v>407</v>
      </c>
      <c r="D38" s="202">
        <f t="shared" si="1"/>
        <v>157</v>
      </c>
      <c r="E38" s="202">
        <f t="shared" si="1"/>
        <v>179</v>
      </c>
      <c r="F38" s="202">
        <f>GETPIVOTDATA("Suma de Plazas",'[1]tabla dinámica plazas auto'!$A$3,"NombreMunicipio","vilaflor","Actividad","HOTELES","Alta_Baja","A")</f>
        <v>97</v>
      </c>
      <c r="G38" s="202">
        <f>GETPIVOTDATA("Suma de Plazas",'[1]tabla dinámica plazas auto'!$A$3,"NombreMunicipio","vilaflor","Actividad","HOTELES","Alta_Baja","T")</f>
        <v>38</v>
      </c>
      <c r="H38" s="202">
        <f>GETPIVOTDATA("Suma de Plazas",'[1]tabla dinámica plazas auto'!$A$3,"NombreMunicipio","vilaflor","Actividad","APARTAMENTOS","Alta_Baja","A")</f>
        <v>6</v>
      </c>
      <c r="I38" s="202">
        <f>GETPIVOTDATA("Suma de Plazas",'[1]tabla dinámica plazas auto'!$A$3,"NombreMunicipio","vilaflor","Actividad","APARTAMENTOS","Alta_Baja","T")</f>
        <v>41</v>
      </c>
      <c r="J38" s="202">
        <f>GETPIVOTDATA("Suma de Plazas",'[1]tabla dinámica plazas auto'!$A$3,"NombreMunicipio","vilaflor","Actividad","HOTELES RURALES","Alta_Baja","A")</f>
        <v>40</v>
      </c>
      <c r="K38" s="202">
        <f>GETPIVOTDATA("Suma de Plazas",'[1]tabla dinámica plazas auto'!$A$3,"NombreMunicipio","vilaflor","Actividad","HOTELES RURALES","Alta_Baja","T")</f>
        <v>100</v>
      </c>
      <c r="L38" s="202">
        <f>GETPIVOTDATA("Suma de Plazas",'[1]tabla dinámica plazas auto'!$A$3,"NombreMunicipio","vilaflor","Actividad","CASAS RURALES","Alta_Baja","A")</f>
        <v>14</v>
      </c>
      <c r="M38" s="202">
        <f>GETPIVOTDATA("Suma de Plazas",'[1]tabla dinámica plazas auto'!$A$3,"NombreMunicipio","vilaflor","Actividad","CASAS RURALES","Alta_Baja","T")</f>
        <v>0</v>
      </c>
      <c r="N38" s="621"/>
      <c r="O38" s="621"/>
      <c r="P38" s="621"/>
      <c r="Q38" s="621"/>
      <c r="R38" s="621"/>
      <c r="S38" s="621"/>
      <c r="T38" s="621"/>
      <c r="U38" s="621"/>
    </row>
    <row r="39" spans="2:32">
      <c r="C39" s="622" t="s">
        <v>408</v>
      </c>
      <c r="D39" s="623">
        <f t="shared" si="1"/>
        <v>134373</v>
      </c>
      <c r="E39" s="623">
        <f t="shared" si="1"/>
        <v>15161</v>
      </c>
      <c r="F39" s="623">
        <f>GETPIVOTDATA("Suma de Plazas",'[1]tabla dinámica plazas auto'!$A$3,"Actividad","HOTELES","Alta_Baja","A")</f>
        <v>81957</v>
      </c>
      <c r="G39" s="623">
        <f>GETPIVOTDATA("Suma de Plazas",'[1]tabla dinámica plazas auto'!$A$3,"Actividad","HOTELES","Alta_Baja","T")</f>
        <v>8134</v>
      </c>
      <c r="H39" s="623">
        <f>GETPIVOTDATA("Suma de Plazas",'[1]tabla dinámica plazas auto'!$A$3,"Actividad","APARTAMENTOS","Alta_Baja","A")</f>
        <v>51167</v>
      </c>
      <c r="I39" s="623">
        <f>GETPIVOTDATA("Suma de Plazas",'[1]tabla dinámica plazas auto'!$A$3,"Actividad","APARTAMENTOS","Alta_Baja","T")</f>
        <v>6420</v>
      </c>
      <c r="J39" s="623">
        <f>GETPIVOTDATA("Suma de Plazas",'[1]tabla dinámica plazas auto'!$A$3,"Actividad","HOTELES RURALES","Alta_Baja","A")</f>
        <v>473</v>
      </c>
      <c r="K39" s="623">
        <f>GETPIVOTDATA("Suma de Plazas",'[1]tabla dinámica plazas auto'!$A$3,"Actividad","HOTELES RURALES","Alta_Baja","T")</f>
        <v>253</v>
      </c>
      <c r="L39" s="623">
        <f>GETPIVOTDATA("Suma de Plazas",'[1]tabla dinámica plazas auto'!$A$3,"Actividad","CASAS RURALES","Alta_Baja","A")</f>
        <v>776</v>
      </c>
      <c r="M39" s="623">
        <f>GETPIVOTDATA("Suma de Plazas",'[1]tabla dinámica plazas auto'!$A$3,"Actividad","CASAS RURALES","Alta_Baja","T")</f>
        <v>354</v>
      </c>
      <c r="N39" s="621"/>
      <c r="O39" s="621"/>
      <c r="P39" s="621"/>
      <c r="Q39" s="621"/>
      <c r="R39" s="621"/>
      <c r="S39" s="621"/>
      <c r="T39" s="621"/>
      <c r="U39" s="621"/>
    </row>
    <row r="40" spans="2:32" ht="14.25" customHeight="1">
      <c r="C40" s="624" t="s">
        <v>409</v>
      </c>
      <c r="D40" s="624"/>
      <c r="E40" s="624"/>
      <c r="F40" s="624"/>
      <c r="G40" s="624"/>
      <c r="H40" s="624"/>
      <c r="I40" s="624"/>
      <c r="J40" s="624"/>
      <c r="K40" s="624"/>
      <c r="L40" s="624"/>
      <c r="M40" s="624"/>
      <c r="N40" s="621"/>
      <c r="O40" s="621"/>
      <c r="P40" s="621"/>
      <c r="Q40" s="621"/>
      <c r="R40" s="621"/>
      <c r="S40" s="621"/>
      <c r="T40" s="621"/>
      <c r="U40" s="621"/>
    </row>
    <row r="41" spans="2:32">
      <c r="N41" s="621"/>
      <c r="O41" s="621"/>
      <c r="P41" s="621"/>
      <c r="Q41" s="621"/>
      <c r="R41" s="621"/>
      <c r="S41" s="621"/>
      <c r="T41" s="621"/>
      <c r="U41" s="621"/>
    </row>
    <row r="42" spans="2:32" ht="26.25" customHeight="1">
      <c r="J42" s="621"/>
      <c r="K42" s="621"/>
      <c r="L42" s="621"/>
      <c r="M42" s="621"/>
      <c r="N42" s="621"/>
      <c r="O42" s="621"/>
      <c r="P42" s="621"/>
      <c r="Q42" s="621"/>
      <c r="R42" s="621"/>
      <c r="S42" s="621"/>
    </row>
    <row r="43" spans="2:32" ht="33" customHeight="1">
      <c r="L43" s="625"/>
      <c r="M43" s="625"/>
      <c r="N43" s="625"/>
      <c r="O43" s="625"/>
      <c r="P43" s="625"/>
      <c r="Q43" s="625"/>
      <c r="R43" s="625"/>
      <c r="S43" s="625"/>
      <c r="T43" s="625"/>
      <c r="U43" s="625"/>
      <c r="V43" s="625"/>
      <c r="W43" s="625"/>
      <c r="X43" s="625"/>
      <c r="Y43" s="625"/>
      <c r="Z43" s="625"/>
      <c r="AA43" s="625"/>
      <c r="AB43" s="625"/>
      <c r="AC43" s="625"/>
      <c r="AD43" s="625"/>
      <c r="AE43" s="625"/>
      <c r="AF43" s="625"/>
    </row>
    <row r="44" spans="2:32">
      <c r="B44" s="619"/>
      <c r="C44" s="626"/>
      <c r="D44" s="627"/>
      <c r="E44" s="627"/>
      <c r="F44" s="627"/>
      <c r="G44" s="627"/>
      <c r="H44" s="627"/>
      <c r="I44" s="627"/>
      <c r="J44" s="621"/>
      <c r="K44" s="621"/>
      <c r="L44" s="621"/>
      <c r="M44" s="621"/>
      <c r="N44" s="621"/>
      <c r="O44" s="621"/>
      <c r="P44" s="621"/>
      <c r="Q44" s="621"/>
      <c r="R44" s="621"/>
      <c r="S44" s="621"/>
      <c r="T44" s="621"/>
      <c r="U44" s="621"/>
    </row>
    <row r="45" spans="2:32">
      <c r="B45" s="619"/>
      <c r="C45" s="619"/>
      <c r="D45" s="619"/>
      <c r="E45" s="619"/>
      <c r="F45" s="619"/>
      <c r="G45" s="619"/>
      <c r="H45" s="619"/>
      <c r="I45" s="619"/>
      <c r="J45" s="619"/>
      <c r="K45" s="619"/>
      <c r="L45" s="619"/>
      <c r="M45" s="619"/>
      <c r="N45" s="619"/>
      <c r="O45" s="619"/>
      <c r="P45" s="619"/>
      <c r="Q45" s="619"/>
      <c r="R45" s="619"/>
      <c r="S45" s="619"/>
      <c r="T45" s="619"/>
      <c r="U45" s="619"/>
    </row>
    <row r="46" spans="2:32">
      <c r="B46" s="619"/>
      <c r="C46" s="619"/>
      <c r="D46" s="619"/>
      <c r="E46" s="619"/>
      <c r="F46" s="619"/>
      <c r="G46" s="619"/>
      <c r="H46" s="619"/>
      <c r="I46" s="619"/>
      <c r="J46" s="619"/>
      <c r="K46" s="619"/>
      <c r="L46" s="619"/>
      <c r="M46" s="619"/>
      <c r="N46" s="619"/>
      <c r="O46" s="619"/>
      <c r="P46" s="619"/>
      <c r="Q46" s="619"/>
      <c r="R46" s="619"/>
      <c r="S46" s="619"/>
      <c r="T46" s="619"/>
      <c r="U46" s="619"/>
    </row>
    <row r="47" spans="2:32">
      <c r="B47" s="619"/>
      <c r="C47" s="619"/>
      <c r="D47" s="619"/>
      <c r="E47" s="619"/>
      <c r="F47" s="619"/>
      <c r="G47" s="619"/>
      <c r="H47" s="619"/>
      <c r="I47" s="619"/>
      <c r="J47" s="619"/>
      <c r="K47" s="619"/>
      <c r="L47" s="619"/>
      <c r="M47" s="619"/>
      <c r="N47" s="619"/>
      <c r="O47" s="619"/>
      <c r="P47" s="619"/>
      <c r="Q47" s="619"/>
      <c r="R47" s="619"/>
      <c r="S47" s="619"/>
      <c r="T47" s="619"/>
      <c r="U47" s="619"/>
    </row>
    <row r="48" spans="2:32">
      <c r="B48" s="619"/>
      <c r="C48" s="619"/>
      <c r="D48" s="619"/>
      <c r="E48" s="619"/>
      <c r="F48" s="619"/>
      <c r="G48" s="619"/>
      <c r="H48" s="619"/>
      <c r="I48" s="619"/>
      <c r="J48" s="619"/>
      <c r="K48" s="619"/>
      <c r="L48" s="619"/>
      <c r="M48" s="619"/>
      <c r="N48" s="619"/>
      <c r="O48" s="619"/>
      <c r="P48" s="619"/>
      <c r="Q48" s="619"/>
      <c r="R48" s="619"/>
      <c r="S48" s="619"/>
      <c r="T48" s="619"/>
      <c r="U48" s="619"/>
    </row>
    <row r="49" spans="2:21">
      <c r="B49" s="619"/>
      <c r="C49" s="619"/>
      <c r="D49" s="619"/>
      <c r="E49" s="619"/>
      <c r="F49" s="619"/>
      <c r="G49" s="619"/>
      <c r="H49" s="619"/>
      <c r="I49" s="619"/>
      <c r="J49" s="619"/>
      <c r="K49" s="619"/>
      <c r="L49" s="619"/>
      <c r="M49" s="619"/>
      <c r="N49" s="619"/>
      <c r="O49" s="619"/>
      <c r="P49" s="619"/>
      <c r="Q49" s="619"/>
      <c r="R49" s="619"/>
      <c r="S49" s="619"/>
      <c r="T49" s="619"/>
      <c r="U49" s="619"/>
    </row>
    <row r="50" spans="2:21">
      <c r="B50" s="619"/>
      <c r="C50" s="619"/>
      <c r="D50" s="619"/>
      <c r="E50" s="619"/>
      <c r="F50" s="619"/>
      <c r="G50" s="619"/>
      <c r="H50" s="619"/>
      <c r="I50" s="619"/>
      <c r="J50" s="619"/>
      <c r="K50" s="619"/>
      <c r="L50" s="619"/>
      <c r="M50" s="619"/>
      <c r="N50" s="619"/>
      <c r="O50" s="619"/>
      <c r="P50" s="619"/>
      <c r="Q50" s="619"/>
      <c r="R50" s="619"/>
      <c r="S50" s="619"/>
      <c r="T50" s="619"/>
      <c r="U50" s="619"/>
    </row>
    <row r="51" spans="2:21">
      <c r="B51" s="619"/>
      <c r="C51" s="619"/>
      <c r="D51" s="619"/>
      <c r="E51" s="619"/>
      <c r="F51" s="619"/>
      <c r="G51" s="619"/>
      <c r="H51" s="619"/>
      <c r="I51" s="619"/>
      <c r="J51" s="619"/>
      <c r="K51" s="619"/>
      <c r="L51" s="619"/>
      <c r="M51" s="619"/>
      <c r="N51" s="619"/>
      <c r="O51" s="619"/>
      <c r="P51" s="619"/>
      <c r="Q51" s="619"/>
      <c r="R51" s="619"/>
      <c r="S51" s="619"/>
      <c r="T51" s="619"/>
      <c r="U51" s="619"/>
    </row>
    <row r="52" spans="2:21">
      <c r="B52" s="619"/>
      <c r="C52" s="619"/>
      <c r="D52" s="619"/>
      <c r="E52" s="619"/>
      <c r="F52" s="619"/>
      <c r="G52" s="619"/>
      <c r="H52" s="619"/>
      <c r="I52" s="619"/>
      <c r="J52" s="619"/>
      <c r="K52" s="619"/>
      <c r="L52" s="619"/>
      <c r="M52" s="619"/>
      <c r="N52" s="619"/>
      <c r="O52" s="619"/>
      <c r="P52" s="619"/>
      <c r="Q52" s="619"/>
      <c r="R52" s="619"/>
      <c r="S52" s="619"/>
      <c r="T52" s="619"/>
      <c r="U52" s="619"/>
    </row>
    <row r="53" spans="2:21">
      <c r="B53" s="619"/>
      <c r="C53" s="619"/>
      <c r="D53" s="619"/>
      <c r="E53" s="619"/>
      <c r="F53" s="619"/>
      <c r="G53" s="619"/>
      <c r="H53" s="619"/>
      <c r="I53" s="619"/>
      <c r="J53" s="619"/>
      <c r="K53" s="619"/>
      <c r="L53" s="619"/>
      <c r="M53" s="619"/>
      <c r="N53" s="619"/>
      <c r="O53" s="619"/>
      <c r="P53" s="619"/>
      <c r="Q53" s="619"/>
      <c r="R53" s="619"/>
      <c r="S53" s="619"/>
      <c r="T53" s="619"/>
      <c r="U53" s="619"/>
    </row>
    <row r="54" spans="2:21">
      <c r="B54" s="619"/>
      <c r="C54" s="619"/>
      <c r="D54" s="619"/>
      <c r="E54" s="619"/>
      <c r="F54" s="619"/>
      <c r="G54" s="619"/>
      <c r="H54" s="619"/>
      <c r="I54" s="619"/>
      <c r="J54" s="619"/>
      <c r="K54" s="619"/>
      <c r="L54" s="619"/>
      <c r="M54" s="619"/>
      <c r="N54" s="619"/>
      <c r="O54" s="619"/>
      <c r="P54" s="619"/>
      <c r="Q54" s="619"/>
      <c r="R54" s="619"/>
      <c r="S54" s="619"/>
      <c r="T54" s="619"/>
      <c r="U54" s="619"/>
    </row>
    <row r="55" spans="2:21">
      <c r="B55" s="619"/>
      <c r="C55" s="619"/>
      <c r="D55" s="619"/>
      <c r="E55" s="619"/>
      <c r="F55" s="619"/>
      <c r="G55" s="619"/>
      <c r="H55" s="619"/>
      <c r="I55" s="619"/>
      <c r="J55" s="619"/>
      <c r="K55" s="619"/>
      <c r="L55" s="619"/>
      <c r="M55" s="619"/>
      <c r="N55" s="619"/>
      <c r="O55" s="619"/>
      <c r="P55" s="619"/>
      <c r="Q55" s="619"/>
      <c r="R55" s="619"/>
      <c r="S55" s="619"/>
      <c r="T55" s="619"/>
      <c r="U55" s="619"/>
    </row>
    <row r="56" spans="2:21">
      <c r="B56" s="619"/>
      <c r="C56" s="619"/>
      <c r="D56" s="619"/>
      <c r="E56" s="619"/>
      <c r="F56" s="619"/>
      <c r="G56" s="619"/>
      <c r="H56" s="619"/>
      <c r="I56" s="619"/>
      <c r="J56" s="619"/>
      <c r="K56" s="619"/>
      <c r="L56" s="619"/>
      <c r="M56" s="619"/>
      <c r="N56" s="619"/>
      <c r="O56" s="619"/>
      <c r="P56" s="619"/>
      <c r="Q56" s="619"/>
      <c r="R56" s="619"/>
      <c r="S56" s="619"/>
      <c r="T56" s="619"/>
      <c r="U56" s="619"/>
    </row>
    <row r="57" spans="2:21">
      <c r="B57" s="619"/>
      <c r="C57" s="619"/>
      <c r="D57" s="619"/>
      <c r="E57" s="619"/>
      <c r="F57" s="619"/>
      <c r="G57" s="619"/>
      <c r="H57" s="619"/>
      <c r="I57" s="619"/>
      <c r="J57" s="619"/>
      <c r="K57" s="619"/>
      <c r="L57" s="619"/>
      <c r="M57" s="619"/>
      <c r="N57" s="619"/>
      <c r="O57" s="619"/>
      <c r="P57" s="619"/>
      <c r="Q57" s="619"/>
      <c r="R57" s="619"/>
      <c r="S57" s="619"/>
      <c r="T57" s="619"/>
      <c r="U57" s="619"/>
    </row>
    <row r="58" spans="2:21">
      <c r="B58" s="619"/>
      <c r="C58" s="619"/>
      <c r="D58" s="619"/>
      <c r="E58" s="619"/>
      <c r="F58" s="619"/>
      <c r="G58" s="619"/>
      <c r="H58" s="619"/>
      <c r="I58" s="619"/>
      <c r="J58" s="619"/>
      <c r="K58" s="619"/>
      <c r="L58" s="619"/>
      <c r="M58" s="619"/>
      <c r="N58" s="619"/>
      <c r="O58" s="619"/>
      <c r="P58" s="619"/>
      <c r="Q58" s="619"/>
      <c r="R58" s="619"/>
      <c r="S58" s="619"/>
      <c r="T58" s="619"/>
      <c r="U58" s="619"/>
    </row>
    <row r="59" spans="2:21">
      <c r="B59" s="619"/>
      <c r="C59" s="619"/>
      <c r="D59" s="619"/>
      <c r="E59" s="619"/>
      <c r="F59" s="619"/>
      <c r="G59" s="619"/>
      <c r="H59" s="619"/>
      <c r="I59" s="619"/>
      <c r="J59" s="619"/>
      <c r="K59" s="619"/>
      <c r="L59" s="619"/>
      <c r="M59" s="619"/>
      <c r="N59" s="619"/>
      <c r="O59" s="619"/>
      <c r="P59" s="619"/>
      <c r="Q59" s="619"/>
      <c r="R59" s="619"/>
      <c r="S59" s="619"/>
      <c r="T59" s="619"/>
      <c r="U59" s="619"/>
    </row>
    <row r="60" spans="2:21">
      <c r="B60" s="619"/>
      <c r="C60" s="619"/>
      <c r="D60" s="619"/>
      <c r="E60" s="619"/>
      <c r="F60" s="619"/>
      <c r="G60" s="619"/>
      <c r="H60" s="619"/>
      <c r="I60" s="619"/>
      <c r="J60" s="619"/>
      <c r="K60" s="619"/>
      <c r="L60" s="619"/>
      <c r="M60" s="619"/>
      <c r="N60" s="619"/>
      <c r="O60" s="619"/>
      <c r="P60" s="619"/>
      <c r="Q60" s="619"/>
      <c r="R60" s="619"/>
      <c r="S60" s="619"/>
      <c r="T60" s="619"/>
      <c r="U60" s="619"/>
    </row>
    <row r="61" spans="2:21">
      <c r="B61" s="619"/>
      <c r="C61" s="619"/>
      <c r="D61" s="619"/>
      <c r="E61" s="619"/>
      <c r="F61" s="619"/>
      <c r="G61" s="619"/>
      <c r="H61" s="619"/>
      <c r="I61" s="619"/>
      <c r="J61" s="619"/>
      <c r="K61" s="619"/>
      <c r="L61" s="619"/>
      <c r="M61" s="619"/>
      <c r="N61" s="619"/>
      <c r="O61" s="619"/>
      <c r="P61" s="619"/>
      <c r="Q61" s="619"/>
      <c r="R61" s="619"/>
      <c r="S61" s="619"/>
      <c r="T61" s="619"/>
      <c r="U61" s="619"/>
    </row>
  </sheetData>
  <mergeCells count="8">
    <mergeCell ref="C40:M40"/>
    <mergeCell ref="C4:M4"/>
    <mergeCell ref="C5:M5"/>
    <mergeCell ref="D6:E6"/>
    <mergeCell ref="F6:G6"/>
    <mergeCell ref="H6:I6"/>
    <mergeCell ref="J6:K6"/>
    <mergeCell ref="L6:M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julio 2010)</oddHeader>
    <oddFooter>&amp;CTurismo de Tenerife&amp;R&amp;P</oddFooter>
  </headerFooter>
  <colBreaks count="1" manualBreakCount="1">
    <brk id="32" max="1048575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2010</year>
    <PublishingExpirationDate xmlns="http://schemas.microsoft.com/sharepoint/v3" xsi:nil="true"/>
    <mercado xmlns="f58ff5a6-252f-4ce0-9aec-4d01cb81bd09">espana</mercado>
    <PublishingStartDate xmlns="http://schemas.microsoft.com/sharepoint/v3">2010-08-01T23:00:00+00:00</PublishingStartDate>
    <_dlc_DocId xmlns="8b099203-c902-4a5b-992f-1f849b15ff82">Q5F7QW3RQ55V-2054-193</_dlc_DocId>
    <_dlc_DocIdUrl xmlns="8b099203-c902-4a5b-992f-1f849b15ff82">
      <Url>http://cd102671/es/investigacion/Situacion-turistica/zonas-turisticas-tenerife/_layouts/DocIdRedir.aspx?ID=Q5F7QW3RQ55V-2054-193</Url>
      <Description>Q5F7QW3RQ55V-2054-193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69639C9-8B29-4144-9CCB-57E9E26A0CB6}"/>
</file>

<file path=customXml/itemProps2.xml><?xml version="1.0" encoding="utf-8"?>
<ds:datastoreItem xmlns:ds="http://schemas.openxmlformats.org/officeDocument/2006/customXml" ds:itemID="{344853A4-0599-4629-8161-DEFEDB96F892}"/>
</file>

<file path=customXml/itemProps3.xml><?xml version="1.0" encoding="utf-8"?>
<ds:datastoreItem xmlns:ds="http://schemas.openxmlformats.org/officeDocument/2006/customXml" ds:itemID="{99F6CDB8-A99B-4141-9303-C7BB960FE2A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105</vt:i4>
      </vt:variant>
      <vt:variant>
        <vt:lpstr>Rangos con nombre</vt:lpstr>
      </vt:variant>
      <vt:variant>
        <vt:i4>105</vt:i4>
      </vt:variant>
    </vt:vector>
  </HeadingPairs>
  <TitlesOfParts>
    <vt:vector size="210" baseType="lpstr">
      <vt:lpstr>Menú Principal</vt:lpstr>
      <vt:lpstr>Menú Turismo alojado</vt:lpstr>
      <vt:lpstr>Menú tipología de establecimien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Menú zonas y tipología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Menú categoría-tipología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Menú nacionalidades</vt:lpstr>
      <vt:lpstr>graficas evol mensual merc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Menú Pernoctaciones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Menú IO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Menú EM</vt:lpstr>
      <vt:lpstr>Tablas evol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Menú municipios turísticos</vt:lpstr>
      <vt:lpstr>Alojados por municipio</vt:lpstr>
      <vt:lpstr>Gráfica alojados municipio</vt:lpstr>
      <vt:lpstr>Alojados tipología y categoría</vt:lpstr>
      <vt:lpstr>Gráfico aloj tipolog y categorí</vt:lpstr>
      <vt:lpstr>Pernoctaciones munic y tipologí</vt:lpstr>
      <vt:lpstr>Gráfica pernoct munic tipología</vt:lpstr>
      <vt:lpstr>pernocta municipio y catego</vt:lpstr>
      <vt:lpstr>Gráfico pernocta munic y cate</vt:lpstr>
      <vt:lpstr>IO municipio y Tipología</vt:lpstr>
      <vt:lpstr>gráfica IO MUNICIPI y tipología</vt:lpstr>
      <vt:lpstr>IO municipio y catego</vt:lpstr>
      <vt:lpstr>Gráfico IOa munic y ca </vt:lpstr>
      <vt:lpstr>EM MUNICIPIO y tipología</vt:lpstr>
      <vt:lpstr>gráfico EM MUNICIPI y tipología</vt:lpstr>
      <vt:lpstr>EM municipio y catego</vt:lpstr>
      <vt:lpstr>Gráfico EM munic y ca </vt:lpstr>
      <vt:lpstr>Nacionalidad-Zona (datos)</vt:lpstr>
      <vt:lpstr>evolucion nac zonas</vt:lpstr>
      <vt:lpstr>Nacionalidad-Zona</vt:lpstr>
      <vt:lpstr>Menú Oferta Alojativa</vt:lpstr>
      <vt:lpstr>Ofe Aloj Estim zona cat </vt:lpstr>
      <vt:lpstr>Graf plazas estim zona tipologí</vt:lpstr>
      <vt:lpstr>Oferta Alojat Estim tipol categ</vt:lpstr>
      <vt:lpstr>Gráfica plazas estim tipo categ</vt:lpstr>
      <vt:lpstr>Gráfica distrib plazas est tipo</vt:lpstr>
      <vt:lpstr>Menú plazas autorizadas</vt:lpstr>
      <vt:lpstr>Plazas Autorizadas tipología</vt:lpstr>
      <vt:lpstr>Gráfic Plazas Autoriz tipología</vt:lpstr>
      <vt:lpstr>Cuotas Plazas Autorizadas05</vt:lpstr>
      <vt:lpstr>Distrib Plazas Autor 03_04-05</vt:lpstr>
      <vt:lpstr>Gráfica Distrib Plazas Autoriza</vt:lpstr>
      <vt:lpstr>Hoja1</vt:lpstr>
      <vt:lpstr>actualizaciones</vt:lpstr>
      <vt:lpstr>'Alojados evol mensual'!Área_de_impresión</vt:lpstr>
      <vt:lpstr>'Alojados por municipio'!Área_de_impresión</vt:lpstr>
      <vt:lpstr>'Alojados tipología'!Área_de_impresión</vt:lpstr>
      <vt:lpstr>'Alojados tipología y categoría'!Área_de_impresión</vt:lpstr>
      <vt:lpstr>'Alojados zona tipología'!Área_de_impresión</vt:lpstr>
      <vt:lpstr>'Cuotas Plazas Autorizadas05'!Área_de_impresión</vt:lpstr>
      <vt:lpstr>'Distrib Plazas Autor 03_04-05'!Área_de_impresión</vt:lpstr>
      <vt:lpstr>'Distribución Nacionalidades'!Área_de_impresión</vt:lpstr>
      <vt:lpstr>'EM evolución mensual'!Área_de_impresión</vt:lpstr>
      <vt:lpstr>'EM municipio y catego'!Área_de_impresión</vt:lpstr>
      <vt:lpstr>'EM MUNICIPIO y tipología'!Área_de_impresión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IO CAT '!Área_de_impresión</vt:lpstr>
      <vt:lpstr>'evolución IO zona'!Área_de_impresión</vt:lpstr>
      <vt:lpstr>'evolucion nac zonas'!Área_de_impresión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 plazas estim zona tipologí'!Área_de_impresión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 Plazas Autoriz tipología'!Área_de_impresión</vt:lpstr>
      <vt:lpstr>'Gráfica alojados municipio'!Área_de_impresión</vt:lpstr>
      <vt:lpstr>'Gráfica Distrib Plazas Autoriza'!Área_de_impresión</vt:lpstr>
      <vt:lpstr>'Gráfica distrib plazas est tipo'!Área_de_impresión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MUNICIPI y tipología'!Área_de_impresión</vt:lpstr>
      <vt:lpstr>'gráfica IO tipología'!Área_de_impresión</vt:lpstr>
      <vt:lpstr>'gráfica IO zonas y tipologí '!Área_de_impresión</vt:lpstr>
      <vt:lpstr>'Gráfica pernoct munic tipología'!Área_de_impresión</vt:lpstr>
      <vt:lpstr>'Gráfica pernoct tipolog'!Área_de_impresión</vt:lpstr>
      <vt:lpstr>'Gráfica pernoctaciones mensual'!Área_de_impresión</vt:lpstr>
      <vt:lpstr>'Gráfica plazas estim tipo categ'!Área_de_impresión</vt:lpstr>
      <vt:lpstr>'grafica zona mensual'!Área_de_impresión</vt:lpstr>
      <vt:lpstr>'graficas evol mensual merc'!Área_de_impresión</vt:lpstr>
      <vt:lpstr>'Gráfico aloj tipolog y categorí'!Área_de_impresión</vt:lpstr>
      <vt:lpstr>'Gráfico alojados mensual'!Área_de_impresión</vt:lpstr>
      <vt:lpstr>'Gráfico alojados zona y tipolog'!Área_de_impresión</vt:lpstr>
      <vt:lpstr>'Gráfico EM munic y ca '!Área_de_impresión</vt:lpstr>
      <vt:lpstr>'gráfico EM MUNICIPI y tipología'!Área_de_impresión</vt:lpstr>
      <vt:lpstr>'gráfico EM zona y tipología'!Área_de_impresión</vt:lpstr>
      <vt:lpstr>'Gráfico IOa munic y ca '!Área_de_impresión</vt:lpstr>
      <vt:lpstr>'Gráfico pernocta munic y cate'!Área_de_impresión</vt:lpstr>
      <vt:lpstr>'IO evolución mensual'!Área_de_impresión</vt:lpstr>
      <vt:lpstr>'IO municipio y catego'!Área_de_impresión</vt:lpstr>
      <vt:lpstr>'IO municipio y Tipología'!Área_de_impresión</vt:lpstr>
      <vt:lpstr>'IO Tipología'!Área_de_impresión</vt:lpstr>
      <vt:lpstr>'IO tipología y categoría'!Área_de_impresión</vt:lpstr>
      <vt:lpstr>'IO zona y Tipología '!Área_de_impresión</vt:lpstr>
      <vt:lpstr>'Menú categoría-tipología'!Área_de_impresión</vt:lpstr>
      <vt:lpstr>'Menú EM'!Área_de_impresión</vt:lpstr>
      <vt:lpstr>'Menú IO'!Área_de_impresión</vt:lpstr>
      <vt:lpstr>'Menú municipios turísticos'!Área_de_impresión</vt:lpstr>
      <vt:lpstr>'Menú nacionalidades'!Área_de_impresión</vt:lpstr>
      <vt:lpstr>'Menú Oferta Alojativa'!Área_de_impresión</vt:lpstr>
      <vt:lpstr>'Menú Pernoctaciones'!Área_de_impresión</vt:lpstr>
      <vt:lpstr>'Menú plazas autorizadas'!Área_de_impresión</vt:lpstr>
      <vt:lpstr>'Menú Principal'!Área_de_impresión</vt:lpstr>
      <vt:lpstr>'Menú tipología de establecimien'!Área_de_impresión</vt:lpstr>
      <vt:lpstr>'Menú Turismo alojado'!Área_de_impresión</vt:lpstr>
      <vt:lpstr>'Menú zonas y tipología'!Área_de_impresión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'Ofe Aloj Estim zona cat '!Área_de_impresión</vt:lpstr>
      <vt:lpstr>'Oferta Alojat Estim tipol categ'!Área_de_impresión</vt:lpstr>
      <vt:lpstr>'pernocta municipio y catego'!Área_de_impresión</vt:lpstr>
      <vt:lpstr>'Pernoctacion mensual'!Área_de_impresión</vt:lpstr>
      <vt:lpstr>'Pernoctaciones  tipolog y categ'!Área_de_impresión</vt:lpstr>
      <vt:lpstr>'Pernoctaciones munic y tipologí'!Área_de_impresión</vt:lpstr>
      <vt:lpstr>'Pernoctaciones tipología'!Área_de_impresión</vt:lpstr>
      <vt:lpstr>'Plazas Autorizadas tipología'!Área_de_impresión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julio 2010)</dc:title>
  <dc:creator>marjorie</dc:creator>
  <cp:lastModifiedBy>marjorie</cp:lastModifiedBy>
  <dcterms:created xsi:type="dcterms:W3CDTF">2010-09-08T13:48:29Z</dcterms:created>
  <dcterms:modified xsi:type="dcterms:W3CDTF">2010-09-08T13:50:31Z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f93f3e07-6257-4d83-ab0c-1efe7e88eee1</vt:lpwstr>
  </property>
</Properties>
</file>